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3309\AppData\Local\Microsoft\Windows\INetCache\Content.Outlook\6Y7I356U\"/>
    </mc:Choice>
  </mc:AlternateContent>
  <bookViews>
    <workbookView xWindow="-120" yWindow="-120" windowWidth="29040" windowHeight="15840" activeTab="10"/>
  </bookViews>
  <sheets>
    <sheet name="Summary" sheetId="11" r:id="rId1"/>
    <sheet name="Table1" sheetId="2" r:id="rId2"/>
    <sheet name="Table2 PG1" sheetId="3" r:id="rId3"/>
    <sheet name="Table2 PG2" sheetId="4" r:id="rId4"/>
    <sheet name="Table Summary" sheetId="5" r:id="rId5"/>
    <sheet name="Table3,1" sheetId="6" r:id="rId6"/>
    <sheet name="Table3,2" sheetId="7" r:id="rId7"/>
    <sheet name="Table3,3" sheetId="8" r:id="rId8"/>
    <sheet name="Table3,4" sheetId="9" r:id="rId9"/>
    <sheet name="Table4" sheetId="10" r:id="rId10"/>
    <sheet name="Table5" sheetId="1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s>
  <definedNames>
    <definedName name="_xlnm.Print_Area" localSheetId="0">Summary!$A$1:$AI$51</definedName>
    <definedName name="_xlnm.Print_Area" localSheetId="1">Table1!$A$1:$AS$150</definedName>
    <definedName name="_xlnm.Print_Area" localSheetId="7">'Table3,3'!$A$1:$EO$188</definedName>
    <definedName name="_xlnm.Print_Area" localSheetId="9">Table4!$A$1:$AJ$106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U63" i="3" l="1"/>
  <c r="V49" i="11"/>
  <c r="AG47" i="11"/>
  <c r="AF47" i="11"/>
  <c r="AE47" i="11"/>
  <c r="AD47" i="11"/>
  <c r="AC47" i="11"/>
  <c r="AB47" i="11"/>
  <c r="AA47" i="11"/>
  <c r="AH47" i="11" s="1"/>
  <c r="Z47" i="11"/>
  <c r="Y47" i="11"/>
  <c r="X47" i="11"/>
  <c r="W47" i="11"/>
  <c r="U47" i="11"/>
  <c r="S47" i="11"/>
  <c r="R47" i="11"/>
  <c r="Q47" i="11"/>
  <c r="P47" i="11"/>
  <c r="O47" i="11"/>
  <c r="N47" i="11"/>
  <c r="M47" i="11"/>
  <c r="L47" i="11"/>
  <c r="K47" i="11"/>
  <c r="J47" i="11"/>
  <c r="I47" i="11"/>
  <c r="H47" i="11"/>
  <c r="G47" i="11"/>
  <c r="AG45" i="11"/>
  <c r="AF45" i="11"/>
  <c r="AE45" i="11"/>
  <c r="AD45" i="11"/>
  <c r="AC45" i="11"/>
  <c r="AB45" i="11"/>
  <c r="AA45" i="11"/>
  <c r="Z45" i="11"/>
  <c r="Y45" i="11"/>
  <c r="X45" i="11"/>
  <c r="W45" i="11"/>
  <c r="U45" i="11"/>
  <c r="S45" i="11"/>
  <c r="R45" i="11"/>
  <c r="Q45" i="11"/>
  <c r="P45" i="11"/>
  <c r="O45" i="11"/>
  <c r="N45" i="11"/>
  <c r="M45" i="11"/>
  <c r="L45" i="11"/>
  <c r="K45" i="11"/>
  <c r="J45" i="11"/>
  <c r="I45" i="11"/>
  <c r="H45" i="11"/>
  <c r="T45" i="11" s="1"/>
  <c r="G45" i="11"/>
  <c r="AG43" i="11"/>
  <c r="AF43" i="11"/>
  <c r="AE43" i="11"/>
  <c r="AD43" i="11"/>
  <c r="AC43" i="11"/>
  <c r="AC49" i="11" s="1"/>
  <c r="AB43" i="11"/>
  <c r="AA43" i="11"/>
  <c r="Z43" i="11"/>
  <c r="Y43" i="11"/>
  <c r="X43" i="11"/>
  <c r="W43" i="11"/>
  <c r="W49" i="11" s="1"/>
  <c r="U43" i="11"/>
  <c r="S43" i="11"/>
  <c r="R43" i="11"/>
  <c r="Q43" i="11"/>
  <c r="P43" i="11"/>
  <c r="O43" i="11"/>
  <c r="N43" i="11"/>
  <c r="M43" i="11"/>
  <c r="L43" i="11"/>
  <c r="K43" i="11"/>
  <c r="J43" i="11"/>
  <c r="I43" i="11"/>
  <c r="H43" i="11"/>
  <c r="G43" i="11"/>
  <c r="AG41" i="11"/>
  <c r="AF41" i="11"/>
  <c r="AE41" i="11"/>
  <c r="AE49" i="11" s="1"/>
  <c r="AD41" i="11"/>
  <c r="AD49" i="11" s="1"/>
  <c r="AC41" i="11"/>
  <c r="AB41" i="11"/>
  <c r="AA41" i="11"/>
  <c r="Z41" i="11"/>
  <c r="Z49" i="11" s="1"/>
  <c r="Y41" i="11"/>
  <c r="Y49" i="11" s="1"/>
  <c r="X41" i="11"/>
  <c r="X49" i="11" s="1"/>
  <c r="W41" i="11"/>
  <c r="U41" i="11"/>
  <c r="S41" i="11"/>
  <c r="R41" i="11"/>
  <c r="R49" i="11" s="1"/>
  <c r="Q41" i="11"/>
  <c r="Q49" i="11" s="1"/>
  <c r="P41" i="11"/>
  <c r="P49" i="11" s="1"/>
  <c r="O41" i="11"/>
  <c r="N41" i="11"/>
  <c r="M41" i="11"/>
  <c r="L41" i="11"/>
  <c r="L49" i="11" s="1"/>
  <c r="K41" i="11"/>
  <c r="K49" i="11" s="1"/>
  <c r="J41" i="11"/>
  <c r="J49" i="11" s="1"/>
  <c r="I41" i="11"/>
  <c r="H41" i="11"/>
  <c r="G41" i="11"/>
  <c r="G34" i="11"/>
  <c r="AG32" i="11"/>
  <c r="AF32" i="11"/>
  <c r="AE32" i="11"/>
  <c r="AD32" i="11"/>
  <c r="AC32" i="11"/>
  <c r="AB32" i="11"/>
  <c r="AA32" i="11"/>
  <c r="Z32" i="11"/>
  <c r="Y32" i="11"/>
  <c r="X32" i="11"/>
  <c r="W32" i="11"/>
  <c r="V32" i="11"/>
  <c r="U32" i="11"/>
  <c r="S32" i="11"/>
  <c r="R32" i="11"/>
  <c r="Q32" i="11"/>
  <c r="P32" i="11"/>
  <c r="O32" i="11"/>
  <c r="N32" i="11"/>
  <c r="M32" i="11"/>
  <c r="L32" i="11"/>
  <c r="K32" i="11"/>
  <c r="J32" i="11"/>
  <c r="I32" i="11"/>
  <c r="H32" i="11"/>
  <c r="G32" i="11"/>
  <c r="AG31" i="11"/>
  <c r="AF31" i="11"/>
  <c r="AE31" i="11"/>
  <c r="AD31" i="11"/>
  <c r="AC31" i="11"/>
  <c r="AB31" i="11"/>
  <c r="AA31" i="11"/>
  <c r="Z31" i="11"/>
  <c r="Y31" i="11"/>
  <c r="X31" i="11"/>
  <c r="W31" i="11"/>
  <c r="V31" i="11"/>
  <c r="AH31" i="11" s="1"/>
  <c r="U31" i="11"/>
  <c r="S31" i="11"/>
  <c r="R31" i="11"/>
  <c r="Q31" i="11"/>
  <c r="P31" i="11"/>
  <c r="O31" i="11"/>
  <c r="N31" i="11"/>
  <c r="M31" i="11"/>
  <c r="L31" i="11"/>
  <c r="K31" i="11"/>
  <c r="J31" i="11"/>
  <c r="I31" i="11"/>
  <c r="H31" i="11"/>
  <c r="G31" i="11"/>
  <c r="AE30" i="11"/>
  <c r="AB30" i="11"/>
  <c r="AH30" i="11" s="1"/>
  <c r="AE29" i="11"/>
  <c r="Z29" i="11"/>
  <c r="T29" i="11"/>
  <c r="D29" i="11"/>
  <c r="AE28" i="11"/>
  <c r="AA28" i="11"/>
  <c r="AH28" i="11" s="1"/>
  <c r="T28" i="11"/>
  <c r="D28" i="11"/>
  <c r="AE27" i="11"/>
  <c r="AE26" i="11" s="1"/>
  <c r="AE15" i="11" s="1"/>
  <c r="AE11" i="11" s="1"/>
  <c r="AA27" i="11"/>
  <c r="Z27" i="11"/>
  <c r="AH27" i="11" s="1"/>
  <c r="P27" i="11"/>
  <c r="T27" i="11" s="1"/>
  <c r="T26" i="11" s="1"/>
  <c r="M27" i="11"/>
  <c r="M26" i="11" s="1"/>
  <c r="AB26" i="11"/>
  <c r="Z26" i="11"/>
  <c r="S26" i="11"/>
  <c r="S15" i="11" s="1"/>
  <c r="S11" i="11" s="1"/>
  <c r="R26" i="11"/>
  <c r="Q26" i="11"/>
  <c r="O26" i="11"/>
  <c r="N26" i="11"/>
  <c r="R25" i="11"/>
  <c r="T25" i="11" s="1"/>
  <c r="M24" i="11"/>
  <c r="T24" i="11" s="1"/>
  <c r="G24" i="11"/>
  <c r="D24" i="11"/>
  <c r="R22" i="11"/>
  <c r="M22" i="11"/>
  <c r="G22" i="11"/>
  <c r="G21" i="11" s="1"/>
  <c r="D22" i="11"/>
  <c r="AH21" i="11"/>
  <c r="AG21" i="11"/>
  <c r="AF21" i="11"/>
  <c r="AE21" i="11"/>
  <c r="AD21" i="11"/>
  <c r="AC21" i="11"/>
  <c r="AB21" i="11"/>
  <c r="AA21" i="11"/>
  <c r="Z21" i="11"/>
  <c r="Y21" i="11"/>
  <c r="X21" i="11"/>
  <c r="W21" i="11"/>
  <c r="V21" i="11"/>
  <c r="U21" i="11"/>
  <c r="S21" i="11"/>
  <c r="Q21" i="11"/>
  <c r="P21" i="11"/>
  <c r="O21" i="11"/>
  <c r="N21" i="11"/>
  <c r="L21" i="11"/>
  <c r="K21" i="11"/>
  <c r="J21" i="11"/>
  <c r="I21" i="11"/>
  <c r="H21" i="11"/>
  <c r="AC20" i="11"/>
  <c r="AA20" i="11"/>
  <c r="V20" i="11"/>
  <c r="D20" i="11"/>
  <c r="D19" i="11"/>
  <c r="AG18" i="11"/>
  <c r="AF18" i="11"/>
  <c r="AD18" i="11"/>
  <c r="AC18" i="11"/>
  <c r="AB18" i="11"/>
  <c r="AA18" i="11"/>
  <c r="Z18" i="11"/>
  <c r="Y18" i="11"/>
  <c r="X18" i="11"/>
  <c r="W18" i="11"/>
  <c r="U18" i="11"/>
  <c r="S18" i="11"/>
  <c r="R18" i="11"/>
  <c r="P18" i="11"/>
  <c r="O18" i="11"/>
  <c r="N18" i="11"/>
  <c r="M18" i="11"/>
  <c r="L18" i="11"/>
  <c r="K18" i="11"/>
  <c r="J18" i="11"/>
  <c r="I18" i="11"/>
  <c r="H18" i="11"/>
  <c r="G18" i="11"/>
  <c r="AG17" i="11"/>
  <c r="AF17" i="11"/>
  <c r="AE17" i="11"/>
  <c r="AD17" i="11"/>
  <c r="AC17" i="11"/>
  <c r="AC15" i="11" s="1"/>
  <c r="AB17" i="11"/>
  <c r="AB15" i="11" s="1"/>
  <c r="AA17" i="11"/>
  <c r="Z17" i="11"/>
  <c r="Y17" i="11"/>
  <c r="X17" i="11"/>
  <c r="W17" i="11"/>
  <c r="W15" i="11" s="1"/>
  <c r="V17" i="11"/>
  <c r="V15" i="11" s="1"/>
  <c r="U17" i="11"/>
  <c r="S17" i="11"/>
  <c r="R17" i="11"/>
  <c r="Q17" i="11"/>
  <c r="P17" i="11"/>
  <c r="O17" i="11"/>
  <c r="N17" i="11"/>
  <c r="M17" i="11"/>
  <c r="L17" i="11"/>
  <c r="K17" i="11"/>
  <c r="J17" i="11"/>
  <c r="I17" i="11"/>
  <c r="H17" i="11"/>
  <c r="G17" i="11"/>
  <c r="AG16" i="11"/>
  <c r="AF16" i="11"/>
  <c r="AE16" i="11"/>
  <c r="AD16" i="11"/>
  <c r="AC16" i="11"/>
  <c r="AB16" i="11"/>
  <c r="AA16" i="11"/>
  <c r="Z16" i="11"/>
  <c r="Y16" i="11"/>
  <c r="X16" i="11"/>
  <c r="W16" i="11"/>
  <c r="V16" i="11"/>
  <c r="U16" i="11"/>
  <c r="S16" i="11"/>
  <c r="R16" i="11"/>
  <c r="Q16" i="11"/>
  <c r="P16" i="11"/>
  <c r="O16" i="11"/>
  <c r="N16" i="11"/>
  <c r="N15" i="11" s="1"/>
  <c r="N11" i="11" s="1"/>
  <c r="M16" i="11"/>
  <c r="L16" i="11"/>
  <c r="K16" i="11"/>
  <c r="J16" i="11"/>
  <c r="I16" i="11"/>
  <c r="H16" i="11"/>
  <c r="G16" i="11"/>
  <c r="AI15" i="11"/>
  <c r="AG13" i="11"/>
  <c r="AF13" i="11"/>
  <c r="AE13" i="11"/>
  <c r="AD13" i="11"/>
  <c r="AC13" i="11"/>
  <c r="AB13" i="11"/>
  <c r="AA13" i="11"/>
  <c r="Z13" i="11"/>
  <c r="Y13" i="11"/>
  <c r="X13" i="11"/>
  <c r="W13" i="11"/>
  <c r="V13" i="11"/>
  <c r="AH13" i="11" s="1"/>
  <c r="U13" i="11"/>
  <c r="S13" i="11"/>
  <c r="R13" i="11"/>
  <c r="Q13" i="11"/>
  <c r="P13" i="11"/>
  <c r="O13" i="11"/>
  <c r="N13" i="11"/>
  <c r="M13" i="11"/>
  <c r="L13" i="11"/>
  <c r="K13" i="11"/>
  <c r="J13" i="11"/>
  <c r="I13" i="11"/>
  <c r="H13" i="11"/>
  <c r="G13" i="11"/>
  <c r="AG9" i="11"/>
  <c r="AF9" i="11"/>
  <c r="AE9" i="11"/>
  <c r="AD9" i="11"/>
  <c r="AC9" i="11"/>
  <c r="AB9" i="11"/>
  <c r="AA9" i="11"/>
  <c r="Z9" i="11"/>
  <c r="Y9" i="11"/>
  <c r="X9" i="11"/>
  <c r="W9" i="11"/>
  <c r="V9" i="11"/>
  <c r="U9" i="11"/>
  <c r="S9" i="11"/>
  <c r="R9" i="11"/>
  <c r="Q9" i="11"/>
  <c r="P9" i="11"/>
  <c r="O9" i="11"/>
  <c r="N9" i="11"/>
  <c r="M9" i="11"/>
  <c r="L9" i="11"/>
  <c r="K9" i="11"/>
  <c r="J9" i="11"/>
  <c r="I9" i="11"/>
  <c r="H9" i="11"/>
  <c r="G9" i="11"/>
  <c r="AG15" i="11" l="1"/>
  <c r="AG11" i="11" s="1"/>
  <c r="T13" i="11"/>
  <c r="T17" i="11"/>
  <c r="T18" i="11"/>
  <c r="AH29" i="11"/>
  <c r="T31" i="11"/>
  <c r="I49" i="11"/>
  <c r="O49" i="11"/>
  <c r="AH41" i="11"/>
  <c r="T43" i="11"/>
  <c r="R21" i="11"/>
  <c r="R15" i="11" s="1"/>
  <c r="R11" i="11" s="1"/>
  <c r="R36" i="11" s="1"/>
  <c r="R54" i="11" s="1"/>
  <c r="Y15" i="11"/>
  <c r="Y11" i="11" s="1"/>
  <c r="Y36" i="11" s="1"/>
  <c r="Y54" i="11" s="1"/>
  <c r="T32" i="11"/>
  <c r="AH45" i="11"/>
  <c r="T47" i="11"/>
  <c r="AB11" i="11"/>
  <c r="AB36" i="11" s="1"/>
  <c r="G15" i="11"/>
  <c r="G11" i="11" s="1"/>
  <c r="G36" i="11"/>
  <c r="G54" i="11" s="1"/>
  <c r="AF15" i="11"/>
  <c r="AF11" i="11" s="1"/>
  <c r="AF36" i="11" s="1"/>
  <c r="AF54" i="11" s="1"/>
  <c r="L15" i="11"/>
  <c r="AA26" i="11"/>
  <c r="AH26" i="11" s="1"/>
  <c r="AH32" i="11"/>
  <c r="AF49" i="11"/>
  <c r="V11" i="11"/>
  <c r="V36" i="11" s="1"/>
  <c r="V54" i="11" s="1"/>
  <c r="AD15" i="11"/>
  <c r="AD11" i="11" s="1"/>
  <c r="AD36" i="11" s="1"/>
  <c r="AD54" i="11" s="1"/>
  <c r="L11" i="11"/>
  <c r="L36" i="11" s="1"/>
  <c r="L54" i="11" s="1"/>
  <c r="AG36" i="11"/>
  <c r="AG54" i="11" s="1"/>
  <c r="G49" i="11"/>
  <c r="M49" i="11"/>
  <c r="S49" i="11"/>
  <c r="AA49" i="11"/>
  <c r="AG49" i="11"/>
  <c r="X15" i="11"/>
  <c r="X11" i="11" s="1"/>
  <c r="X36" i="11" s="1"/>
  <c r="X54" i="11" s="1"/>
  <c r="T16" i="11"/>
  <c r="U15" i="11"/>
  <c r="U11" i="11" s="1"/>
  <c r="U36" i="11" s="1"/>
  <c r="AH9" i="11"/>
  <c r="I15" i="11"/>
  <c r="I11" i="11" s="1"/>
  <c r="I36" i="11" s="1"/>
  <c r="I54" i="11" s="1"/>
  <c r="AH16" i="11"/>
  <c r="AH18" i="11"/>
  <c r="H49" i="11"/>
  <c r="N49" i="11"/>
  <c r="U49" i="11"/>
  <c r="AB49" i="11"/>
  <c r="AH43" i="11"/>
  <c r="AH49" i="11" s="1"/>
  <c r="S36" i="11"/>
  <c r="O15" i="11"/>
  <c r="O11" i="11" s="1"/>
  <c r="O36" i="11" s="1"/>
  <c r="AE36" i="11"/>
  <c r="AE54" i="11" s="1"/>
  <c r="W11" i="11"/>
  <c r="AC11" i="11"/>
  <c r="K11" i="11"/>
  <c r="K36" i="11" s="1"/>
  <c r="K54" i="11" s="1"/>
  <c r="N36" i="11"/>
  <c r="N54" i="11" s="1"/>
  <c r="J15" i="11"/>
  <c r="J11" i="11" s="1"/>
  <c r="J36" i="11" s="1"/>
  <c r="J54" i="11" s="1"/>
  <c r="K15" i="11"/>
  <c r="Q15" i="11"/>
  <c r="Q11" i="11" s="1"/>
  <c r="Q36" i="11" s="1"/>
  <c r="Q54" i="11" s="1"/>
  <c r="W36" i="11"/>
  <c r="W54" i="11" s="1"/>
  <c r="AC36" i="11"/>
  <c r="AC54" i="11" s="1"/>
  <c r="O54" i="11"/>
  <c r="T21" i="11"/>
  <c r="T9" i="11"/>
  <c r="Z15" i="11"/>
  <c r="Z11" i="11" s="1"/>
  <c r="Z36" i="11" s="1"/>
  <c r="Z54" i="11" s="1"/>
  <c r="P26" i="11"/>
  <c r="P15" i="11" s="1"/>
  <c r="P11" i="11" s="1"/>
  <c r="P36" i="11" s="1"/>
  <c r="P54" i="11" s="1"/>
  <c r="H15" i="11"/>
  <c r="H11" i="11" s="1"/>
  <c r="H36" i="11" s="1"/>
  <c r="H54" i="11" s="1"/>
  <c r="M21" i="11"/>
  <c r="M15" i="11" s="1"/>
  <c r="M11" i="11" s="1"/>
  <c r="M36" i="11" s="1"/>
  <c r="M54" i="11" s="1"/>
  <c r="AH17" i="11"/>
  <c r="T41" i="11"/>
  <c r="T49" i="11" s="1"/>
  <c r="T15" i="11" l="1"/>
  <c r="T11" i="11" s="1"/>
  <c r="AA15" i="11"/>
  <c r="AA11" i="11" s="1"/>
  <c r="AA36" i="11" s="1"/>
  <c r="AA54" i="11" s="1"/>
  <c r="AB54" i="11"/>
  <c r="U54" i="11"/>
  <c r="S54" i="11"/>
  <c r="AH15" i="11"/>
  <c r="AH11" i="11" s="1"/>
  <c r="AH36" i="11" s="1"/>
  <c r="AH54" i="11" s="1"/>
  <c r="T36" i="11"/>
  <c r="T54" i="11" s="1"/>
  <c r="AG65" i="12" l="1"/>
  <c r="S65" i="12"/>
  <c r="AG49" i="12"/>
  <c r="S49" i="12"/>
  <c r="AG48" i="12"/>
  <c r="S48" i="12"/>
  <c r="AG47" i="12"/>
  <c r="S47" i="12"/>
  <c r="AG46" i="12"/>
  <c r="S46" i="12"/>
  <c r="AG45" i="12"/>
  <c r="S45" i="12"/>
  <c r="AG44" i="12"/>
  <c r="S44" i="12"/>
  <c r="AG43" i="12"/>
  <c r="S43" i="12"/>
  <c r="AG42" i="12"/>
  <c r="S42" i="12"/>
  <c r="AG41" i="12"/>
  <c r="S41" i="12"/>
  <c r="AF40" i="12"/>
  <c r="AE40" i="12"/>
  <c r="AD40" i="12"/>
  <c r="AC40" i="12"/>
  <c r="AB40" i="12"/>
  <c r="AA40" i="12"/>
  <c r="Z40" i="12"/>
  <c r="Y40" i="12"/>
  <c r="X40" i="12"/>
  <c r="W40" i="12"/>
  <c r="V40" i="12"/>
  <c r="U40" i="12"/>
  <c r="T40" i="12"/>
  <c r="R40" i="12"/>
  <c r="Q40" i="12"/>
  <c r="P40" i="12"/>
  <c r="O40" i="12"/>
  <c r="N40" i="12"/>
  <c r="M40" i="12"/>
  <c r="L40" i="12"/>
  <c r="K40" i="12"/>
  <c r="J40" i="12"/>
  <c r="I40" i="12"/>
  <c r="H40" i="12"/>
  <c r="G40" i="12"/>
  <c r="F40" i="12"/>
  <c r="AG38" i="12"/>
  <c r="S38" i="12"/>
  <c r="AG37" i="12"/>
  <c r="S37" i="12"/>
  <c r="AG36" i="12"/>
  <c r="S36" i="12"/>
  <c r="AG35" i="12"/>
  <c r="S35" i="12"/>
  <c r="AG34" i="12"/>
  <c r="S34" i="12"/>
  <c r="AG33" i="12"/>
  <c r="S33" i="12"/>
  <c r="AG32" i="12"/>
  <c r="S32" i="12"/>
  <c r="AG31" i="12"/>
  <c r="S31" i="12"/>
  <c r="AG30" i="12"/>
  <c r="S30" i="12"/>
  <c r="AG29" i="12"/>
  <c r="S29" i="12"/>
  <c r="AG28" i="12"/>
  <c r="S28" i="12"/>
  <c r="AG27" i="12"/>
  <c r="S27" i="12"/>
  <c r="AG26" i="12"/>
  <c r="S26" i="12"/>
  <c r="AG25" i="12"/>
  <c r="S25" i="12"/>
  <c r="AG24" i="12"/>
  <c r="S24" i="12"/>
  <c r="AG23" i="12"/>
  <c r="S23" i="12"/>
  <c r="AG22" i="12"/>
  <c r="S22" i="12"/>
  <c r="T85" i="12" s="1"/>
  <c r="AG21" i="12"/>
  <c r="S21" i="12"/>
  <c r="AG20" i="12"/>
  <c r="S20" i="12"/>
  <c r="AG19" i="12"/>
  <c r="S19" i="12"/>
  <c r="AG18" i="12"/>
  <c r="S18" i="12"/>
  <c r="AG17" i="12"/>
  <c r="S17" i="12"/>
  <c r="AG16" i="12"/>
  <c r="S16" i="12"/>
  <c r="AG15" i="12"/>
  <c r="S15" i="12"/>
  <c r="AG14" i="12"/>
  <c r="S14" i="12"/>
  <c r="AG13" i="12"/>
  <c r="S13" i="12"/>
  <c r="AG12" i="12"/>
  <c r="S12" i="12"/>
  <c r="AG11" i="12"/>
  <c r="S11" i="12"/>
  <c r="AG10" i="12"/>
  <c r="S10" i="12"/>
  <c r="AG9" i="12"/>
  <c r="S9" i="12"/>
  <c r="AG8" i="12"/>
  <c r="S8" i="12"/>
  <c r="AG7" i="12"/>
  <c r="AG6" i="12" s="1"/>
  <c r="S7" i="12"/>
  <c r="AF6" i="12"/>
  <c r="AE6" i="12"/>
  <c r="AD6" i="12"/>
  <c r="AC6" i="12"/>
  <c r="AB6" i="12"/>
  <c r="AA6" i="12"/>
  <c r="Z6" i="12"/>
  <c r="Y6" i="12"/>
  <c r="X6" i="12"/>
  <c r="W6" i="12"/>
  <c r="V6" i="12"/>
  <c r="U6" i="12"/>
  <c r="T6" i="12"/>
  <c r="S6" i="12"/>
  <c r="T82" i="12" s="1"/>
  <c r="R6" i="12"/>
  <c r="Q6" i="12"/>
  <c r="P6" i="12"/>
  <c r="O6" i="12"/>
  <c r="N6" i="12"/>
  <c r="M6" i="12"/>
  <c r="L6" i="12"/>
  <c r="K6" i="12"/>
  <c r="J6" i="12"/>
  <c r="I6" i="12"/>
  <c r="H6" i="12"/>
  <c r="G6" i="12"/>
  <c r="F6" i="12"/>
  <c r="AG40" i="12" l="1"/>
  <c r="S40" i="12"/>
  <c r="AL99" i="10"/>
  <c r="AH99" i="10"/>
  <c r="AK99" i="10" s="1"/>
  <c r="T99" i="10"/>
  <c r="AG98" i="10"/>
  <c r="AH98" i="10" s="1"/>
  <c r="AF98" i="10"/>
  <c r="AE98" i="10"/>
  <c r="AF92" i="10" s="1"/>
  <c r="AD98" i="10"/>
  <c r="AE92" i="10" s="1"/>
  <c r="AC98" i="10"/>
  <c r="AB98" i="10"/>
  <c r="AC92" i="10" s="1"/>
  <c r="AA98" i="10"/>
  <c r="AB92" i="10" s="1"/>
  <c r="Z98" i="10"/>
  <c r="Y98" i="10"/>
  <c r="Z92" i="10" s="1"/>
  <c r="X98" i="10"/>
  <c r="Y92" i="10" s="1"/>
  <c r="W98" i="10"/>
  <c r="V98" i="10"/>
  <c r="W92" i="10" s="1"/>
  <c r="U98" i="10"/>
  <c r="S98" i="10"/>
  <c r="R98" i="10"/>
  <c r="Q98" i="10"/>
  <c r="R92" i="10" s="1"/>
  <c r="P98" i="10"/>
  <c r="O98" i="10"/>
  <c r="O96" i="10" s="1"/>
  <c r="N98" i="10"/>
  <c r="O92" i="10" s="1"/>
  <c r="M98" i="10"/>
  <c r="L98" i="10"/>
  <c r="K98" i="10"/>
  <c r="J98" i="10"/>
  <c r="I98" i="10"/>
  <c r="J92" i="10" s="1"/>
  <c r="H98" i="10"/>
  <c r="I92" i="10" s="1"/>
  <c r="G98" i="10"/>
  <c r="AG97" i="10"/>
  <c r="AG96" i="10" s="1"/>
  <c r="AF97" i="10"/>
  <c r="AG91" i="10" s="1"/>
  <c r="AG90" i="10" s="1"/>
  <c r="AG88" i="10" s="1"/>
  <c r="AG84" i="10" s="1"/>
  <c r="AE97" i="10"/>
  <c r="AF91" i="10" s="1"/>
  <c r="AD97" i="10"/>
  <c r="AE91" i="10" s="1"/>
  <c r="AC97" i="10"/>
  <c r="AB97" i="10"/>
  <c r="AC91" i="10" s="1"/>
  <c r="AC90" i="10" s="1"/>
  <c r="AA97" i="10"/>
  <c r="AA96" i="10" s="1"/>
  <c r="Z97" i="10"/>
  <c r="AA91" i="10" s="1"/>
  <c r="AA90" i="10" s="1"/>
  <c r="AA88" i="10" s="1"/>
  <c r="AA84" i="10" s="1"/>
  <c r="Y97" i="10"/>
  <c r="Z91" i="10" s="1"/>
  <c r="X97" i="10"/>
  <c r="W97" i="10"/>
  <c r="V97" i="10"/>
  <c r="W91" i="10" s="1"/>
  <c r="U97" i="10"/>
  <c r="S97" i="10"/>
  <c r="R97" i="10"/>
  <c r="Q97" i="10"/>
  <c r="Q96" i="10" s="1"/>
  <c r="P97" i="10"/>
  <c r="O97" i="10"/>
  <c r="P91" i="10" s="1"/>
  <c r="N97" i="10"/>
  <c r="M97" i="10"/>
  <c r="L97" i="10"/>
  <c r="K97" i="10"/>
  <c r="K96" i="10" s="1"/>
  <c r="J97" i="10"/>
  <c r="I97" i="10"/>
  <c r="I96" i="10" s="1"/>
  <c r="H97" i="10"/>
  <c r="I91" i="10" s="1"/>
  <c r="G97" i="10"/>
  <c r="AE96" i="10"/>
  <c r="AD96" i="10"/>
  <c r="AC96" i="10"/>
  <c r="AB96" i="10"/>
  <c r="Y96" i="10"/>
  <c r="X96" i="10"/>
  <c r="W96" i="10"/>
  <c r="V96" i="10"/>
  <c r="R96" i="10"/>
  <c r="L96" i="10"/>
  <c r="AK95" i="10"/>
  <c r="AH93" i="10"/>
  <c r="T93" i="10"/>
  <c r="AG92" i="10"/>
  <c r="AA92" i="10"/>
  <c r="V92" i="10"/>
  <c r="U92" i="10"/>
  <c r="T92" i="10"/>
  <c r="L92" i="10"/>
  <c r="G92" i="10"/>
  <c r="AD91" i="10"/>
  <c r="AB91" i="10"/>
  <c r="Y91" i="10"/>
  <c r="X91" i="10"/>
  <c r="V91" i="10"/>
  <c r="U91" i="10"/>
  <c r="U90" i="10" s="1"/>
  <c r="T91" i="10"/>
  <c r="S91" i="10"/>
  <c r="M91" i="10"/>
  <c r="L91" i="10"/>
  <c r="J91" i="10"/>
  <c r="G91" i="10"/>
  <c r="H90" i="10"/>
  <c r="AG83" i="10"/>
  <c r="AF83" i="10"/>
  <c r="AE83" i="10"/>
  <c r="AD83" i="10"/>
  <c r="AC83" i="10"/>
  <c r="AB83" i="10"/>
  <c r="AA83" i="10"/>
  <c r="W83" i="10"/>
  <c r="V83" i="10"/>
  <c r="U83" i="10"/>
  <c r="S83" i="10"/>
  <c r="R83" i="10"/>
  <c r="Q83" i="10"/>
  <c r="P83" i="10"/>
  <c r="O83" i="10"/>
  <c r="N83" i="10"/>
  <c r="M83" i="10"/>
  <c r="L83" i="10"/>
  <c r="K83" i="10"/>
  <c r="J83" i="10"/>
  <c r="I83" i="10"/>
  <c r="H83" i="10"/>
  <c r="G83" i="10"/>
  <c r="AG82" i="10"/>
  <c r="AF82" i="10"/>
  <c r="AE82" i="10"/>
  <c r="AD82" i="10"/>
  <c r="AC82" i="10"/>
  <c r="AB82" i="10"/>
  <c r="AA82" i="10"/>
  <c r="Z82" i="10"/>
  <c r="Y82" i="10"/>
  <c r="X82" i="10"/>
  <c r="W82" i="10"/>
  <c r="V82" i="10"/>
  <c r="U82" i="10"/>
  <c r="S82" i="10"/>
  <c r="R82" i="10"/>
  <c r="Q82" i="10"/>
  <c r="P82" i="10"/>
  <c r="O82" i="10"/>
  <c r="N82" i="10"/>
  <c r="M82" i="10"/>
  <c r="L82" i="10"/>
  <c r="K82" i="10"/>
  <c r="J82" i="10"/>
  <c r="I82" i="10"/>
  <c r="H82" i="10"/>
  <c r="G82" i="10"/>
  <c r="AG81" i="10"/>
  <c r="AF81" i="10"/>
  <c r="AE81" i="10"/>
  <c r="AD81" i="10"/>
  <c r="AC81" i="10"/>
  <c r="AB81" i="10"/>
  <c r="AA81" i="10"/>
  <c r="Z81" i="10"/>
  <c r="Y81" i="10"/>
  <c r="X81" i="10"/>
  <c r="W81" i="10"/>
  <c r="V81" i="10"/>
  <c r="U81" i="10"/>
  <c r="S81" i="10"/>
  <c r="R81" i="10"/>
  <c r="Q81" i="10"/>
  <c r="P81" i="10"/>
  <c r="O81" i="10"/>
  <c r="N81" i="10"/>
  <c r="M81" i="10"/>
  <c r="L81" i="10"/>
  <c r="K81" i="10"/>
  <c r="J81" i="10"/>
  <c r="I81" i="10"/>
  <c r="H81" i="10"/>
  <c r="G81" i="10"/>
  <c r="AL79" i="10"/>
  <c r="AK79" i="10"/>
  <c r="AL78" i="10"/>
  <c r="AK78" i="10"/>
  <c r="AH77" i="10"/>
  <c r="AK77" i="10" s="1"/>
  <c r="T77" i="10"/>
  <c r="AK76" i="10"/>
  <c r="AH76" i="10"/>
  <c r="T76" i="10"/>
  <c r="AL75" i="10"/>
  <c r="AK75" i="10"/>
  <c r="AH74" i="10"/>
  <c r="AL74" i="10" s="1"/>
  <c r="T74" i="10"/>
  <c r="AH73" i="10"/>
  <c r="T73" i="10"/>
  <c r="AG72" i="10"/>
  <c r="AF72" i="10"/>
  <c r="AE72" i="10"/>
  <c r="AD72" i="10"/>
  <c r="AC72" i="10"/>
  <c r="AB72" i="10"/>
  <c r="AA72" i="10"/>
  <c r="Z72" i="10"/>
  <c r="Y72" i="10"/>
  <c r="X72" i="10"/>
  <c r="W72" i="10"/>
  <c r="V72" i="10"/>
  <c r="S72" i="10"/>
  <c r="R72" i="10"/>
  <c r="Q72" i="10"/>
  <c r="P72" i="10"/>
  <c r="O72" i="10"/>
  <c r="N72" i="10"/>
  <c r="M72" i="10"/>
  <c r="L72" i="10"/>
  <c r="K72" i="10"/>
  <c r="J72" i="10"/>
  <c r="I72" i="10"/>
  <c r="H72" i="10"/>
  <c r="AL71" i="10"/>
  <c r="AK71" i="10"/>
  <c r="AG70" i="10"/>
  <c r="W70" i="10"/>
  <c r="AH70" i="10" s="1"/>
  <c r="V70" i="10"/>
  <c r="S70" i="10"/>
  <c r="I70" i="10"/>
  <c r="H70" i="10"/>
  <c r="G70" i="10"/>
  <c r="AG69" i="10"/>
  <c r="W69" i="10"/>
  <c r="V69" i="10"/>
  <c r="AH69" i="10" s="1"/>
  <c r="S69" i="10"/>
  <c r="I69" i="10"/>
  <c r="H69" i="10"/>
  <c r="G69" i="10"/>
  <c r="AL68" i="10"/>
  <c r="AK68" i="10"/>
  <c r="AG67" i="10"/>
  <c r="W67" i="10"/>
  <c r="V67" i="10"/>
  <c r="T67" i="10"/>
  <c r="S67" i="10"/>
  <c r="I67" i="10"/>
  <c r="H67" i="10"/>
  <c r="G67" i="10"/>
  <c r="AG66" i="10"/>
  <c r="W66" i="10"/>
  <c r="V66" i="10"/>
  <c r="S66" i="10"/>
  <c r="I66" i="10"/>
  <c r="I65" i="10" s="1"/>
  <c r="H66" i="10"/>
  <c r="G66" i="10"/>
  <c r="AF65" i="10"/>
  <c r="AE65" i="10"/>
  <c r="AD65" i="10"/>
  <c r="AC65" i="10"/>
  <c r="AB65" i="10"/>
  <c r="AA65" i="10"/>
  <c r="Z65" i="10"/>
  <c r="Y65" i="10"/>
  <c r="X65" i="10"/>
  <c r="R65" i="10"/>
  <c r="Q65" i="10"/>
  <c r="P65" i="10"/>
  <c r="O65" i="10"/>
  <c r="N65" i="10"/>
  <c r="M65" i="10"/>
  <c r="L65" i="10"/>
  <c r="K65" i="10"/>
  <c r="J65" i="10"/>
  <c r="AG63" i="10"/>
  <c r="AF63" i="10"/>
  <c r="AE63" i="10"/>
  <c r="AD63" i="10"/>
  <c r="AC63" i="10"/>
  <c r="AB63" i="10"/>
  <c r="AA63" i="10"/>
  <c r="Z63" i="10"/>
  <c r="Y63" i="10"/>
  <c r="X63" i="10"/>
  <c r="W63" i="10"/>
  <c r="V63" i="10"/>
  <c r="U63" i="10"/>
  <c r="S63" i="10"/>
  <c r="R63" i="10"/>
  <c r="Q63" i="10"/>
  <c r="P63" i="10"/>
  <c r="O63" i="10"/>
  <c r="N63" i="10"/>
  <c r="M63" i="10"/>
  <c r="L63" i="10"/>
  <c r="K63" i="10"/>
  <c r="J63" i="10"/>
  <c r="I63" i="10"/>
  <c r="H63" i="10"/>
  <c r="G63" i="10"/>
  <c r="AG62" i="10"/>
  <c r="AF62" i="10"/>
  <c r="AE62" i="10"/>
  <c r="AD62" i="10"/>
  <c r="AC62" i="10"/>
  <c r="AB62" i="10"/>
  <c r="AA62" i="10"/>
  <c r="Z62" i="10"/>
  <c r="Y62" i="10"/>
  <c r="X62" i="10"/>
  <c r="W62" i="10"/>
  <c r="V62" i="10"/>
  <c r="AH62" i="10" s="1"/>
  <c r="AK62" i="10" s="1"/>
  <c r="U62" i="10"/>
  <c r="S62" i="10"/>
  <c r="R62" i="10"/>
  <c r="R58" i="10" s="1"/>
  <c r="Q62" i="10"/>
  <c r="P62" i="10"/>
  <c r="O62" i="10"/>
  <c r="N62" i="10"/>
  <c r="M62" i="10"/>
  <c r="L62" i="10"/>
  <c r="K62" i="10"/>
  <c r="J62" i="10"/>
  <c r="I62" i="10"/>
  <c r="H62" i="10"/>
  <c r="G62" i="10"/>
  <c r="AG60" i="10"/>
  <c r="AF60" i="10"/>
  <c r="AE60" i="10"/>
  <c r="AD60" i="10"/>
  <c r="AC60" i="10"/>
  <c r="AB60" i="10"/>
  <c r="AA60" i="10"/>
  <c r="Z60" i="10"/>
  <c r="Y60" i="10"/>
  <c r="Y58" i="10" s="1"/>
  <c r="X60" i="10"/>
  <c r="W60" i="10"/>
  <c r="V60" i="10"/>
  <c r="U60" i="10"/>
  <c r="N60" i="10"/>
  <c r="M60" i="10"/>
  <c r="L60" i="10"/>
  <c r="K60" i="10"/>
  <c r="J60" i="10"/>
  <c r="I60" i="10"/>
  <c r="H60" i="10"/>
  <c r="G60" i="10"/>
  <c r="AG59" i="10"/>
  <c r="AF59" i="10"/>
  <c r="AF58" i="10" s="1"/>
  <c r="AF56" i="10" s="1"/>
  <c r="AE59" i="10"/>
  <c r="AD59" i="10"/>
  <c r="AC59" i="10"/>
  <c r="AB59" i="10"/>
  <c r="AA59" i="10"/>
  <c r="Z59" i="10"/>
  <c r="Y59" i="10"/>
  <c r="X59" i="10"/>
  <c r="W59" i="10"/>
  <c r="V59" i="10"/>
  <c r="U59" i="10"/>
  <c r="S59" i="10"/>
  <c r="R59" i="10"/>
  <c r="Q59" i="10"/>
  <c r="P59" i="10"/>
  <c r="O59" i="10"/>
  <c r="O58" i="10" s="1"/>
  <c r="N59" i="10"/>
  <c r="M59" i="10"/>
  <c r="L59" i="10"/>
  <c r="K59" i="10"/>
  <c r="J59" i="10"/>
  <c r="I59" i="10"/>
  <c r="H59" i="10"/>
  <c r="G59" i="10"/>
  <c r="AL55" i="10"/>
  <c r="AK55" i="10"/>
  <c r="AH54" i="10"/>
  <c r="AH53" i="10" s="1"/>
  <c r="T54" i="10"/>
  <c r="AG53" i="10"/>
  <c r="AF53" i="10"/>
  <c r="AE53" i="10"/>
  <c r="AD53" i="10"/>
  <c r="AC53" i="10"/>
  <c r="AB53" i="10"/>
  <c r="AA53" i="10"/>
  <c r="Z53" i="10"/>
  <c r="Y53" i="10"/>
  <c r="X53" i="10"/>
  <c r="W53" i="10"/>
  <c r="V53" i="10"/>
  <c r="S53" i="10"/>
  <c r="R53" i="10"/>
  <c r="Q53" i="10"/>
  <c r="P53" i="10"/>
  <c r="O53" i="10"/>
  <c r="N53" i="10"/>
  <c r="M53" i="10"/>
  <c r="L53" i="10"/>
  <c r="K53" i="10"/>
  <c r="J53" i="10"/>
  <c r="I53" i="10"/>
  <c r="H53" i="10"/>
  <c r="AG51" i="10"/>
  <c r="AF51" i="10"/>
  <c r="AE51" i="10"/>
  <c r="AD51" i="10"/>
  <c r="AD49" i="10" s="1"/>
  <c r="AC51" i="10"/>
  <c r="AB51" i="10"/>
  <c r="AA51" i="10"/>
  <c r="Z51" i="10"/>
  <c r="Y51" i="10"/>
  <c r="X51" i="10"/>
  <c r="X49" i="10" s="1"/>
  <c r="W51" i="10"/>
  <c r="V51" i="10"/>
  <c r="U51" i="10"/>
  <c r="S51" i="10"/>
  <c r="R51" i="10"/>
  <c r="Q51" i="10"/>
  <c r="P51" i="10"/>
  <c r="O51" i="10"/>
  <c r="N51" i="10"/>
  <c r="M51" i="10"/>
  <c r="L51" i="10"/>
  <c r="K51" i="10"/>
  <c r="J51" i="10"/>
  <c r="I51" i="10"/>
  <c r="H51" i="10"/>
  <c r="G51" i="10"/>
  <c r="AG50" i="10"/>
  <c r="AF50" i="10"/>
  <c r="AE50" i="10"/>
  <c r="AD50" i="10"/>
  <c r="AC50" i="10"/>
  <c r="AB50" i="10"/>
  <c r="AA50" i="10"/>
  <c r="Z50" i="10"/>
  <c r="Z49" i="10" s="1"/>
  <c r="Y50" i="10"/>
  <c r="X50" i="10"/>
  <c r="W50" i="10"/>
  <c r="V50" i="10"/>
  <c r="V49" i="10" s="1"/>
  <c r="U50" i="10"/>
  <c r="S50" i="10"/>
  <c r="R50" i="10"/>
  <c r="Q50" i="10"/>
  <c r="P50" i="10"/>
  <c r="P49" i="10" s="1"/>
  <c r="O50" i="10"/>
  <c r="O49" i="10" s="1"/>
  <c r="N50" i="10"/>
  <c r="M50" i="10"/>
  <c r="L50" i="10"/>
  <c r="K50" i="10"/>
  <c r="J50" i="10"/>
  <c r="I50" i="10"/>
  <c r="I49" i="10" s="1"/>
  <c r="H50" i="10"/>
  <c r="H49" i="10" s="1"/>
  <c r="G50" i="10"/>
  <c r="AF49" i="10"/>
  <c r="AB49" i="10"/>
  <c r="S49" i="10"/>
  <c r="N49" i="10"/>
  <c r="AG47" i="10"/>
  <c r="AF47" i="10"/>
  <c r="AE47" i="10"/>
  <c r="AD47" i="10"/>
  <c r="AC47" i="10"/>
  <c r="AC44" i="10" s="1"/>
  <c r="AB47" i="10"/>
  <c r="AA47" i="10"/>
  <c r="Z47" i="10"/>
  <c r="Y47" i="10"/>
  <c r="X47" i="10"/>
  <c r="W47" i="10"/>
  <c r="V47" i="10"/>
  <c r="AH47" i="10" s="1"/>
  <c r="U47" i="10"/>
  <c r="S47" i="10"/>
  <c r="R47" i="10"/>
  <c r="Q47" i="10"/>
  <c r="P47" i="10"/>
  <c r="O47" i="10"/>
  <c r="N47" i="10"/>
  <c r="M47" i="10"/>
  <c r="L47" i="10"/>
  <c r="K47" i="10"/>
  <c r="J47" i="10"/>
  <c r="I47" i="10"/>
  <c r="H47" i="10"/>
  <c r="G47" i="10"/>
  <c r="AG46" i="10"/>
  <c r="AF46" i="10"/>
  <c r="AE46" i="10"/>
  <c r="AE44" i="10" s="1"/>
  <c r="AD46" i="10"/>
  <c r="AC46" i="10"/>
  <c r="AB46" i="10"/>
  <c r="AA46" i="10"/>
  <c r="Z46" i="10"/>
  <c r="Y46" i="10"/>
  <c r="X46" i="10"/>
  <c r="W46" i="10"/>
  <c r="V46" i="10"/>
  <c r="U46" i="10"/>
  <c r="U44" i="10" s="1"/>
  <c r="S46" i="10"/>
  <c r="R46" i="10"/>
  <c r="Q46" i="10"/>
  <c r="P46" i="10"/>
  <c r="O46" i="10"/>
  <c r="N46" i="10"/>
  <c r="M46" i="10"/>
  <c r="L46" i="10"/>
  <c r="K46" i="10"/>
  <c r="J46" i="10"/>
  <c r="I46" i="10"/>
  <c r="H46" i="10"/>
  <c r="G46" i="10"/>
  <c r="AG45" i="10"/>
  <c r="AG44" i="10" s="1"/>
  <c r="AF45" i="10"/>
  <c r="AE45" i="10"/>
  <c r="AD45" i="10"/>
  <c r="AC45" i="10"/>
  <c r="AB45" i="10"/>
  <c r="AA45" i="10"/>
  <c r="Z45" i="10"/>
  <c r="Z44" i="10" s="1"/>
  <c r="Y45" i="10"/>
  <c r="X45" i="10"/>
  <c r="W45" i="10"/>
  <c r="V45" i="10"/>
  <c r="U45" i="10"/>
  <c r="S45" i="10"/>
  <c r="R45" i="10"/>
  <c r="Q45" i="10"/>
  <c r="P45" i="10"/>
  <c r="O45" i="10"/>
  <c r="N45" i="10"/>
  <c r="M45" i="10"/>
  <c r="L45" i="10"/>
  <c r="K45" i="10"/>
  <c r="J45" i="10"/>
  <c r="I45" i="10"/>
  <c r="H45" i="10"/>
  <c r="G45" i="10"/>
  <c r="AA44" i="10"/>
  <c r="AH42" i="10"/>
  <c r="T42" i="10"/>
  <c r="AG41" i="10"/>
  <c r="AF41" i="10"/>
  <c r="AE41" i="10"/>
  <c r="AD41" i="10"/>
  <c r="AC41" i="10"/>
  <c r="AB41" i="10"/>
  <c r="AA41" i="10"/>
  <c r="Z41" i="10"/>
  <c r="Y41" i="10"/>
  <c r="X41" i="10"/>
  <c r="W41" i="10"/>
  <c r="V41" i="10"/>
  <c r="U41" i="10"/>
  <c r="S41" i="10"/>
  <c r="R41" i="10"/>
  <c r="Q41" i="10"/>
  <c r="P41" i="10"/>
  <c r="O41" i="10"/>
  <c r="N41" i="10"/>
  <c r="M41" i="10"/>
  <c r="L41" i="10"/>
  <c r="K41" i="10"/>
  <c r="J41" i="10"/>
  <c r="I41" i="10"/>
  <c r="H41" i="10"/>
  <c r="G41" i="10"/>
  <c r="AH40" i="10"/>
  <c r="AG39" i="10"/>
  <c r="AF39" i="10"/>
  <c r="AE39" i="10"/>
  <c r="AD39" i="10"/>
  <c r="AC39" i="10"/>
  <c r="AB39" i="10"/>
  <c r="AA39" i="10"/>
  <c r="Z39" i="10"/>
  <c r="Y39" i="10"/>
  <c r="X39" i="10"/>
  <c r="W39" i="10"/>
  <c r="V39" i="10"/>
  <c r="U39" i="10"/>
  <c r="S39" i="10"/>
  <c r="R39" i="10"/>
  <c r="Q39" i="10"/>
  <c r="P39" i="10"/>
  <c r="O39" i="10"/>
  <c r="N39" i="10"/>
  <c r="M39" i="10"/>
  <c r="M37" i="10" s="1"/>
  <c r="L39" i="10"/>
  <c r="K39" i="10"/>
  <c r="J39" i="10"/>
  <c r="I39" i="10"/>
  <c r="H39" i="10"/>
  <c r="G39" i="10"/>
  <c r="AG38" i="10"/>
  <c r="AF38" i="10"/>
  <c r="AE38" i="10"/>
  <c r="AD38" i="10"/>
  <c r="AC38" i="10"/>
  <c r="AC37" i="10" s="1"/>
  <c r="AB38" i="10"/>
  <c r="AB37" i="10" s="1"/>
  <c r="AA38" i="10"/>
  <c r="Z38" i="10"/>
  <c r="Y38" i="10"/>
  <c r="X38" i="10"/>
  <c r="W38" i="10"/>
  <c r="V38" i="10"/>
  <c r="U38" i="10"/>
  <c r="S38" i="10"/>
  <c r="R38" i="10"/>
  <c r="Q38" i="10"/>
  <c r="P38" i="10"/>
  <c r="O38" i="10"/>
  <c r="N38" i="10"/>
  <c r="M38" i="10"/>
  <c r="L38" i="10"/>
  <c r="K38" i="10"/>
  <c r="J38" i="10"/>
  <c r="I38" i="10"/>
  <c r="H38" i="10"/>
  <c r="G38" i="10"/>
  <c r="AE37" i="10"/>
  <c r="Y37" i="10"/>
  <c r="W37" i="10"/>
  <c r="AG33" i="10"/>
  <c r="AF33" i="10"/>
  <c r="AE33" i="10"/>
  <c r="AD33" i="10"/>
  <c r="AC33" i="10"/>
  <c r="AB33" i="10"/>
  <c r="AA33" i="10"/>
  <c r="Z33" i="10"/>
  <c r="Y33" i="10"/>
  <c r="X33" i="10"/>
  <c r="W33" i="10"/>
  <c r="V33" i="10"/>
  <c r="U33" i="10"/>
  <c r="S33" i="10"/>
  <c r="R33" i="10"/>
  <c r="Q33" i="10"/>
  <c r="P33" i="10"/>
  <c r="O33" i="10"/>
  <c r="N33" i="10"/>
  <c r="M33" i="10"/>
  <c r="L33" i="10"/>
  <c r="K33" i="10"/>
  <c r="J33" i="10"/>
  <c r="I33" i="10"/>
  <c r="H33" i="10"/>
  <c r="G33" i="10"/>
  <c r="AH24" i="10"/>
  <c r="AL24" i="10" s="1"/>
  <c r="T24" i="10"/>
  <c r="G24" i="10"/>
  <c r="D24" i="10"/>
  <c r="AL23" i="10"/>
  <c r="AK23" i="10"/>
  <c r="AG21" i="10"/>
  <c r="U21" i="10"/>
  <c r="Q21" i="10"/>
  <c r="N21" i="10"/>
  <c r="L21" i="10"/>
  <c r="J21" i="10"/>
  <c r="I21" i="10"/>
  <c r="H21" i="10"/>
  <c r="G21" i="10"/>
  <c r="AH20" i="10"/>
  <c r="U20" i="10"/>
  <c r="N20" i="10"/>
  <c r="J20" i="10"/>
  <c r="I20" i="10"/>
  <c r="H20" i="10"/>
  <c r="T20" i="10" s="1"/>
  <c r="G20" i="10"/>
  <c r="AL19" i="10"/>
  <c r="AH19" i="10"/>
  <c r="U19" i="10"/>
  <c r="N19" i="10"/>
  <c r="I19" i="10"/>
  <c r="G19" i="10"/>
  <c r="AH18" i="10"/>
  <c r="U18" i="10"/>
  <c r="N18" i="10"/>
  <c r="J18" i="10"/>
  <c r="I18" i="10"/>
  <c r="H18" i="10"/>
  <c r="G18" i="10"/>
  <c r="AG17" i="10"/>
  <c r="U17" i="10"/>
  <c r="N17" i="10"/>
  <c r="J17" i="10"/>
  <c r="I17" i="10"/>
  <c r="H17" i="10"/>
  <c r="G17" i="10"/>
  <c r="AF16" i="10"/>
  <c r="AE16" i="10"/>
  <c r="AD16" i="10"/>
  <c r="AC16" i="10"/>
  <c r="AB16" i="10"/>
  <c r="AA16" i="10"/>
  <c r="Z16" i="10"/>
  <c r="Y16" i="10"/>
  <c r="X16" i="10"/>
  <c r="W16" i="10"/>
  <c r="V16" i="10"/>
  <c r="S16" i="10"/>
  <c r="R16" i="10"/>
  <c r="Q16" i="10"/>
  <c r="P16" i="10"/>
  <c r="O16" i="10"/>
  <c r="M16" i="10"/>
  <c r="K16" i="10"/>
  <c r="AA14" i="10"/>
  <c r="X14" i="10"/>
  <c r="U14" i="10"/>
  <c r="G14" i="10"/>
  <c r="AG12" i="10"/>
  <c r="AF12" i="10"/>
  <c r="AE12" i="10"/>
  <c r="AD12" i="10"/>
  <c r="AC12" i="10"/>
  <c r="AB12" i="10"/>
  <c r="AB14" i="10" s="1"/>
  <c r="AA12" i="10"/>
  <c r="Z12" i="10"/>
  <c r="Z14" i="10" s="1"/>
  <c r="Y12" i="10"/>
  <c r="Y14" i="10" s="1"/>
  <c r="X12" i="10"/>
  <c r="W12" i="10"/>
  <c r="W14" i="10" s="1"/>
  <c r="V12" i="10"/>
  <c r="AH12" i="10" s="1"/>
  <c r="S12" i="10"/>
  <c r="R12" i="10"/>
  <c r="Q12" i="10"/>
  <c r="Q14" i="10" s="1"/>
  <c r="P12" i="10"/>
  <c r="O12" i="10"/>
  <c r="N12" i="10"/>
  <c r="M12" i="10"/>
  <c r="L12" i="10"/>
  <c r="K12" i="10"/>
  <c r="J12" i="10"/>
  <c r="I12" i="10"/>
  <c r="H12" i="10"/>
  <c r="AG10" i="10"/>
  <c r="AF10" i="10"/>
  <c r="AE10" i="10"/>
  <c r="AD10" i="10"/>
  <c r="AD28" i="10" s="1"/>
  <c r="AC10" i="10"/>
  <c r="AC28" i="10" s="1"/>
  <c r="AB10" i="10"/>
  <c r="AA10" i="10"/>
  <c r="Z10" i="10"/>
  <c r="Y10" i="10"/>
  <c r="X10" i="10"/>
  <c r="X28" i="10" s="1"/>
  <c r="W10" i="10"/>
  <c r="W28" i="10" s="1"/>
  <c r="V10" i="10"/>
  <c r="U10" i="10"/>
  <c r="S10" i="10"/>
  <c r="R10" i="10"/>
  <c r="Q10" i="10"/>
  <c r="P10" i="10"/>
  <c r="O10" i="10"/>
  <c r="N10" i="10"/>
  <c r="M10" i="10"/>
  <c r="L10" i="10"/>
  <c r="K10" i="10"/>
  <c r="J10" i="10"/>
  <c r="I10" i="10"/>
  <c r="H10" i="10"/>
  <c r="G10" i="10"/>
  <c r="BT81" i="9"/>
  <c r="BS81" i="9"/>
  <c r="BR81" i="9"/>
  <c r="BQ81" i="9"/>
  <c r="BO81" i="9"/>
  <c r="BN81" i="9"/>
  <c r="BM81" i="9"/>
  <c r="BL81" i="9"/>
  <c r="BJ81" i="9"/>
  <c r="BI81" i="9"/>
  <c r="BH81" i="9"/>
  <c r="BG81" i="9"/>
  <c r="BE81" i="9"/>
  <c r="BD81" i="9"/>
  <c r="BC81" i="9"/>
  <c r="BB81" i="9"/>
  <c r="AZ81" i="9"/>
  <c r="AY81" i="9"/>
  <c r="AX81" i="9"/>
  <c r="AW81" i="9"/>
  <c r="AU81" i="9"/>
  <c r="AT81" i="9"/>
  <c r="AS81" i="9"/>
  <c r="AR81" i="9"/>
  <c r="AP81" i="9"/>
  <c r="AO81" i="9"/>
  <c r="AN81" i="9"/>
  <c r="AM81" i="9"/>
  <c r="AK81" i="9"/>
  <c r="AJ81" i="9"/>
  <c r="AI81" i="9"/>
  <c r="AH81" i="9"/>
  <c r="AF81" i="9"/>
  <c r="AE81" i="9"/>
  <c r="AD81" i="9"/>
  <c r="AC81" i="9"/>
  <c r="AA81" i="9"/>
  <c r="Z81" i="9"/>
  <c r="Y81" i="9"/>
  <c r="X81" i="9"/>
  <c r="V81" i="9"/>
  <c r="U81" i="9"/>
  <c r="T81" i="9"/>
  <c r="S81" i="9"/>
  <c r="Q81" i="9"/>
  <c r="P81" i="9"/>
  <c r="O81" i="9"/>
  <c r="N81" i="9"/>
  <c r="BU80" i="9"/>
  <c r="BT80" i="9"/>
  <c r="BS80" i="9"/>
  <c r="BR80" i="9"/>
  <c r="BQ80" i="9"/>
  <c r="BP80" i="9"/>
  <c r="BO80" i="9"/>
  <c r="BN80" i="9"/>
  <c r="BM80"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BT79" i="9"/>
  <c r="BS79" i="9"/>
  <c r="BR79" i="9"/>
  <c r="BQ79" i="9"/>
  <c r="BO79" i="9"/>
  <c r="BN79" i="9"/>
  <c r="BM79" i="9"/>
  <c r="BL79" i="9"/>
  <c r="BJ79" i="9"/>
  <c r="BI79" i="9"/>
  <c r="BH79" i="9"/>
  <c r="BG79" i="9"/>
  <c r="BE79" i="9"/>
  <c r="BD79" i="9"/>
  <c r="BC79" i="9"/>
  <c r="BB79" i="9"/>
  <c r="AZ79" i="9"/>
  <c r="AY79" i="9"/>
  <c r="AX79" i="9"/>
  <c r="AW79" i="9"/>
  <c r="AV79" i="9"/>
  <c r="AU79" i="9"/>
  <c r="AT79" i="9"/>
  <c r="AS79" i="9"/>
  <c r="AR79" i="9"/>
  <c r="AP79" i="9"/>
  <c r="AO79" i="9"/>
  <c r="AN79" i="9"/>
  <c r="AM79" i="9"/>
  <c r="AK79" i="9"/>
  <c r="AJ79" i="9"/>
  <c r="AI79" i="9"/>
  <c r="AH79" i="9"/>
  <c r="AF79" i="9"/>
  <c r="AE79" i="9"/>
  <c r="AD79" i="9"/>
  <c r="AC79" i="9"/>
  <c r="AA79" i="9"/>
  <c r="Z79" i="9"/>
  <c r="Y79" i="9"/>
  <c r="X79" i="9"/>
  <c r="V79" i="9"/>
  <c r="U79" i="9"/>
  <c r="T79" i="9"/>
  <c r="S79" i="9"/>
  <c r="R79" i="9"/>
  <c r="Q79" i="9"/>
  <c r="P79" i="9"/>
  <c r="O79" i="9"/>
  <c r="N79" i="9"/>
  <c r="BU78" i="9"/>
  <c r="BT78" i="9"/>
  <c r="BS78" i="9"/>
  <c r="BR78" i="9"/>
  <c r="BQ78" i="9"/>
  <c r="BP78" i="9"/>
  <c r="BO78" i="9"/>
  <c r="BN78" i="9"/>
  <c r="BM78"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BU77" i="9"/>
  <c r="BT77" i="9"/>
  <c r="BS77" i="9"/>
  <c r="BR77" i="9"/>
  <c r="BQ77" i="9"/>
  <c r="BP77" i="9"/>
  <c r="BO77" i="9"/>
  <c r="BN77" i="9"/>
  <c r="BM77"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BU76" i="9"/>
  <c r="BT76" i="9"/>
  <c r="BS76" i="9"/>
  <c r="BR76" i="9"/>
  <c r="BQ76" i="9"/>
  <c r="BP76" i="9"/>
  <c r="BO76" i="9"/>
  <c r="BN76" i="9"/>
  <c r="BM76"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BT75" i="9"/>
  <c r="BS75" i="9"/>
  <c r="BR75" i="9"/>
  <c r="BQ75" i="9"/>
  <c r="BP75" i="9"/>
  <c r="BO75" i="9"/>
  <c r="BN75" i="9"/>
  <c r="BM75"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BT74" i="9"/>
  <c r="BS74" i="9"/>
  <c r="BR74" i="9"/>
  <c r="BQ74" i="9"/>
  <c r="BP74" i="9"/>
  <c r="BO74" i="9"/>
  <c r="BN74" i="9"/>
  <c r="BM74"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BT73" i="9"/>
  <c r="BS73" i="9"/>
  <c r="BR73" i="9"/>
  <c r="BQ73" i="9"/>
  <c r="BO73" i="9"/>
  <c r="BN73" i="9"/>
  <c r="BM73" i="9"/>
  <c r="BL73" i="9"/>
  <c r="BJ73" i="9"/>
  <c r="BI73" i="9"/>
  <c r="BH73" i="9"/>
  <c r="BG73" i="9"/>
  <c r="BE73" i="9"/>
  <c r="BD73" i="9"/>
  <c r="BC73" i="9"/>
  <c r="BB73" i="9"/>
  <c r="AZ73" i="9"/>
  <c r="AY73" i="9"/>
  <c r="AX73" i="9"/>
  <c r="AW73" i="9"/>
  <c r="AU73" i="9"/>
  <c r="AT73" i="9"/>
  <c r="AS73" i="9"/>
  <c r="AR73" i="9"/>
  <c r="AP73" i="9"/>
  <c r="AO73" i="9"/>
  <c r="AN73" i="9"/>
  <c r="AM73" i="9"/>
  <c r="AK73" i="9"/>
  <c r="AJ73" i="9"/>
  <c r="AI73" i="9"/>
  <c r="AH73" i="9"/>
  <c r="AF73" i="9"/>
  <c r="AE73" i="9"/>
  <c r="AD73" i="9"/>
  <c r="AC73" i="9"/>
  <c r="AA73" i="9"/>
  <c r="Z73" i="9"/>
  <c r="Y73" i="9"/>
  <c r="X73" i="9"/>
  <c r="V73" i="9"/>
  <c r="U73" i="9"/>
  <c r="T73" i="9"/>
  <c r="S73" i="9"/>
  <c r="Q73" i="9"/>
  <c r="P73" i="9"/>
  <c r="O73" i="9"/>
  <c r="N73" i="9"/>
  <c r="BU72" i="9"/>
  <c r="BT72" i="9"/>
  <c r="BS72" i="9"/>
  <c r="BR72" i="9"/>
  <c r="BQ72" i="9"/>
  <c r="BP72" i="9"/>
  <c r="BO72" i="9"/>
  <c r="BN72" i="9"/>
  <c r="BM72"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BU71" i="9"/>
  <c r="BT71" i="9"/>
  <c r="BS71" i="9"/>
  <c r="BR71" i="9"/>
  <c r="BQ71" i="9"/>
  <c r="BP71" i="9"/>
  <c r="BO71" i="9"/>
  <c r="BN71" i="9"/>
  <c r="BM71"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BT70" i="9"/>
  <c r="BS70" i="9"/>
  <c r="BR70" i="9"/>
  <c r="BQ70" i="9"/>
  <c r="BP70" i="9"/>
  <c r="BO70" i="9"/>
  <c r="BN70" i="9"/>
  <c r="BM70"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BT69" i="9"/>
  <c r="BS69" i="9"/>
  <c r="BR69" i="9"/>
  <c r="BQ69" i="9"/>
  <c r="BP69" i="9"/>
  <c r="BO69" i="9"/>
  <c r="BN69" i="9"/>
  <c r="BM69"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BT68" i="9"/>
  <c r="BS68" i="9"/>
  <c r="BR68" i="9"/>
  <c r="BQ68" i="9"/>
  <c r="BO68" i="9"/>
  <c r="BN68" i="9"/>
  <c r="BM68" i="9"/>
  <c r="BL68" i="9"/>
  <c r="BJ68" i="9"/>
  <c r="BI68" i="9"/>
  <c r="BH68" i="9"/>
  <c r="BG68" i="9"/>
  <c r="BE68" i="9"/>
  <c r="BD68" i="9"/>
  <c r="BC68" i="9"/>
  <c r="BB68" i="9"/>
  <c r="AZ68" i="9"/>
  <c r="AY68" i="9"/>
  <c r="AX68" i="9"/>
  <c r="AW68" i="9"/>
  <c r="AU68" i="9"/>
  <c r="AT68" i="9"/>
  <c r="AS68" i="9"/>
  <c r="AR68" i="9"/>
  <c r="AP68" i="9"/>
  <c r="AO68" i="9"/>
  <c r="AN68" i="9"/>
  <c r="AM68" i="9"/>
  <c r="AK68" i="9"/>
  <c r="AJ68" i="9"/>
  <c r="AI68" i="9"/>
  <c r="AH68" i="9"/>
  <c r="AF68" i="9"/>
  <c r="AE68" i="9"/>
  <c r="AD68" i="9"/>
  <c r="AC68" i="9"/>
  <c r="AA68" i="9"/>
  <c r="Z68" i="9"/>
  <c r="Y68" i="9"/>
  <c r="X68" i="9"/>
  <c r="V68" i="9"/>
  <c r="U68" i="9"/>
  <c r="T68" i="9"/>
  <c r="S68" i="9"/>
  <c r="Q68" i="9"/>
  <c r="P68" i="9"/>
  <c r="O68" i="9"/>
  <c r="N68" i="9"/>
  <c r="BU67" i="9"/>
  <c r="BT67" i="9"/>
  <c r="BS67" i="9"/>
  <c r="BR67" i="9"/>
  <c r="BQ67" i="9"/>
  <c r="BP67" i="9"/>
  <c r="BO67" i="9"/>
  <c r="BN67" i="9"/>
  <c r="BM67" i="9"/>
  <c r="BL67" i="9"/>
  <c r="BK67" i="9"/>
  <c r="BJ67" i="9"/>
  <c r="BI67" i="9"/>
  <c r="BH67" i="9"/>
  <c r="BG67" i="9"/>
  <c r="BF67" i="9"/>
  <c r="BE67" i="9"/>
  <c r="BD67" i="9"/>
  <c r="BC67" i="9"/>
  <c r="BB67" i="9"/>
  <c r="BA67" i="9"/>
  <c r="AZ67" i="9"/>
  <c r="AY67" i="9"/>
  <c r="AX67" i="9"/>
  <c r="AW67" i="9"/>
  <c r="AV67" i="9"/>
  <c r="AU67" i="9"/>
  <c r="AT67" i="9"/>
  <c r="AS67" i="9"/>
  <c r="AR67" i="9"/>
  <c r="AQ67" i="9"/>
  <c r="AP67" i="9"/>
  <c r="AO67" i="9"/>
  <c r="AN67" i="9"/>
  <c r="AM67" i="9"/>
  <c r="AL67" i="9"/>
  <c r="AK67" i="9"/>
  <c r="AJ67" i="9"/>
  <c r="AI67" i="9"/>
  <c r="AH67" i="9"/>
  <c r="AG67" i="9"/>
  <c r="AF67" i="9"/>
  <c r="AE67" i="9"/>
  <c r="AD67" i="9"/>
  <c r="AC67" i="9"/>
  <c r="AB67" i="9"/>
  <c r="AA67" i="9"/>
  <c r="Z67" i="9"/>
  <c r="Y67" i="9"/>
  <c r="X67" i="9"/>
  <c r="W67" i="9"/>
  <c r="V67" i="9"/>
  <c r="U67" i="9"/>
  <c r="T67" i="9"/>
  <c r="S67" i="9"/>
  <c r="R67" i="9"/>
  <c r="Q67" i="9"/>
  <c r="P67" i="9"/>
  <c r="O67" i="9"/>
  <c r="N67" i="9"/>
  <c r="M67" i="9"/>
  <c r="BT66" i="9"/>
  <c r="BS66" i="9"/>
  <c r="BR66" i="9"/>
  <c r="BQ66" i="9"/>
  <c r="BP66" i="9"/>
  <c r="BO66" i="9"/>
  <c r="BN66" i="9"/>
  <c r="BM66" i="9"/>
  <c r="BL66" i="9"/>
  <c r="BK66" i="9"/>
  <c r="BJ66" i="9"/>
  <c r="BI66" i="9"/>
  <c r="BH66" i="9"/>
  <c r="BG66" i="9"/>
  <c r="BF66" i="9"/>
  <c r="BE66" i="9"/>
  <c r="BD66" i="9"/>
  <c r="BC66" i="9"/>
  <c r="BB66" i="9"/>
  <c r="BA66" i="9"/>
  <c r="AZ66" i="9"/>
  <c r="AY66" i="9"/>
  <c r="AX66" i="9"/>
  <c r="AW66" i="9"/>
  <c r="AV66" i="9"/>
  <c r="AU66" i="9"/>
  <c r="AT66" i="9"/>
  <c r="AS66" i="9"/>
  <c r="AR66" i="9"/>
  <c r="AQ66" i="9"/>
  <c r="AP66" i="9"/>
  <c r="AO66" i="9"/>
  <c r="AN66" i="9"/>
  <c r="AM66" i="9"/>
  <c r="AL66" i="9"/>
  <c r="AK66" i="9"/>
  <c r="AJ66" i="9"/>
  <c r="AI66" i="9"/>
  <c r="AH66" i="9"/>
  <c r="AG66" i="9"/>
  <c r="AF66" i="9"/>
  <c r="AE66" i="9"/>
  <c r="AD66" i="9"/>
  <c r="AC66" i="9"/>
  <c r="AB66" i="9"/>
  <c r="AA66" i="9"/>
  <c r="Z66" i="9"/>
  <c r="Y66" i="9"/>
  <c r="X66" i="9"/>
  <c r="W66" i="9"/>
  <c r="V66" i="9"/>
  <c r="U66" i="9"/>
  <c r="T66" i="9"/>
  <c r="S66" i="9"/>
  <c r="R66" i="9"/>
  <c r="Q66" i="9"/>
  <c r="P66" i="9"/>
  <c r="O66" i="9"/>
  <c r="N66" i="9"/>
  <c r="M66" i="9"/>
  <c r="BU65" i="9"/>
  <c r="BT65" i="9"/>
  <c r="BS65" i="9"/>
  <c r="BR65" i="9"/>
  <c r="BQ65" i="9"/>
  <c r="BP65" i="9"/>
  <c r="BO65" i="9"/>
  <c r="BN65" i="9"/>
  <c r="BM65" i="9"/>
  <c r="BL65" i="9"/>
  <c r="BK65" i="9"/>
  <c r="BJ65" i="9"/>
  <c r="BI65" i="9"/>
  <c r="BH65" i="9"/>
  <c r="BG65" i="9"/>
  <c r="BF65" i="9"/>
  <c r="BE65" i="9"/>
  <c r="BD65" i="9"/>
  <c r="BC65" i="9"/>
  <c r="BB65" i="9"/>
  <c r="BA65" i="9"/>
  <c r="AZ65" i="9"/>
  <c r="AY65" i="9"/>
  <c r="AX65" i="9"/>
  <c r="AW65" i="9"/>
  <c r="AV65" i="9"/>
  <c r="AU65" i="9"/>
  <c r="AT65" i="9"/>
  <c r="AS65" i="9"/>
  <c r="AR65" i="9"/>
  <c r="AQ65" i="9"/>
  <c r="AP65" i="9"/>
  <c r="AO65" i="9"/>
  <c r="AN65" i="9"/>
  <c r="AM65" i="9"/>
  <c r="AL65" i="9"/>
  <c r="AK65" i="9"/>
  <c r="AJ65" i="9"/>
  <c r="AI65" i="9"/>
  <c r="AH65" i="9"/>
  <c r="AG65" i="9"/>
  <c r="AF65" i="9"/>
  <c r="AE65" i="9"/>
  <c r="AD65" i="9"/>
  <c r="AC65" i="9"/>
  <c r="AB65" i="9"/>
  <c r="AA65" i="9"/>
  <c r="Z65" i="9"/>
  <c r="Y65" i="9"/>
  <c r="X65" i="9"/>
  <c r="W65" i="9"/>
  <c r="V65" i="9"/>
  <c r="U65" i="9"/>
  <c r="T65" i="9"/>
  <c r="S65" i="9"/>
  <c r="R65" i="9"/>
  <c r="Q65" i="9"/>
  <c r="P65" i="9"/>
  <c r="O65" i="9"/>
  <c r="N65" i="9"/>
  <c r="M65" i="9"/>
  <c r="BT64" i="9"/>
  <c r="BS64" i="9"/>
  <c r="BR64" i="9"/>
  <c r="BQ64" i="9"/>
  <c r="BO64" i="9"/>
  <c r="BN64" i="9"/>
  <c r="BM64" i="9"/>
  <c r="BL64" i="9"/>
  <c r="BK64" i="9"/>
  <c r="BJ64" i="9"/>
  <c r="BI64" i="9"/>
  <c r="BH64" i="9"/>
  <c r="BG64" i="9"/>
  <c r="BE64" i="9"/>
  <c r="BD64" i="9"/>
  <c r="BC64" i="9"/>
  <c r="BB64" i="9"/>
  <c r="BA64" i="9"/>
  <c r="AZ64" i="9"/>
  <c r="AY64" i="9"/>
  <c r="AX64"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Q64" i="9"/>
  <c r="P64" i="9"/>
  <c r="O64" i="9"/>
  <c r="N64" i="9"/>
  <c r="M64" i="9"/>
  <c r="BU63" i="9"/>
  <c r="BT63" i="9"/>
  <c r="BS63" i="9"/>
  <c r="BR63" i="9"/>
  <c r="BQ63" i="9"/>
  <c r="BP63" i="9"/>
  <c r="BO63" i="9"/>
  <c r="BN63" i="9"/>
  <c r="BM63"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BU62" i="9"/>
  <c r="BT62" i="9"/>
  <c r="BS62" i="9"/>
  <c r="BR62" i="9"/>
  <c r="BQ62" i="9"/>
  <c r="BP62" i="9"/>
  <c r="BO62" i="9"/>
  <c r="BN62" i="9"/>
  <c r="BM62"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BU61" i="9"/>
  <c r="BT61" i="9"/>
  <c r="BS61" i="9"/>
  <c r="BR61" i="9"/>
  <c r="BQ61" i="9"/>
  <c r="BP61" i="9"/>
  <c r="BO61" i="9"/>
  <c r="BN61" i="9"/>
  <c r="BM61"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BT60" i="9"/>
  <c r="BS60" i="9"/>
  <c r="BR60" i="9"/>
  <c r="BQ60" i="9"/>
  <c r="BP60" i="9"/>
  <c r="BO60" i="9"/>
  <c r="BN60" i="9"/>
  <c r="BM60"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BT58" i="9"/>
  <c r="BS58" i="9"/>
  <c r="BR58" i="9"/>
  <c r="BQ58" i="9"/>
  <c r="BO58" i="9"/>
  <c r="BN58" i="9"/>
  <c r="BM58" i="9"/>
  <c r="BL58" i="9"/>
  <c r="BJ58" i="9"/>
  <c r="BI58" i="9"/>
  <c r="BH58" i="9"/>
  <c r="BG58" i="9"/>
  <c r="BE58" i="9"/>
  <c r="BD58" i="9"/>
  <c r="BC58" i="9"/>
  <c r="BB58" i="9"/>
  <c r="AZ58" i="9"/>
  <c r="AY58" i="9"/>
  <c r="AX58" i="9"/>
  <c r="AW58" i="9"/>
  <c r="AU58" i="9"/>
  <c r="AT58" i="9"/>
  <c r="AS58" i="9"/>
  <c r="AR58" i="9"/>
  <c r="AP58" i="9"/>
  <c r="AO58" i="9"/>
  <c r="AN58" i="9"/>
  <c r="AM58" i="9"/>
  <c r="AK58" i="9"/>
  <c r="AJ58" i="9"/>
  <c r="AI58" i="9"/>
  <c r="AH58" i="9"/>
  <c r="AG58" i="9"/>
  <c r="AF58" i="9"/>
  <c r="AE58" i="9"/>
  <c r="AD58" i="9"/>
  <c r="AC58" i="9"/>
  <c r="AA58" i="9"/>
  <c r="Z58" i="9"/>
  <c r="Y58" i="9"/>
  <c r="X58" i="9"/>
  <c r="V58" i="9"/>
  <c r="U58" i="9"/>
  <c r="T58" i="9"/>
  <c r="S58" i="9"/>
  <c r="Q58" i="9"/>
  <c r="P58" i="9"/>
  <c r="O58" i="9"/>
  <c r="N58"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BT56" i="9"/>
  <c r="BS56" i="9"/>
  <c r="BR56" i="9"/>
  <c r="BQ56" i="9"/>
  <c r="BO56" i="9"/>
  <c r="BN56" i="9"/>
  <c r="BM56" i="9"/>
  <c r="BL56" i="9"/>
  <c r="BJ56" i="9"/>
  <c r="BI56" i="9"/>
  <c r="BH56" i="9"/>
  <c r="BG56" i="9"/>
  <c r="BE56" i="9"/>
  <c r="BD56" i="9"/>
  <c r="BC56" i="9"/>
  <c r="BB56" i="9"/>
  <c r="AZ56" i="9"/>
  <c r="AY56" i="9"/>
  <c r="AX56" i="9"/>
  <c r="AW56" i="9"/>
  <c r="AU56" i="9"/>
  <c r="AT56" i="9"/>
  <c r="AS56" i="9"/>
  <c r="AR56" i="9"/>
  <c r="AP56" i="9"/>
  <c r="AO56" i="9"/>
  <c r="AN56" i="9"/>
  <c r="AM56" i="9"/>
  <c r="AK56" i="9"/>
  <c r="AJ56" i="9"/>
  <c r="AI56" i="9"/>
  <c r="AH56" i="9"/>
  <c r="AF56" i="9"/>
  <c r="AE56" i="9"/>
  <c r="AD56" i="9"/>
  <c r="AC56" i="9"/>
  <c r="AA56" i="9"/>
  <c r="Z56" i="9"/>
  <c r="Y56" i="9"/>
  <c r="X56" i="9"/>
  <c r="V56" i="9"/>
  <c r="U56" i="9"/>
  <c r="T56" i="9"/>
  <c r="S56" i="9"/>
  <c r="Q56" i="9"/>
  <c r="P56" i="9"/>
  <c r="O56" i="9"/>
  <c r="N56" i="9"/>
  <c r="M56" i="9"/>
  <c r="BT55" i="9"/>
  <c r="BS55" i="9"/>
  <c r="BR55" i="9"/>
  <c r="BQ55" i="9"/>
  <c r="BO55" i="9"/>
  <c r="BN55" i="9"/>
  <c r="BM55" i="9"/>
  <c r="BL55" i="9"/>
  <c r="BJ55" i="9"/>
  <c r="BI55" i="9"/>
  <c r="BH55" i="9"/>
  <c r="BG55" i="9"/>
  <c r="BE55" i="9"/>
  <c r="BD55" i="9"/>
  <c r="BC55" i="9"/>
  <c r="BB55" i="9"/>
  <c r="AZ55" i="9"/>
  <c r="AY55" i="9"/>
  <c r="AX55" i="9"/>
  <c r="AW55" i="9"/>
  <c r="AU55" i="9"/>
  <c r="AT55" i="9"/>
  <c r="AS55" i="9"/>
  <c r="AR55" i="9"/>
  <c r="AP55" i="9"/>
  <c r="AO55" i="9"/>
  <c r="AN55" i="9"/>
  <c r="AM55" i="9"/>
  <c r="AK55" i="9"/>
  <c r="AJ55" i="9"/>
  <c r="AI55" i="9"/>
  <c r="AH55" i="9"/>
  <c r="AF55" i="9"/>
  <c r="AE55" i="9"/>
  <c r="AD55" i="9"/>
  <c r="AC55" i="9"/>
  <c r="AA55" i="9"/>
  <c r="Z55" i="9"/>
  <c r="Y55" i="9"/>
  <c r="X55" i="9"/>
  <c r="V55" i="9"/>
  <c r="U55" i="9"/>
  <c r="T55" i="9"/>
  <c r="S55" i="9"/>
  <c r="Q55" i="9"/>
  <c r="P55" i="9"/>
  <c r="O55" i="9"/>
  <c r="N55" i="9"/>
  <c r="M55" i="9"/>
  <c r="BT54" i="9"/>
  <c r="BS54" i="9"/>
  <c r="BR54" i="9"/>
  <c r="BQ54" i="9"/>
  <c r="BO54" i="9"/>
  <c r="BN54" i="9"/>
  <c r="BM54" i="9"/>
  <c r="BL54" i="9"/>
  <c r="BJ54" i="9"/>
  <c r="BI54" i="9"/>
  <c r="BH54" i="9"/>
  <c r="BG54" i="9"/>
  <c r="BE54" i="9"/>
  <c r="BD54" i="9"/>
  <c r="BC54" i="9"/>
  <c r="BB54" i="9"/>
  <c r="AZ54" i="9"/>
  <c r="AY54" i="9"/>
  <c r="AX54" i="9"/>
  <c r="AW54" i="9"/>
  <c r="AU54" i="9"/>
  <c r="AT54" i="9"/>
  <c r="AS54" i="9"/>
  <c r="AR54" i="9"/>
  <c r="AP54" i="9"/>
  <c r="AO54" i="9"/>
  <c r="AN54" i="9"/>
  <c r="AM54" i="9"/>
  <c r="AK54" i="9"/>
  <c r="AJ54" i="9"/>
  <c r="AI54" i="9"/>
  <c r="AH54" i="9"/>
  <c r="AF54" i="9"/>
  <c r="AE54" i="9"/>
  <c r="AD54" i="9"/>
  <c r="AC54" i="9"/>
  <c r="AA54" i="9"/>
  <c r="Z54" i="9"/>
  <c r="Y54" i="9"/>
  <c r="X54" i="9"/>
  <c r="V54" i="9"/>
  <c r="U54" i="9"/>
  <c r="T54" i="9"/>
  <c r="S54" i="9"/>
  <c r="Q54" i="9"/>
  <c r="P54" i="9"/>
  <c r="O54" i="9"/>
  <c r="N54" i="9"/>
  <c r="BT53" i="9"/>
  <c r="BS53" i="9"/>
  <c r="BR53" i="9"/>
  <c r="BQ53" i="9"/>
  <c r="BO53" i="9"/>
  <c r="BN53" i="9"/>
  <c r="BM53" i="9"/>
  <c r="BL53" i="9"/>
  <c r="BJ53" i="9"/>
  <c r="BI53" i="9"/>
  <c r="BH53" i="9"/>
  <c r="BG53" i="9"/>
  <c r="BE53" i="9"/>
  <c r="BD53" i="9"/>
  <c r="BC53" i="9"/>
  <c r="BB53" i="9"/>
  <c r="AZ53" i="9"/>
  <c r="AY53" i="9"/>
  <c r="AX53" i="9"/>
  <c r="AW53" i="9"/>
  <c r="AU53" i="9"/>
  <c r="AT53" i="9"/>
  <c r="AS53" i="9"/>
  <c r="AR53" i="9"/>
  <c r="AP53" i="9"/>
  <c r="AO53" i="9"/>
  <c r="AN53" i="9"/>
  <c r="AM53" i="9"/>
  <c r="AK53" i="9"/>
  <c r="AJ53" i="9"/>
  <c r="AI53" i="9"/>
  <c r="AH53" i="9"/>
  <c r="AF53" i="9"/>
  <c r="AE53" i="9"/>
  <c r="AD53" i="9"/>
  <c r="AC53" i="9"/>
  <c r="AA53" i="9"/>
  <c r="Z53" i="9"/>
  <c r="Y53" i="9"/>
  <c r="X53" i="9"/>
  <c r="V53" i="9"/>
  <c r="U53" i="9"/>
  <c r="T53" i="9"/>
  <c r="S53" i="9"/>
  <c r="Q53" i="9"/>
  <c r="P53" i="9"/>
  <c r="O53" i="9"/>
  <c r="N53" i="9"/>
  <c r="CJ52" i="9"/>
  <c r="EH38" i="9"/>
  <c r="EC38" i="9"/>
  <c r="DX38" i="9"/>
  <c r="DS38" i="9"/>
  <c r="DN38" i="9"/>
  <c r="DI38" i="9"/>
  <c r="DD38" i="9"/>
  <c r="CY38" i="9"/>
  <c r="CT38" i="9"/>
  <c r="CO38" i="9"/>
  <c r="CO51" i="9" s="1"/>
  <c r="CJ38" i="9"/>
  <c r="CE38" i="9"/>
  <c r="EM38" i="9" s="1"/>
  <c r="BZ38" i="9"/>
  <c r="BP38" i="9"/>
  <c r="BP79" i="9" s="1"/>
  <c r="BK38" i="9"/>
  <c r="BK79" i="9" s="1"/>
  <c r="BF38" i="9"/>
  <c r="BF79" i="9" s="1"/>
  <c r="BA38" i="9"/>
  <c r="BA79" i="9" s="1"/>
  <c r="AV38" i="9"/>
  <c r="AQ38" i="9"/>
  <c r="AQ79" i="9" s="1"/>
  <c r="AL38" i="9"/>
  <c r="AL79" i="9" s="1"/>
  <c r="AG38" i="9"/>
  <c r="AG79" i="9" s="1"/>
  <c r="AB38" i="9"/>
  <c r="AB79" i="9" s="1"/>
  <c r="W38" i="9"/>
  <c r="W79" i="9" s="1"/>
  <c r="R38" i="9"/>
  <c r="M38" i="9"/>
  <c r="M79" i="9" s="1"/>
  <c r="EM34" i="9"/>
  <c r="BU34" i="9"/>
  <c r="EM33" i="9"/>
  <c r="EM32" i="9" s="1"/>
  <c r="BU33" i="9"/>
  <c r="BU32" i="9" s="1"/>
  <c r="BU73" i="9" s="1"/>
  <c r="EH32" i="9"/>
  <c r="EC32" i="9"/>
  <c r="DX32" i="9"/>
  <c r="DS32" i="9"/>
  <c r="DN32" i="9"/>
  <c r="DI32" i="9"/>
  <c r="DD32" i="9"/>
  <c r="CY32" i="9"/>
  <c r="CT32" i="9"/>
  <c r="CO32" i="9"/>
  <c r="CJ32" i="9"/>
  <c r="CE32" i="9"/>
  <c r="BZ32" i="9"/>
  <c r="BP32" i="9"/>
  <c r="BP73" i="9" s="1"/>
  <c r="BK32" i="9"/>
  <c r="BK73" i="9" s="1"/>
  <c r="BF32" i="9"/>
  <c r="BA32" i="9"/>
  <c r="AV32" i="9"/>
  <c r="AV73" i="9" s="1"/>
  <c r="AQ32" i="9"/>
  <c r="AQ73" i="9" s="1"/>
  <c r="AL32" i="9"/>
  <c r="AL73" i="9" s="1"/>
  <c r="AG32" i="9"/>
  <c r="AG73" i="9" s="1"/>
  <c r="AB32" i="9"/>
  <c r="W32" i="9"/>
  <c r="R32" i="9"/>
  <c r="R73" i="9" s="1"/>
  <c r="M32" i="9"/>
  <c r="M73" i="9" s="1"/>
  <c r="H32" i="9"/>
  <c r="EM29" i="9"/>
  <c r="BU29" i="9"/>
  <c r="EM28" i="9"/>
  <c r="BU28" i="9"/>
  <c r="H28" i="9"/>
  <c r="H27" i="9" s="1"/>
  <c r="EH27" i="9"/>
  <c r="EC27" i="9"/>
  <c r="DX27" i="9"/>
  <c r="DS27" i="9"/>
  <c r="DN27" i="9"/>
  <c r="DI27" i="9"/>
  <c r="DD27" i="9"/>
  <c r="CY27" i="9"/>
  <c r="CT27" i="9"/>
  <c r="CO27" i="9"/>
  <c r="CJ27" i="9"/>
  <c r="CE27" i="9"/>
  <c r="BZ27" i="9"/>
  <c r="BP27" i="9"/>
  <c r="BK27" i="9"/>
  <c r="BK68" i="9" s="1"/>
  <c r="BF27" i="9"/>
  <c r="BA27" i="9"/>
  <c r="AV27" i="9"/>
  <c r="AQ27" i="9"/>
  <c r="AQ68" i="9" s="1"/>
  <c r="AL27" i="9"/>
  <c r="AG27" i="9"/>
  <c r="AG68" i="9" s="1"/>
  <c r="AB27" i="9"/>
  <c r="W27" i="9"/>
  <c r="R27" i="9"/>
  <c r="M27" i="9"/>
  <c r="M68" i="9" s="1"/>
  <c r="EM25" i="9"/>
  <c r="BU25" i="9"/>
  <c r="EH23" i="9"/>
  <c r="BP64" i="9" s="1"/>
  <c r="DX23" i="9"/>
  <c r="EM23" i="9" s="1"/>
  <c r="CY23" i="9"/>
  <c r="BU23" i="9"/>
  <c r="EM19" i="9"/>
  <c r="BU19" i="9"/>
  <c r="BU60" i="9" s="1"/>
  <c r="EM18" i="9"/>
  <c r="BU18" i="9"/>
  <c r="EH17" i="9"/>
  <c r="EC17" i="9"/>
  <c r="DX17" i="9"/>
  <c r="DS17" i="9"/>
  <c r="DN17" i="9"/>
  <c r="DI17" i="9"/>
  <c r="DD17" i="9"/>
  <c r="CY17" i="9"/>
  <c r="CT17" i="9"/>
  <c r="CO17" i="9"/>
  <c r="CJ17" i="9"/>
  <c r="CE17" i="9"/>
  <c r="BZ17" i="9"/>
  <c r="BZ12" i="9" s="1"/>
  <c r="BZ40" i="9" s="1"/>
  <c r="BP17" i="9"/>
  <c r="BK17" i="9"/>
  <c r="BK58" i="9" s="1"/>
  <c r="BF17" i="9"/>
  <c r="BA17" i="9"/>
  <c r="BA58" i="9" s="1"/>
  <c r="AV17" i="9"/>
  <c r="AQ17" i="9"/>
  <c r="AQ58" i="9" s="1"/>
  <c r="AL17" i="9"/>
  <c r="AG17" i="9"/>
  <c r="AB17" i="9"/>
  <c r="W17" i="9"/>
  <c r="W58" i="9" s="1"/>
  <c r="R17" i="9"/>
  <c r="M17" i="9"/>
  <c r="M58" i="9" s="1"/>
  <c r="H17" i="9"/>
  <c r="EM15" i="9"/>
  <c r="EH15" i="9"/>
  <c r="EC15" i="9"/>
  <c r="DX15" i="9"/>
  <c r="DS15" i="9"/>
  <c r="DS13" i="9" s="1"/>
  <c r="DS12" i="9" s="1"/>
  <c r="DS40" i="9" s="1"/>
  <c r="DN15" i="9"/>
  <c r="DI15" i="9"/>
  <c r="DI13" i="9" s="1"/>
  <c r="DI12" i="9" s="1"/>
  <c r="DI40" i="9" s="1"/>
  <c r="DD15" i="9"/>
  <c r="CY15" i="9"/>
  <c r="CT15" i="9"/>
  <c r="CO15" i="9"/>
  <c r="CO13" i="9" s="1"/>
  <c r="CO12" i="9" s="1"/>
  <c r="CO40" i="9" s="1"/>
  <c r="CJ15" i="9"/>
  <c r="BU15" i="9"/>
  <c r="BU56" i="9" s="1"/>
  <c r="BP15" i="9"/>
  <c r="BP56" i="9" s="1"/>
  <c r="BK15" i="9"/>
  <c r="BK56" i="9" s="1"/>
  <c r="BF15" i="9"/>
  <c r="BF56" i="9" s="1"/>
  <c r="BA15" i="9"/>
  <c r="BA13" i="9" s="1"/>
  <c r="AV15" i="9"/>
  <c r="AV56" i="9" s="1"/>
  <c r="AQ15" i="9"/>
  <c r="AQ56" i="9" s="1"/>
  <c r="AL15" i="9"/>
  <c r="AL56" i="9" s="1"/>
  <c r="AG15" i="9"/>
  <c r="AG56" i="9" s="1"/>
  <c r="AB15" i="9"/>
  <c r="AB56" i="9" s="1"/>
  <c r="W15" i="9"/>
  <c r="W13" i="9" s="1"/>
  <c r="R15" i="9"/>
  <c r="R56" i="9" s="1"/>
  <c r="EM14" i="9"/>
  <c r="EH14" i="9"/>
  <c r="EH13" i="9" s="1"/>
  <c r="EC14" i="9"/>
  <c r="DX14" i="9"/>
  <c r="DX13" i="9" s="1"/>
  <c r="DX12" i="9" s="1"/>
  <c r="DX40" i="9" s="1"/>
  <c r="DS14" i="9"/>
  <c r="DN14" i="9"/>
  <c r="DI14" i="9"/>
  <c r="DD14" i="9"/>
  <c r="DD13" i="9" s="1"/>
  <c r="CY14" i="9"/>
  <c r="CT14" i="9"/>
  <c r="CT13" i="9" s="1"/>
  <c r="CT12" i="9" s="1"/>
  <c r="CT40" i="9" s="1"/>
  <c r="CO14" i="9"/>
  <c r="CJ14" i="9"/>
  <c r="BU14" i="9"/>
  <c r="BU55" i="9" s="1"/>
  <c r="BP14" i="9"/>
  <c r="BP55" i="9" s="1"/>
  <c r="BK14" i="9"/>
  <c r="BK55" i="9" s="1"/>
  <c r="BF14" i="9"/>
  <c r="BF13" i="9" s="1"/>
  <c r="BA14" i="9"/>
  <c r="BA55" i="9" s="1"/>
  <c r="AV14" i="9"/>
  <c r="AV55" i="9" s="1"/>
  <c r="AQ14" i="9"/>
  <c r="AQ55" i="9" s="1"/>
  <c r="AL14" i="9"/>
  <c r="AL55" i="9" s="1"/>
  <c r="AG14" i="9"/>
  <c r="AG55" i="9" s="1"/>
  <c r="AB14" i="9"/>
  <c r="AB13" i="9" s="1"/>
  <c r="W14" i="9"/>
  <c r="W55" i="9" s="1"/>
  <c r="R14" i="9"/>
  <c r="R55" i="9" s="1"/>
  <c r="EC13" i="9"/>
  <c r="CY13" i="9"/>
  <c r="CY12" i="9" s="1"/>
  <c r="CY40" i="9" s="1"/>
  <c r="CE13" i="9"/>
  <c r="CE12" i="9" s="1"/>
  <c r="CE40" i="9" s="1"/>
  <c r="BZ13" i="9"/>
  <c r="AQ13" i="9"/>
  <c r="M13" i="9"/>
  <c r="H13" i="9"/>
  <c r="H12" i="9" s="1"/>
  <c r="BZ9" i="9"/>
  <c r="H9" i="9"/>
  <c r="BZ8" i="9"/>
  <c r="H8" i="9"/>
  <c r="EL185" i="8"/>
  <c r="BT185" i="8"/>
  <c r="EL184" i="8"/>
  <c r="BT184" i="8"/>
  <c r="EG183" i="8"/>
  <c r="EB183" i="8"/>
  <c r="DW183" i="8"/>
  <c r="DR183" i="8"/>
  <c r="DM183" i="8"/>
  <c r="DH183" i="8"/>
  <c r="DC183" i="8"/>
  <c r="CX183" i="8"/>
  <c r="CS183" i="8"/>
  <c r="CN183" i="8"/>
  <c r="CI183" i="8"/>
  <c r="CD183" i="8"/>
  <c r="BY183" i="8"/>
  <c r="BO183" i="8"/>
  <c r="BJ183" i="8"/>
  <c r="BE183" i="8"/>
  <c r="AZ183" i="8"/>
  <c r="AU183" i="8"/>
  <c r="AP183" i="8"/>
  <c r="AK183" i="8"/>
  <c r="AF183" i="8"/>
  <c r="AA183" i="8"/>
  <c r="V183" i="8"/>
  <c r="Q183" i="8"/>
  <c r="L183" i="8"/>
  <c r="G183" i="8"/>
  <c r="EL181" i="8"/>
  <c r="BT181" i="8"/>
  <c r="EL180" i="8"/>
  <c r="BT180" i="8"/>
  <c r="EG179" i="8"/>
  <c r="EB179" i="8"/>
  <c r="DW179" i="8"/>
  <c r="DR179" i="8"/>
  <c r="DM179" i="8"/>
  <c r="DH179" i="8"/>
  <c r="DC179" i="8"/>
  <c r="CX179" i="8"/>
  <c r="CS179" i="8"/>
  <c r="CN179" i="8"/>
  <c r="CI179" i="8"/>
  <c r="CD179" i="8"/>
  <c r="BY179" i="8"/>
  <c r="BO179" i="8"/>
  <c r="BJ179" i="8"/>
  <c r="BE179" i="8"/>
  <c r="AZ179" i="8"/>
  <c r="AU179" i="8"/>
  <c r="AP179" i="8"/>
  <c r="AK179" i="8"/>
  <c r="AF179" i="8"/>
  <c r="AA179" i="8"/>
  <c r="V179" i="8"/>
  <c r="Q179" i="8"/>
  <c r="L179" i="8"/>
  <c r="G179" i="8"/>
  <c r="EL177" i="8"/>
  <c r="BT177" i="8"/>
  <c r="EL176" i="8"/>
  <c r="BT176" i="8"/>
  <c r="BT175" i="8" s="1"/>
  <c r="EG175" i="8"/>
  <c r="EB175" i="8"/>
  <c r="DW175" i="8"/>
  <c r="DR175" i="8"/>
  <c r="DM175" i="8"/>
  <c r="DH175" i="8"/>
  <c r="DC175" i="8"/>
  <c r="CX175" i="8"/>
  <c r="CS175" i="8"/>
  <c r="CN175" i="8"/>
  <c r="CI175" i="8"/>
  <c r="CD175" i="8"/>
  <c r="BY175" i="8"/>
  <c r="BO175" i="8"/>
  <c r="BJ175" i="8"/>
  <c r="BE175" i="8"/>
  <c r="AZ175" i="8"/>
  <c r="AU175" i="8"/>
  <c r="AP175" i="8"/>
  <c r="AK175" i="8"/>
  <c r="AF175" i="8"/>
  <c r="AA175" i="8"/>
  <c r="V175" i="8"/>
  <c r="Q175" i="8"/>
  <c r="L175" i="8"/>
  <c r="G175" i="8"/>
  <c r="EL173" i="8"/>
  <c r="BT173" i="8"/>
  <c r="BT169" i="8" s="1"/>
  <c r="EL172" i="8"/>
  <c r="BT172" i="8"/>
  <c r="EG171" i="8"/>
  <c r="EB171" i="8"/>
  <c r="DW171" i="8"/>
  <c r="DR171" i="8"/>
  <c r="DM171" i="8"/>
  <c r="DH171" i="8"/>
  <c r="DC171" i="8"/>
  <c r="CX171" i="8"/>
  <c r="CS171" i="8"/>
  <c r="CN171" i="8"/>
  <c r="CI171" i="8"/>
  <c r="CD171" i="8"/>
  <c r="BO171" i="8"/>
  <c r="BJ171" i="8"/>
  <c r="BE171" i="8"/>
  <c r="AZ171" i="8"/>
  <c r="AU171" i="8"/>
  <c r="AP171" i="8"/>
  <c r="AK171" i="8"/>
  <c r="AF171" i="8"/>
  <c r="AA171" i="8"/>
  <c r="V171" i="8"/>
  <c r="Q171" i="8"/>
  <c r="L171" i="8"/>
  <c r="EL169" i="8"/>
  <c r="EG169" i="8"/>
  <c r="EB169" i="8"/>
  <c r="DW169" i="8"/>
  <c r="DR169" i="8"/>
  <c r="DM169" i="8"/>
  <c r="DH169" i="8"/>
  <c r="DH167" i="8" s="1"/>
  <c r="DH105" i="8" s="1"/>
  <c r="DC169" i="8"/>
  <c r="CX169" i="8"/>
  <c r="CS169" i="8"/>
  <c r="CN169" i="8"/>
  <c r="CI169" i="8"/>
  <c r="CD169" i="8"/>
  <c r="BO169" i="8"/>
  <c r="BJ169" i="8"/>
  <c r="BE169" i="8"/>
  <c r="AZ169" i="8"/>
  <c r="AU169" i="8"/>
  <c r="AP169" i="8"/>
  <c r="AK169" i="8"/>
  <c r="AF169" i="8"/>
  <c r="AA169" i="8"/>
  <c r="V169" i="8"/>
  <c r="Q169" i="8"/>
  <c r="L169" i="8"/>
  <c r="EG168" i="8"/>
  <c r="EB168" i="8"/>
  <c r="DW168" i="8"/>
  <c r="DR168" i="8"/>
  <c r="DM168" i="8"/>
  <c r="DM167" i="8" s="1"/>
  <c r="DM105" i="8" s="1"/>
  <c r="DH168" i="8"/>
  <c r="DC168" i="8"/>
  <c r="CX168" i="8"/>
  <c r="CS168" i="8"/>
  <c r="CN168" i="8"/>
  <c r="CI168" i="8"/>
  <c r="CI167" i="8" s="1"/>
  <c r="CI105" i="8" s="1"/>
  <c r="CD168" i="8"/>
  <c r="BO168" i="8"/>
  <c r="BJ168" i="8"/>
  <c r="BE168" i="8"/>
  <c r="AZ168" i="8"/>
  <c r="AU168" i="8"/>
  <c r="AP168" i="8"/>
  <c r="AK168" i="8"/>
  <c r="AF168" i="8"/>
  <c r="AA168" i="8"/>
  <c r="V168" i="8"/>
  <c r="Q168" i="8"/>
  <c r="L168" i="8"/>
  <c r="DW167" i="8"/>
  <c r="DW105" i="8" s="1"/>
  <c r="CS167" i="8"/>
  <c r="CS105" i="8" s="1"/>
  <c r="CD167" i="8"/>
  <c r="AZ167" i="8"/>
  <c r="AU167" i="8"/>
  <c r="V167" i="8"/>
  <c r="EL165" i="8"/>
  <c r="BT165" i="8"/>
  <c r="EL164" i="8"/>
  <c r="BT164" i="8"/>
  <c r="BT163" i="8" s="1"/>
  <c r="EG163" i="8"/>
  <c r="EB163" i="8"/>
  <c r="DW163" i="8"/>
  <c r="DR163" i="8"/>
  <c r="DM163" i="8"/>
  <c r="DH163" i="8"/>
  <c r="DC163" i="8"/>
  <c r="CX163" i="8"/>
  <c r="CS163" i="8"/>
  <c r="CN163" i="8"/>
  <c r="CI163" i="8"/>
  <c r="CD163" i="8"/>
  <c r="BY163" i="8"/>
  <c r="BO163" i="8"/>
  <c r="BJ163" i="8"/>
  <c r="BE163" i="8"/>
  <c r="AZ163" i="8"/>
  <c r="AU163" i="8"/>
  <c r="AP163" i="8"/>
  <c r="AK163" i="8"/>
  <c r="AF163" i="8"/>
  <c r="AA163" i="8"/>
  <c r="V163" i="8"/>
  <c r="Q163" i="8"/>
  <c r="L163" i="8"/>
  <c r="EL161" i="8"/>
  <c r="BT161" i="8"/>
  <c r="BT157" i="8" s="1"/>
  <c r="EL160" i="8"/>
  <c r="BT160" i="8"/>
  <c r="EG159" i="8"/>
  <c r="EB159" i="8"/>
  <c r="DW159" i="8"/>
  <c r="DR159" i="8"/>
  <c r="DM159" i="8"/>
  <c r="DH159" i="8"/>
  <c r="DC159" i="8"/>
  <c r="CX159" i="8"/>
  <c r="CS159" i="8"/>
  <c r="CN159" i="8"/>
  <c r="CI159" i="8"/>
  <c r="CD159" i="8"/>
  <c r="BY159" i="8"/>
  <c r="BT159" i="8"/>
  <c r="BO159" i="8"/>
  <c r="BJ159" i="8"/>
  <c r="BE159" i="8"/>
  <c r="AZ159" i="8"/>
  <c r="AU159" i="8"/>
  <c r="AP159" i="8"/>
  <c r="AK159" i="8"/>
  <c r="AF159" i="8"/>
  <c r="AA159" i="8"/>
  <c r="V159" i="8"/>
  <c r="Q159" i="8"/>
  <c r="L159" i="8"/>
  <c r="EG157" i="8"/>
  <c r="EB157" i="8"/>
  <c r="DW157" i="8"/>
  <c r="DR157" i="8"/>
  <c r="DM157" i="8"/>
  <c r="DC157" i="8"/>
  <c r="CX157" i="8"/>
  <c r="CS157" i="8"/>
  <c r="CN157" i="8"/>
  <c r="CI157" i="8"/>
  <c r="CD157" i="8"/>
  <c r="BO157" i="8"/>
  <c r="BJ157" i="8"/>
  <c r="BE157" i="8"/>
  <c r="AZ157" i="8"/>
  <c r="AU157" i="8"/>
  <c r="AK157" i="8"/>
  <c r="AF157" i="8"/>
  <c r="AA157" i="8"/>
  <c r="V157" i="8"/>
  <c r="Q157" i="8"/>
  <c r="L157" i="8"/>
  <c r="EG156" i="8"/>
  <c r="EG155" i="8" s="1"/>
  <c r="EG104" i="8" s="1"/>
  <c r="EB156" i="8"/>
  <c r="EB155" i="8" s="1"/>
  <c r="EB104" i="8" s="1"/>
  <c r="DW156" i="8"/>
  <c r="DW155" i="8" s="1"/>
  <c r="DW104" i="8" s="1"/>
  <c r="DR156" i="8"/>
  <c r="DM156" i="8"/>
  <c r="DC156" i="8"/>
  <c r="DC155" i="8" s="1"/>
  <c r="DC104" i="8" s="1"/>
  <c r="CX156" i="8"/>
  <c r="CX155" i="8" s="1"/>
  <c r="CS156" i="8"/>
  <c r="CS155" i="8" s="1"/>
  <c r="CS104" i="8" s="1"/>
  <c r="CN156" i="8"/>
  <c r="CN155" i="8" s="1"/>
  <c r="CI156" i="8"/>
  <c r="CD156" i="8"/>
  <c r="BO156" i="8"/>
  <c r="BJ156" i="8"/>
  <c r="BE156" i="8"/>
  <c r="AZ156" i="8"/>
  <c r="AU156" i="8"/>
  <c r="AK156" i="8"/>
  <c r="AF156" i="8"/>
  <c r="AA156" i="8"/>
  <c r="V156" i="8"/>
  <c r="Q156" i="8"/>
  <c r="L156" i="8"/>
  <c r="DM155" i="8"/>
  <c r="DM104" i="8" s="1"/>
  <c r="DH155" i="8"/>
  <c r="DH104" i="8" s="1"/>
  <c r="CD155" i="8"/>
  <c r="CD104" i="8" s="1"/>
  <c r="BY155" i="8"/>
  <c r="AZ155" i="8"/>
  <c r="AP155" i="8"/>
  <c r="AK155" i="8"/>
  <c r="AA155" i="8"/>
  <c r="AA104" i="8" s="1"/>
  <c r="Q155" i="8"/>
  <c r="Q104" i="8" s="1"/>
  <c r="G155" i="8"/>
  <c r="EL153" i="8"/>
  <c r="BT153" i="8"/>
  <c r="EL152" i="8"/>
  <c r="BT152" i="8"/>
  <c r="BT151" i="8" s="1"/>
  <c r="EL151" i="8"/>
  <c r="EG151" i="8"/>
  <c r="EB151" i="8"/>
  <c r="DW151" i="8"/>
  <c r="DR151" i="8"/>
  <c r="DM151" i="8"/>
  <c r="DH151" i="8"/>
  <c r="DC151" i="8"/>
  <c r="CX151" i="8"/>
  <c r="CS151" i="8"/>
  <c r="CN151" i="8"/>
  <c r="CI151" i="8"/>
  <c r="CD151" i="8"/>
  <c r="BO151" i="8"/>
  <c r="BJ151" i="8"/>
  <c r="BE151" i="8"/>
  <c r="AZ151" i="8"/>
  <c r="AU151" i="8"/>
  <c r="AP151" i="8"/>
  <c r="AK151" i="8"/>
  <c r="AF151" i="8"/>
  <c r="AA151" i="8"/>
  <c r="V151" i="8"/>
  <c r="Q151" i="8"/>
  <c r="L151" i="8"/>
  <c r="G151" i="8"/>
  <c r="EL149" i="8"/>
  <c r="BT149" i="8"/>
  <c r="EL148" i="8"/>
  <c r="BT148" i="8"/>
  <c r="BT147" i="8" s="1"/>
  <c r="EG147" i="8"/>
  <c r="EB147" i="8"/>
  <c r="DW147" i="8"/>
  <c r="DR147" i="8"/>
  <c r="DM147" i="8"/>
  <c r="DH147" i="8"/>
  <c r="DC147" i="8"/>
  <c r="CX147" i="8"/>
  <c r="CS147" i="8"/>
  <c r="CN147" i="8"/>
  <c r="CI147" i="8"/>
  <c r="CD147" i="8"/>
  <c r="BO147" i="8"/>
  <c r="BJ147" i="8"/>
  <c r="BE147" i="8"/>
  <c r="AZ147" i="8"/>
  <c r="AU147" i="8"/>
  <c r="AP147" i="8"/>
  <c r="AK147" i="8"/>
  <c r="AF147" i="8"/>
  <c r="AA147" i="8"/>
  <c r="V147" i="8"/>
  <c r="Q147" i="8"/>
  <c r="L147" i="8"/>
  <c r="G147" i="8"/>
  <c r="EL145" i="8"/>
  <c r="BT145" i="8"/>
  <c r="EL144" i="8"/>
  <c r="EL143" i="8" s="1"/>
  <c r="BT144" i="8"/>
  <c r="EG143" i="8"/>
  <c r="EB143" i="8"/>
  <c r="DW143" i="8"/>
  <c r="DR143" i="8"/>
  <c r="DM143" i="8"/>
  <c r="DH143" i="8"/>
  <c r="DC143" i="8"/>
  <c r="CX143" i="8"/>
  <c r="CS143" i="8"/>
  <c r="CN143" i="8"/>
  <c r="CI143" i="8"/>
  <c r="CD143" i="8"/>
  <c r="BT143" i="8"/>
  <c r="BO143" i="8"/>
  <c r="BJ143" i="8"/>
  <c r="BE143" i="8"/>
  <c r="AZ143" i="8"/>
  <c r="AU143" i="8"/>
  <c r="AP143" i="8"/>
  <c r="AK143" i="8"/>
  <c r="AF143" i="8"/>
  <c r="AA143" i="8"/>
  <c r="V143" i="8"/>
  <c r="Q143" i="8"/>
  <c r="L143" i="8"/>
  <c r="G143" i="8"/>
  <c r="EL141" i="8"/>
  <c r="BT141" i="8"/>
  <c r="EL140" i="8"/>
  <c r="BT140" i="8"/>
  <c r="BT139" i="8" s="1"/>
  <c r="EL139" i="8"/>
  <c r="EG139" i="8"/>
  <c r="EB139" i="8"/>
  <c r="DW139" i="8"/>
  <c r="DR139" i="8"/>
  <c r="DM139" i="8"/>
  <c r="DH139" i="8"/>
  <c r="DC139" i="8"/>
  <c r="CX139" i="8"/>
  <c r="CS139" i="8"/>
  <c r="CN139" i="8"/>
  <c r="CI139" i="8"/>
  <c r="CD139" i="8"/>
  <c r="BO139" i="8"/>
  <c r="BJ139" i="8"/>
  <c r="BE139" i="8"/>
  <c r="AZ139" i="8"/>
  <c r="AU139" i="8"/>
  <c r="AP139" i="8"/>
  <c r="AK139" i="8"/>
  <c r="AF139" i="8"/>
  <c r="AA139" i="8"/>
  <c r="V139" i="8"/>
  <c r="Q139" i="8"/>
  <c r="L139" i="8"/>
  <c r="G139" i="8"/>
  <c r="EL137" i="8"/>
  <c r="BT137" i="8"/>
  <c r="EL136" i="8"/>
  <c r="BT136" i="8"/>
  <c r="EG135" i="8"/>
  <c r="EB135" i="8"/>
  <c r="DW135" i="8"/>
  <c r="DR135" i="8"/>
  <c r="DM135" i="8"/>
  <c r="DH135" i="8"/>
  <c r="DC135" i="8"/>
  <c r="CX135" i="8"/>
  <c r="CS135" i="8"/>
  <c r="CN135" i="8"/>
  <c r="CI135" i="8"/>
  <c r="CD135" i="8"/>
  <c r="BT135" i="8"/>
  <c r="BO135" i="8"/>
  <c r="BJ135" i="8"/>
  <c r="BE135" i="8"/>
  <c r="AZ135" i="8"/>
  <c r="AU135" i="8"/>
  <c r="AP135" i="8"/>
  <c r="AK135" i="8"/>
  <c r="AF135" i="8"/>
  <c r="AA135" i="8"/>
  <c r="V135" i="8"/>
  <c r="Q135" i="8"/>
  <c r="L135" i="8"/>
  <c r="G135" i="8"/>
  <c r="EL133" i="8"/>
  <c r="BT133" i="8"/>
  <c r="EL132" i="8"/>
  <c r="BT132" i="8"/>
  <c r="EG131" i="8"/>
  <c r="EB131" i="8"/>
  <c r="DW131" i="8"/>
  <c r="DR131" i="8"/>
  <c r="DM131" i="8"/>
  <c r="DH131" i="8"/>
  <c r="DC131" i="8"/>
  <c r="CX131" i="8"/>
  <c r="CS131" i="8"/>
  <c r="CN131" i="8"/>
  <c r="CI131" i="8"/>
  <c r="CD131" i="8"/>
  <c r="BY131" i="8"/>
  <c r="BO131" i="8"/>
  <c r="BJ131" i="8"/>
  <c r="BE131" i="8"/>
  <c r="AZ131" i="8"/>
  <c r="AU131" i="8"/>
  <c r="AP131" i="8"/>
  <c r="AK131" i="8"/>
  <c r="AF131" i="8"/>
  <c r="AA131" i="8"/>
  <c r="V131" i="8"/>
  <c r="Q131" i="8"/>
  <c r="L131" i="8"/>
  <c r="G131" i="8"/>
  <c r="EL129" i="8"/>
  <c r="BY129" i="8"/>
  <c r="BT129" i="8"/>
  <c r="EL128" i="8"/>
  <c r="BT128" i="8"/>
  <c r="BY128" i="8" s="1"/>
  <c r="EG127" i="8"/>
  <c r="EB127" i="8"/>
  <c r="DW127" i="8"/>
  <c r="DR127" i="8"/>
  <c r="DM127" i="8"/>
  <c r="DH127" i="8"/>
  <c r="DC127" i="8"/>
  <c r="CX127" i="8"/>
  <c r="CS127" i="8"/>
  <c r="CN127" i="8"/>
  <c r="CI127" i="8"/>
  <c r="CD127" i="8"/>
  <c r="BT127" i="8"/>
  <c r="BO127" i="8"/>
  <c r="BJ127" i="8"/>
  <c r="BE127" i="8"/>
  <c r="AZ127" i="8"/>
  <c r="AU127" i="8"/>
  <c r="AP127" i="8"/>
  <c r="AK127" i="8"/>
  <c r="AF127" i="8"/>
  <c r="AA127" i="8"/>
  <c r="V127" i="8"/>
  <c r="Q127" i="8"/>
  <c r="L127" i="8"/>
  <c r="EL125" i="8"/>
  <c r="EL123" i="8" s="1"/>
  <c r="BY125" i="8"/>
  <c r="BT125" i="8"/>
  <c r="EL124" i="8"/>
  <c r="BY124" i="8"/>
  <c r="BT124" i="8"/>
  <c r="BT123" i="8" s="1"/>
  <c r="EG123" i="8"/>
  <c r="EB123" i="8"/>
  <c r="DW123" i="8"/>
  <c r="DR123" i="8"/>
  <c r="DM123" i="8"/>
  <c r="DH123" i="8"/>
  <c r="DC123" i="8"/>
  <c r="CX123" i="8"/>
  <c r="CS123" i="8"/>
  <c r="CN123" i="8"/>
  <c r="CI123" i="8"/>
  <c r="CD123" i="8"/>
  <c r="BO123" i="8"/>
  <c r="BJ123" i="8"/>
  <c r="BE123" i="8"/>
  <c r="AZ123" i="8"/>
  <c r="AU123" i="8"/>
  <c r="AP123" i="8"/>
  <c r="AK123" i="8"/>
  <c r="AF123" i="8"/>
  <c r="AA123" i="8"/>
  <c r="V123" i="8"/>
  <c r="Q123" i="8"/>
  <c r="L123" i="8"/>
  <c r="EL121" i="8"/>
  <c r="BT121" i="8"/>
  <c r="BT119" i="8" s="1"/>
  <c r="EL120" i="8"/>
  <c r="EL119" i="8" s="1"/>
  <c r="BT120" i="8"/>
  <c r="EG119" i="8"/>
  <c r="EB119" i="8"/>
  <c r="DW119" i="8"/>
  <c r="DR119" i="8"/>
  <c r="DM119" i="8"/>
  <c r="DH119" i="8"/>
  <c r="DC119" i="8"/>
  <c r="CX119" i="8"/>
  <c r="CS119" i="8"/>
  <c r="CN119" i="8"/>
  <c r="CI119" i="8"/>
  <c r="CD119" i="8"/>
  <c r="BY119" i="8"/>
  <c r="BO119" i="8"/>
  <c r="BJ119" i="8"/>
  <c r="BE119" i="8"/>
  <c r="AZ119" i="8"/>
  <c r="AU119" i="8"/>
  <c r="AP119" i="8"/>
  <c r="AK119" i="8"/>
  <c r="AF119" i="8"/>
  <c r="AA119" i="8"/>
  <c r="V119" i="8"/>
  <c r="Q119" i="8"/>
  <c r="L119" i="8"/>
  <c r="G119" i="8"/>
  <c r="EL117" i="8"/>
  <c r="BT117" i="8"/>
  <c r="BT115" i="8" s="1"/>
  <c r="EL116" i="8"/>
  <c r="EL115" i="8" s="1"/>
  <c r="BT116" i="8"/>
  <c r="EG115" i="8"/>
  <c r="EB115" i="8"/>
  <c r="DW115" i="8"/>
  <c r="DR115" i="8"/>
  <c r="DM115" i="8"/>
  <c r="DH115" i="8"/>
  <c r="DC115" i="8"/>
  <c r="CX115" i="8"/>
  <c r="CS115" i="8"/>
  <c r="CN115" i="8"/>
  <c r="CI115" i="8"/>
  <c r="CD115" i="8"/>
  <c r="BY115" i="8"/>
  <c r="BO115" i="8"/>
  <c r="BJ115" i="8"/>
  <c r="BE115" i="8"/>
  <c r="AZ115" i="8"/>
  <c r="AU115" i="8"/>
  <c r="AP115" i="8"/>
  <c r="AK115" i="8"/>
  <c r="AF115" i="8"/>
  <c r="AA115" i="8"/>
  <c r="V115" i="8"/>
  <c r="Q115" i="8"/>
  <c r="L115" i="8"/>
  <c r="G115" i="8"/>
  <c r="EL113" i="8"/>
  <c r="DM113" i="8"/>
  <c r="BT113" i="8"/>
  <c r="EL112" i="8"/>
  <c r="DM112" i="8"/>
  <c r="BT112" i="8"/>
  <c r="EG111" i="8"/>
  <c r="EB111" i="8"/>
  <c r="DW111" i="8"/>
  <c r="DR111" i="8"/>
  <c r="DH111" i="8"/>
  <c r="DC111" i="8"/>
  <c r="CX111" i="8"/>
  <c r="CS111" i="8"/>
  <c r="CN111" i="8"/>
  <c r="CI111" i="8"/>
  <c r="CD111" i="8"/>
  <c r="BY111" i="8"/>
  <c r="BO111" i="8"/>
  <c r="BJ111" i="8"/>
  <c r="BE111" i="8"/>
  <c r="AZ111" i="8"/>
  <c r="AU111" i="8"/>
  <c r="AP111" i="8"/>
  <c r="AK111" i="8"/>
  <c r="AF111" i="8"/>
  <c r="AA111" i="8"/>
  <c r="V111" i="8"/>
  <c r="Q111" i="8"/>
  <c r="L111" i="8"/>
  <c r="G111" i="8"/>
  <c r="EG109" i="8"/>
  <c r="EB109" i="8"/>
  <c r="DW109" i="8"/>
  <c r="DR109" i="8"/>
  <c r="DM109" i="8"/>
  <c r="DH109" i="8"/>
  <c r="DC109" i="8"/>
  <c r="CX109" i="8"/>
  <c r="CS109" i="8"/>
  <c r="CN109" i="8"/>
  <c r="CI109" i="8"/>
  <c r="CD109" i="8"/>
  <c r="BJ109" i="8"/>
  <c r="BE109" i="8"/>
  <c r="AZ109" i="8"/>
  <c r="AU109" i="8"/>
  <c r="AP109" i="8"/>
  <c r="AK109" i="8"/>
  <c r="AF109" i="8"/>
  <c r="AA109" i="8"/>
  <c r="V109" i="8"/>
  <c r="Q109" i="8"/>
  <c r="L109" i="8"/>
  <c r="G109" i="8"/>
  <c r="EG108" i="8"/>
  <c r="EB108" i="8"/>
  <c r="EB107" i="8" s="1"/>
  <c r="EB103" i="8" s="1"/>
  <c r="DW108" i="8"/>
  <c r="DW107" i="8" s="1"/>
  <c r="DW103" i="8" s="1"/>
  <c r="DR108" i="8"/>
  <c r="DM108" i="8"/>
  <c r="DM107" i="8" s="1"/>
  <c r="DM103" i="8" s="1"/>
  <c r="DH108" i="8"/>
  <c r="DH107" i="8" s="1"/>
  <c r="DH103" i="8" s="1"/>
  <c r="DH102" i="8" s="1"/>
  <c r="DC108" i="8"/>
  <c r="DC107" i="8" s="1"/>
  <c r="DC103" i="8" s="1"/>
  <c r="CX108" i="8"/>
  <c r="CX107" i="8" s="1"/>
  <c r="CX103" i="8" s="1"/>
  <c r="CS108" i="8"/>
  <c r="CS107" i="8" s="1"/>
  <c r="CS103" i="8" s="1"/>
  <c r="CN108" i="8"/>
  <c r="CN107" i="8" s="1"/>
  <c r="CN103" i="8" s="1"/>
  <c r="CI108" i="8"/>
  <c r="CI107" i="8" s="1"/>
  <c r="CI103" i="8" s="1"/>
  <c r="CD108" i="8"/>
  <c r="BJ108" i="8"/>
  <c r="BE108" i="8"/>
  <c r="AZ108" i="8"/>
  <c r="AU108" i="8"/>
  <c r="AP108" i="8"/>
  <c r="AK108" i="8"/>
  <c r="AF108" i="8"/>
  <c r="AA108" i="8"/>
  <c r="V108" i="8"/>
  <c r="Q108" i="8"/>
  <c r="L108" i="8"/>
  <c r="G108" i="8"/>
  <c r="DR107" i="8"/>
  <c r="DR103" i="8" s="1"/>
  <c r="BY107" i="8"/>
  <c r="BO107" i="8"/>
  <c r="BO103" i="8" s="1"/>
  <c r="AZ107" i="8"/>
  <c r="AP107" i="8"/>
  <c r="G107" i="8"/>
  <c r="G103" i="8" s="1"/>
  <c r="G102" i="8" s="1"/>
  <c r="CD105" i="8"/>
  <c r="AZ105" i="8"/>
  <c r="V105" i="8"/>
  <c r="G105" i="8"/>
  <c r="CX104" i="8"/>
  <c r="CN104" i="8"/>
  <c r="AZ104" i="8"/>
  <c r="AP104" i="8"/>
  <c r="G104" i="8"/>
  <c r="BY103" i="8"/>
  <c r="BY102" i="8" s="1"/>
  <c r="EL100" i="8"/>
  <c r="BY100" i="8"/>
  <c r="BT100" i="8"/>
  <c r="EL99" i="8"/>
  <c r="BT99" i="8"/>
  <c r="BY99" i="8" s="1"/>
  <c r="EL98" i="8"/>
  <c r="BY98" i="8"/>
  <c r="BT98" i="8"/>
  <c r="EG97" i="8"/>
  <c r="EB97" i="8"/>
  <c r="DW97" i="8"/>
  <c r="DR97" i="8"/>
  <c r="DM97" i="8"/>
  <c r="DH97" i="8"/>
  <c r="DC97" i="8"/>
  <c r="CX97" i="8"/>
  <c r="CS97" i="8"/>
  <c r="CN97" i="8"/>
  <c r="CI97" i="8"/>
  <c r="CD97" i="8"/>
  <c r="BT97" i="8"/>
  <c r="BO97" i="8"/>
  <c r="BJ97" i="8"/>
  <c r="BE97" i="8"/>
  <c r="AZ97" i="8"/>
  <c r="AU97" i="8"/>
  <c r="AP97" i="8"/>
  <c r="AK97" i="8"/>
  <c r="AF97" i="8"/>
  <c r="AA97" i="8"/>
  <c r="V97" i="8"/>
  <c r="Q97" i="8"/>
  <c r="L97" i="8"/>
  <c r="EL95" i="8"/>
  <c r="BT95" i="8"/>
  <c r="BY95" i="8" s="1"/>
  <c r="EL94" i="8"/>
  <c r="BT94" i="8"/>
  <c r="BY94" i="8" s="1"/>
  <c r="EL93" i="8"/>
  <c r="BY93" i="8"/>
  <c r="BT93" i="8"/>
  <c r="EG92" i="8"/>
  <c r="EB92" i="8"/>
  <c r="DW92" i="8"/>
  <c r="DR92" i="8"/>
  <c r="DM92" i="8"/>
  <c r="DH92" i="8"/>
  <c r="DC92" i="8"/>
  <c r="CX92" i="8"/>
  <c r="CS92" i="8"/>
  <c r="CN92" i="8"/>
  <c r="CI92" i="8"/>
  <c r="CD92" i="8"/>
  <c r="BT92" i="8"/>
  <c r="BO92" i="8"/>
  <c r="BJ92" i="8"/>
  <c r="BE92" i="8"/>
  <c r="AZ92" i="8"/>
  <c r="AU92" i="8"/>
  <c r="AP92" i="8"/>
  <c r="AK92" i="8"/>
  <c r="AF92" i="8"/>
  <c r="AA92" i="8"/>
  <c r="V92" i="8"/>
  <c r="Q92" i="8"/>
  <c r="L92" i="8"/>
  <c r="EL90" i="8"/>
  <c r="BT90" i="8"/>
  <c r="BY90" i="8" s="1"/>
  <c r="EL89" i="8"/>
  <c r="BY89" i="8"/>
  <c r="BT89" i="8"/>
  <c r="EL88" i="8"/>
  <c r="BT88" i="8"/>
  <c r="EG87" i="8"/>
  <c r="EB87" i="8"/>
  <c r="DW87" i="8"/>
  <c r="DR87" i="8"/>
  <c r="DM87" i="8"/>
  <c r="DH87" i="8"/>
  <c r="DC87" i="8"/>
  <c r="CX87" i="8"/>
  <c r="CS87" i="8"/>
  <c r="CN87" i="8"/>
  <c r="CI87" i="8"/>
  <c r="CD87" i="8"/>
  <c r="BO87" i="8"/>
  <c r="BJ87" i="8"/>
  <c r="BE87" i="8"/>
  <c r="AZ87" i="8"/>
  <c r="AU87" i="8"/>
  <c r="AP87" i="8"/>
  <c r="AK87" i="8"/>
  <c r="AF87" i="8"/>
  <c r="AA87" i="8"/>
  <c r="V87" i="8"/>
  <c r="Q87" i="8"/>
  <c r="L87" i="8"/>
  <c r="EL85" i="8"/>
  <c r="BT85" i="8"/>
  <c r="BY85" i="8" s="1"/>
  <c r="EL84" i="8"/>
  <c r="BY84" i="8"/>
  <c r="BT84" i="8"/>
  <c r="EL83" i="8"/>
  <c r="BT83" i="8"/>
  <c r="BY83" i="8" s="1"/>
  <c r="EG82" i="8"/>
  <c r="EB82" i="8"/>
  <c r="DW82" i="8"/>
  <c r="DR82" i="8"/>
  <c r="DM82" i="8"/>
  <c r="DH82" i="8"/>
  <c r="DC82" i="8"/>
  <c r="CX82" i="8"/>
  <c r="CS82" i="8"/>
  <c r="CN82" i="8"/>
  <c r="CI82" i="8"/>
  <c r="CD82" i="8"/>
  <c r="BT82" i="8"/>
  <c r="BO82" i="8"/>
  <c r="BJ82" i="8"/>
  <c r="BE82" i="8"/>
  <c r="AZ82" i="8"/>
  <c r="AU82" i="8"/>
  <c r="AP82" i="8"/>
  <c r="AK82" i="8"/>
  <c r="AF82" i="8"/>
  <c r="AA82" i="8"/>
  <c r="V82" i="8"/>
  <c r="Q82" i="8"/>
  <c r="L82" i="8"/>
  <c r="EL80" i="8"/>
  <c r="BY80" i="8"/>
  <c r="BY75" i="8" s="1"/>
  <c r="BT80" i="8"/>
  <c r="EL79" i="8"/>
  <c r="EL74" i="8" s="1"/>
  <c r="EL72" i="8" s="1"/>
  <c r="BT79" i="8"/>
  <c r="BT77" i="8" s="1"/>
  <c r="EL78" i="8"/>
  <c r="BY78" i="8"/>
  <c r="BT78" i="8"/>
  <c r="EL77" i="8"/>
  <c r="EG77" i="8"/>
  <c r="EB77" i="8"/>
  <c r="DW77" i="8"/>
  <c r="DR77" i="8"/>
  <c r="DM77" i="8"/>
  <c r="DH77" i="8"/>
  <c r="DC77" i="8"/>
  <c r="CX77" i="8"/>
  <c r="CS77" i="8"/>
  <c r="CN77" i="8"/>
  <c r="CI77" i="8"/>
  <c r="CD77" i="8"/>
  <c r="BO77" i="8"/>
  <c r="BJ77" i="8"/>
  <c r="BE77" i="8"/>
  <c r="AZ77" i="8"/>
  <c r="AU77" i="8"/>
  <c r="AP77" i="8"/>
  <c r="AK77" i="8"/>
  <c r="AF77" i="8"/>
  <c r="AA77" i="8"/>
  <c r="V77" i="8"/>
  <c r="Q77" i="8"/>
  <c r="L77" i="8"/>
  <c r="EL75" i="8"/>
  <c r="EG75" i="8"/>
  <c r="EB75" i="8"/>
  <c r="DW75" i="8"/>
  <c r="DR75" i="8"/>
  <c r="DR72" i="8" s="1"/>
  <c r="DR15" i="8" s="1"/>
  <c r="DM75" i="8"/>
  <c r="DH75" i="8"/>
  <c r="DC75" i="8"/>
  <c r="CX75" i="8"/>
  <c r="CS75" i="8"/>
  <c r="CN75" i="8"/>
  <c r="CI75" i="8"/>
  <c r="CD75" i="8"/>
  <c r="BT75" i="8"/>
  <c r="BO75" i="8"/>
  <c r="BJ75" i="8"/>
  <c r="BE75" i="8"/>
  <c r="AZ75" i="8"/>
  <c r="AU75" i="8"/>
  <c r="AP75" i="8"/>
  <c r="AK75" i="8"/>
  <c r="AF75" i="8"/>
  <c r="AA75" i="8"/>
  <c r="V75" i="8"/>
  <c r="Q75" i="8"/>
  <c r="L75" i="8"/>
  <c r="EG74" i="8"/>
  <c r="EB74" i="8"/>
  <c r="DW74" i="8"/>
  <c r="DW72" i="8" s="1"/>
  <c r="DW15" i="8" s="1"/>
  <c r="DR74" i="8"/>
  <c r="DM74" i="8"/>
  <c r="DH74" i="8"/>
  <c r="DC74" i="8"/>
  <c r="CX74" i="8"/>
  <c r="CS74" i="8"/>
  <c r="CS72" i="8" s="1"/>
  <c r="CS15" i="8" s="1"/>
  <c r="CN74" i="8"/>
  <c r="CI74" i="8"/>
  <c r="CD74" i="8"/>
  <c r="BT74" i="8"/>
  <c r="BO74" i="8"/>
  <c r="BJ74" i="8"/>
  <c r="BE74" i="8"/>
  <c r="AZ74" i="8"/>
  <c r="AU74" i="8"/>
  <c r="AP74" i="8"/>
  <c r="AK74" i="8"/>
  <c r="AF74" i="8"/>
  <c r="AA74" i="8"/>
  <c r="V74" i="8"/>
  <c r="Q74" i="8"/>
  <c r="L74" i="8"/>
  <c r="EL73" i="8"/>
  <c r="EG73" i="8"/>
  <c r="EB73" i="8"/>
  <c r="DW73" i="8"/>
  <c r="DR73" i="8"/>
  <c r="DM73" i="8"/>
  <c r="DM72" i="8" s="1"/>
  <c r="DH73" i="8"/>
  <c r="DC73" i="8"/>
  <c r="CX73" i="8"/>
  <c r="CS73" i="8"/>
  <c r="CN73" i="8"/>
  <c r="CI73" i="8"/>
  <c r="CI72" i="8" s="1"/>
  <c r="CI15" i="8" s="1"/>
  <c r="CD73" i="8"/>
  <c r="CD72" i="8" s="1"/>
  <c r="CD15" i="8" s="1"/>
  <c r="BT73" i="8"/>
  <c r="BO73" i="8"/>
  <c r="BJ73" i="8"/>
  <c r="BE73" i="8"/>
  <c r="AZ73" i="8"/>
  <c r="AU73" i="8"/>
  <c r="AP73" i="8"/>
  <c r="AK73" i="8"/>
  <c r="AF73" i="8"/>
  <c r="AA73" i="8"/>
  <c r="V73" i="8"/>
  <c r="V72" i="8" s="1"/>
  <c r="Q73" i="8"/>
  <c r="L73" i="8"/>
  <c r="BJ72" i="8"/>
  <c r="EL70" i="8"/>
  <c r="BT70" i="8"/>
  <c r="EL69" i="8"/>
  <c r="BY69" i="8"/>
  <c r="BT69" i="8"/>
  <c r="EL68" i="8"/>
  <c r="EL67" i="8" s="1"/>
  <c r="BT68" i="8"/>
  <c r="BT63" i="8" s="1"/>
  <c r="EG67" i="8"/>
  <c r="EB67" i="8"/>
  <c r="DW67" i="8"/>
  <c r="DR67" i="8"/>
  <c r="DM67" i="8"/>
  <c r="DH67" i="8"/>
  <c r="DC67" i="8"/>
  <c r="CX67" i="8"/>
  <c r="CS67" i="8"/>
  <c r="CN67" i="8"/>
  <c r="CI67" i="8"/>
  <c r="CD67" i="8"/>
  <c r="BO67" i="8"/>
  <c r="BJ67" i="8"/>
  <c r="BE67" i="8"/>
  <c r="AZ67" i="8"/>
  <c r="AU67" i="8"/>
  <c r="AP67" i="8"/>
  <c r="AK67" i="8"/>
  <c r="AF67" i="8"/>
  <c r="AA67" i="8"/>
  <c r="V67" i="8"/>
  <c r="Q67" i="8"/>
  <c r="L67" i="8"/>
  <c r="EL65" i="8"/>
  <c r="EG65" i="8"/>
  <c r="EB65" i="8"/>
  <c r="DW65" i="8"/>
  <c r="DR65" i="8"/>
  <c r="DM65" i="8"/>
  <c r="DH65" i="8"/>
  <c r="DH62" i="8" s="1"/>
  <c r="DH14" i="8" s="1"/>
  <c r="DC65" i="8"/>
  <c r="CX65" i="8"/>
  <c r="CX62" i="8" s="1"/>
  <c r="CX14" i="8" s="1"/>
  <c r="CS65" i="8"/>
  <c r="CN65" i="8"/>
  <c r="CI65" i="8"/>
  <c r="CD65" i="8"/>
  <c r="CD62" i="8" s="1"/>
  <c r="CD14" i="8" s="1"/>
  <c r="BO65" i="8"/>
  <c r="BJ65" i="8"/>
  <c r="BE65" i="8"/>
  <c r="AZ65" i="8"/>
  <c r="AU65" i="8"/>
  <c r="AP65" i="8"/>
  <c r="AK65" i="8"/>
  <c r="AF65" i="8"/>
  <c r="AA65" i="8"/>
  <c r="V65" i="8"/>
  <c r="Q65" i="8"/>
  <c r="L65" i="8"/>
  <c r="EL64" i="8"/>
  <c r="EG64" i="8"/>
  <c r="EB64" i="8"/>
  <c r="DW64" i="8"/>
  <c r="DR64" i="8"/>
  <c r="DM64" i="8"/>
  <c r="DM62" i="8" s="1"/>
  <c r="DM14" i="8" s="1"/>
  <c r="DH64" i="8"/>
  <c r="DC64" i="8"/>
  <c r="CX64" i="8"/>
  <c r="CS64" i="8"/>
  <c r="CN64" i="8"/>
  <c r="CI64" i="8"/>
  <c r="CI62" i="8" s="1"/>
  <c r="CI14" i="8" s="1"/>
  <c r="CD64" i="8"/>
  <c r="BT64" i="8"/>
  <c r="BO64" i="8"/>
  <c r="BJ64" i="8"/>
  <c r="BE64" i="8"/>
  <c r="AZ64" i="8"/>
  <c r="AZ62" i="8" s="1"/>
  <c r="AU64" i="8"/>
  <c r="AP64" i="8"/>
  <c r="AK64" i="8"/>
  <c r="AF64" i="8"/>
  <c r="AA64" i="8"/>
  <c r="V64" i="8"/>
  <c r="Q64" i="8"/>
  <c r="L64" i="8"/>
  <c r="EG63" i="8"/>
  <c r="EB63" i="8"/>
  <c r="DW63" i="8"/>
  <c r="DW62" i="8" s="1"/>
  <c r="DW14" i="8" s="1"/>
  <c r="DR63" i="8"/>
  <c r="DM63" i="8"/>
  <c r="DH63" i="8"/>
  <c r="DC63" i="8"/>
  <c r="CX63" i="8"/>
  <c r="CS63" i="8"/>
  <c r="CS62" i="8" s="1"/>
  <c r="CS14" i="8" s="1"/>
  <c r="CN63" i="8"/>
  <c r="CI63" i="8"/>
  <c r="CD63" i="8"/>
  <c r="BO63" i="8"/>
  <c r="BJ63" i="8"/>
  <c r="BE63" i="8"/>
  <c r="AZ63" i="8"/>
  <c r="AU63" i="8"/>
  <c r="AP63" i="8"/>
  <c r="AK63" i="8"/>
  <c r="AF63" i="8"/>
  <c r="AA63" i="8"/>
  <c r="V63" i="8"/>
  <c r="Q63" i="8"/>
  <c r="L63" i="8"/>
  <c r="V62" i="8"/>
  <c r="G62" i="8"/>
  <c r="G14" i="8" s="1"/>
  <c r="EL60" i="8"/>
  <c r="BT60" i="8"/>
  <c r="BY60" i="8" s="1"/>
  <c r="EL59" i="8"/>
  <c r="BT59" i="8"/>
  <c r="BY59" i="8" s="1"/>
  <c r="EL58" i="8"/>
  <c r="BT58" i="8"/>
  <c r="EG57" i="8"/>
  <c r="EG18" i="8" s="1"/>
  <c r="EG17" i="8" s="1"/>
  <c r="EG13" i="8" s="1"/>
  <c r="EB57" i="8"/>
  <c r="DW57" i="8"/>
  <c r="DW18" i="8" s="1"/>
  <c r="DW17" i="8" s="1"/>
  <c r="DW13" i="8" s="1"/>
  <c r="DW12" i="8" s="1"/>
  <c r="DR57" i="8"/>
  <c r="DM57" i="8"/>
  <c r="DM18" i="8" s="1"/>
  <c r="DM17" i="8" s="1"/>
  <c r="DM13" i="8" s="1"/>
  <c r="DM12" i="8" s="1"/>
  <c r="DH57" i="8"/>
  <c r="DC57" i="8"/>
  <c r="CX57" i="8"/>
  <c r="CS57" i="8"/>
  <c r="CS18" i="8" s="1"/>
  <c r="CN57" i="8"/>
  <c r="CI57" i="8"/>
  <c r="CI18" i="8" s="1"/>
  <c r="CI17" i="8" s="1"/>
  <c r="CI13" i="8" s="1"/>
  <c r="CD57" i="8"/>
  <c r="BO57" i="8"/>
  <c r="BJ57" i="8"/>
  <c r="BE57" i="8"/>
  <c r="AZ57" i="8"/>
  <c r="AU57" i="8"/>
  <c r="AP57" i="8"/>
  <c r="AK57" i="8"/>
  <c r="AF57" i="8"/>
  <c r="AA57" i="8"/>
  <c r="AA18" i="8" s="1"/>
  <c r="V57" i="8"/>
  <c r="Q57" i="8"/>
  <c r="L57" i="8"/>
  <c r="EL55" i="8"/>
  <c r="BT55" i="8"/>
  <c r="BY55" i="8" s="1"/>
  <c r="EL54" i="8"/>
  <c r="BY54" i="8"/>
  <c r="BT54" i="8"/>
  <c r="EL53" i="8"/>
  <c r="BT53" i="8"/>
  <c r="BY53" i="8" s="1"/>
  <c r="EL52" i="8"/>
  <c r="EG52" i="8"/>
  <c r="EB52" i="8"/>
  <c r="DW52" i="8"/>
  <c r="DR52" i="8"/>
  <c r="DM52" i="8"/>
  <c r="DH52" i="8"/>
  <c r="DC52" i="8"/>
  <c r="CX52" i="8"/>
  <c r="CS52" i="8"/>
  <c r="CN52" i="8"/>
  <c r="CI52" i="8"/>
  <c r="CD52" i="8"/>
  <c r="BO52" i="8"/>
  <c r="BJ52" i="8"/>
  <c r="BE52" i="8"/>
  <c r="AZ52" i="8"/>
  <c r="AU52" i="8"/>
  <c r="AP52" i="8"/>
  <c r="AK52" i="8"/>
  <c r="AF52" i="8"/>
  <c r="AA52" i="8"/>
  <c r="V52" i="8"/>
  <c r="Q52" i="8"/>
  <c r="L52" i="8"/>
  <c r="EL50" i="8"/>
  <c r="BT50" i="8"/>
  <c r="BY50" i="8" s="1"/>
  <c r="EL49" i="8"/>
  <c r="BT49" i="8"/>
  <c r="BY49" i="8" s="1"/>
  <c r="EL48" i="8"/>
  <c r="BT48" i="8"/>
  <c r="BY48" i="8" s="1"/>
  <c r="EG47" i="8"/>
  <c r="EB47" i="8"/>
  <c r="DW47" i="8"/>
  <c r="DR47" i="8"/>
  <c r="DM47" i="8"/>
  <c r="DH47" i="8"/>
  <c r="DC47" i="8"/>
  <c r="CX47" i="8"/>
  <c r="CS47" i="8"/>
  <c r="CN47" i="8"/>
  <c r="CI47" i="8"/>
  <c r="CD47" i="8"/>
  <c r="BO47" i="8"/>
  <c r="BJ47" i="8"/>
  <c r="BE47" i="8"/>
  <c r="AZ47" i="8"/>
  <c r="AU47" i="8"/>
  <c r="AP47" i="8"/>
  <c r="AK47" i="8"/>
  <c r="AF47" i="8"/>
  <c r="AA47" i="8"/>
  <c r="V47" i="8"/>
  <c r="Q47" i="8"/>
  <c r="L47" i="8"/>
  <c r="EL45" i="8"/>
  <c r="BT45" i="8"/>
  <c r="EL44" i="8"/>
  <c r="BT44" i="8"/>
  <c r="EL43" i="8"/>
  <c r="BT43" i="8"/>
  <c r="EG42" i="8"/>
  <c r="EB42" i="8"/>
  <c r="DW42" i="8"/>
  <c r="DR42" i="8"/>
  <c r="DM42" i="8"/>
  <c r="DH42" i="8"/>
  <c r="DC42" i="8"/>
  <c r="CX42" i="8"/>
  <c r="CS42" i="8"/>
  <c r="CN42" i="8"/>
  <c r="CI42" i="8"/>
  <c r="CD42" i="8"/>
  <c r="BY42" i="8"/>
  <c r="BO42" i="8"/>
  <c r="BJ42" i="8"/>
  <c r="BE42" i="8"/>
  <c r="AZ42" i="8"/>
  <c r="AU42" i="8"/>
  <c r="AP42" i="8"/>
  <c r="AK42" i="8"/>
  <c r="AF42" i="8"/>
  <c r="AA42" i="8"/>
  <c r="V42" i="8"/>
  <c r="Q42" i="8"/>
  <c r="L42" i="8"/>
  <c r="EL40" i="8"/>
  <c r="BT40" i="8"/>
  <c r="EL39" i="8"/>
  <c r="BT39" i="8"/>
  <c r="EL38" i="8"/>
  <c r="BT38" i="8"/>
  <c r="BT18" i="8" s="1"/>
  <c r="EG37" i="8"/>
  <c r="EB37" i="8"/>
  <c r="DW37" i="8"/>
  <c r="DR37" i="8"/>
  <c r="DM37" i="8"/>
  <c r="DH37" i="8"/>
  <c r="DC37" i="8"/>
  <c r="CX37" i="8"/>
  <c r="CS37" i="8"/>
  <c r="CN37" i="8"/>
  <c r="CI37" i="8"/>
  <c r="CD37" i="8"/>
  <c r="BY37" i="8"/>
  <c r="BO37" i="8"/>
  <c r="BJ37" i="8"/>
  <c r="BE37" i="8"/>
  <c r="AZ37" i="8"/>
  <c r="AU37" i="8"/>
  <c r="AP37" i="8"/>
  <c r="AK37" i="8"/>
  <c r="AF37" i="8"/>
  <c r="AA37" i="8"/>
  <c r="V37" i="8"/>
  <c r="Q37" i="8"/>
  <c r="L37" i="8"/>
  <c r="EL35" i="8"/>
  <c r="BT35" i="8"/>
  <c r="EL34" i="8"/>
  <c r="BT34" i="8"/>
  <c r="EL33" i="8"/>
  <c r="BT33" i="8"/>
  <c r="BT32" i="8" s="1"/>
  <c r="EG32" i="8"/>
  <c r="EB32" i="8"/>
  <c r="DW32" i="8"/>
  <c r="DR32" i="8"/>
  <c r="DM32" i="8"/>
  <c r="DH32" i="8"/>
  <c r="DC32" i="8"/>
  <c r="CX32" i="8"/>
  <c r="CS32" i="8"/>
  <c r="CN32" i="8"/>
  <c r="CI32" i="8"/>
  <c r="CD32" i="8"/>
  <c r="BY32" i="8"/>
  <c r="BO32" i="8"/>
  <c r="BJ32" i="8"/>
  <c r="BE32" i="8"/>
  <c r="AZ32" i="8"/>
  <c r="AU32" i="8"/>
  <c r="AP32" i="8"/>
  <c r="AK32" i="8"/>
  <c r="AF32" i="8"/>
  <c r="AA32" i="8"/>
  <c r="V32" i="8"/>
  <c r="Q32" i="8"/>
  <c r="L32" i="8"/>
  <c r="EL30" i="8"/>
  <c r="BT30" i="8"/>
  <c r="EL29" i="8"/>
  <c r="BT29" i="8"/>
  <c r="EL28" i="8"/>
  <c r="BT28" i="8"/>
  <c r="EG27" i="8"/>
  <c r="EB27" i="8"/>
  <c r="DW27" i="8"/>
  <c r="DR27" i="8"/>
  <c r="DM27" i="8"/>
  <c r="DH27" i="8"/>
  <c r="DC27" i="8"/>
  <c r="CX27" i="8"/>
  <c r="CS27" i="8"/>
  <c r="CN27" i="8"/>
  <c r="CI27" i="8"/>
  <c r="CD27" i="8"/>
  <c r="BY27" i="8"/>
  <c r="BT27" i="8"/>
  <c r="BO27" i="8"/>
  <c r="BJ27" i="8"/>
  <c r="BE27" i="8"/>
  <c r="AZ27" i="8"/>
  <c r="AU27" i="8"/>
  <c r="AP27" i="8"/>
  <c r="AK27" i="8"/>
  <c r="AF27" i="8"/>
  <c r="AA27" i="8"/>
  <c r="V27" i="8"/>
  <c r="Q27" i="8"/>
  <c r="L27" i="8"/>
  <c r="G27" i="8"/>
  <c r="EL25" i="8"/>
  <c r="BT25" i="8"/>
  <c r="EL24" i="8"/>
  <c r="BT24" i="8"/>
  <c r="EL23" i="8"/>
  <c r="BT23" i="8"/>
  <c r="EG22" i="8"/>
  <c r="EB22" i="8"/>
  <c r="DW22" i="8"/>
  <c r="DR22" i="8"/>
  <c r="DM22" i="8"/>
  <c r="DH22" i="8"/>
  <c r="DC22" i="8"/>
  <c r="CX22" i="8"/>
  <c r="CS22" i="8"/>
  <c r="CN22" i="8"/>
  <c r="CI22" i="8"/>
  <c r="CD22" i="8"/>
  <c r="BY22" i="8"/>
  <c r="BO22" i="8"/>
  <c r="BJ22" i="8"/>
  <c r="BE22" i="8"/>
  <c r="AZ22" i="8"/>
  <c r="AU22" i="8"/>
  <c r="AP22" i="8"/>
  <c r="AK22" i="8"/>
  <c r="AF22" i="8"/>
  <c r="AA22" i="8"/>
  <c r="V22" i="8"/>
  <c r="Q22" i="8"/>
  <c r="L22" i="8"/>
  <c r="G22" i="8"/>
  <c r="EG20" i="8"/>
  <c r="EB20" i="8"/>
  <c r="DW20" i="8"/>
  <c r="DR20" i="8"/>
  <c r="DM20" i="8"/>
  <c r="DH20" i="8"/>
  <c r="DC20" i="8"/>
  <c r="CX20" i="8"/>
  <c r="CS20" i="8"/>
  <c r="CN20" i="8"/>
  <c r="CI20" i="8"/>
  <c r="CD20" i="8"/>
  <c r="BO20" i="8"/>
  <c r="BJ20" i="8"/>
  <c r="BE20" i="8"/>
  <c r="AZ20" i="8"/>
  <c r="AU20" i="8"/>
  <c r="AP20" i="8"/>
  <c r="AK20" i="8"/>
  <c r="AF20" i="8"/>
  <c r="AA20" i="8"/>
  <c r="V20" i="8"/>
  <c r="Q20" i="8"/>
  <c r="L20" i="8"/>
  <c r="EL19" i="8"/>
  <c r="EG19" i="8"/>
  <c r="EB19" i="8"/>
  <c r="DW19" i="8"/>
  <c r="DR19" i="8"/>
  <c r="DM19" i="8"/>
  <c r="DH19" i="8"/>
  <c r="DC19" i="8"/>
  <c r="CX19" i="8"/>
  <c r="CS19" i="8"/>
  <c r="CN19" i="8"/>
  <c r="CI19" i="8"/>
  <c r="CD19" i="8"/>
  <c r="BO19" i="8"/>
  <c r="BJ19" i="8"/>
  <c r="BE19" i="8"/>
  <c r="AZ19" i="8"/>
  <c r="AU19" i="8"/>
  <c r="AP19" i="8"/>
  <c r="AP17" i="8" s="1"/>
  <c r="AP13" i="8" s="1"/>
  <c r="AK19" i="8"/>
  <c r="AF19" i="8"/>
  <c r="AA19" i="8"/>
  <c r="V19" i="8"/>
  <c r="Q19" i="8"/>
  <c r="L19" i="8"/>
  <c r="EB18" i="8"/>
  <c r="DR18" i="8"/>
  <c r="DH18" i="8"/>
  <c r="DC18" i="8"/>
  <c r="CX18" i="8"/>
  <c r="CX17" i="8" s="1"/>
  <c r="CX13" i="8" s="1"/>
  <c r="CN18" i="8"/>
  <c r="CN17" i="8" s="1"/>
  <c r="CN13" i="8" s="1"/>
  <c r="CD18" i="8"/>
  <c r="BE18" i="8"/>
  <c r="AZ18" i="8"/>
  <c r="AU18" i="8"/>
  <c r="AP18" i="8"/>
  <c r="AK18" i="8"/>
  <c r="V18" i="8"/>
  <c r="L18" i="8"/>
  <c r="BE17" i="8"/>
  <c r="G17" i="8"/>
  <c r="G13" i="8" s="1"/>
  <c r="G12" i="8" s="1"/>
  <c r="DM15" i="8"/>
  <c r="BY9" i="8"/>
  <c r="G9" i="8"/>
  <c r="BY8" i="8"/>
  <c r="G8" i="8"/>
  <c r="M1" i="8"/>
  <c r="EL155" i="7"/>
  <c r="BT155" i="7"/>
  <c r="EL154" i="7"/>
  <c r="BT154" i="7"/>
  <c r="EL153" i="7"/>
  <c r="BT153" i="7"/>
  <c r="EG152" i="7"/>
  <c r="EB152" i="7"/>
  <c r="DW152" i="7"/>
  <c r="DR152" i="7"/>
  <c r="DM152" i="7"/>
  <c r="DH152" i="7"/>
  <c r="DC152" i="7"/>
  <c r="CX152" i="7"/>
  <c r="CS152" i="7"/>
  <c r="CN152" i="7"/>
  <c r="CI152" i="7"/>
  <c r="CD152" i="7"/>
  <c r="BY152" i="7"/>
  <c r="BO152" i="7"/>
  <c r="BJ152" i="7"/>
  <c r="BE152" i="7"/>
  <c r="AZ152" i="7"/>
  <c r="AU152" i="7"/>
  <c r="AP152" i="7"/>
  <c r="AK152" i="7"/>
  <c r="AF152" i="7"/>
  <c r="AA152" i="7"/>
  <c r="V152" i="7"/>
  <c r="Q152" i="7"/>
  <c r="L152" i="7"/>
  <c r="G152" i="7"/>
  <c r="EL150" i="7"/>
  <c r="BT150" i="7"/>
  <c r="EL149" i="7"/>
  <c r="BT149" i="7"/>
  <c r="EL148" i="7"/>
  <c r="BT148" i="7"/>
  <c r="EG147" i="7"/>
  <c r="EB147" i="7"/>
  <c r="DW147" i="7"/>
  <c r="DR147" i="7"/>
  <c r="DM147" i="7"/>
  <c r="DH147" i="7"/>
  <c r="DC147" i="7"/>
  <c r="CX147" i="7"/>
  <c r="CS147" i="7"/>
  <c r="CN147" i="7"/>
  <c r="CI147" i="7"/>
  <c r="CD147" i="7"/>
  <c r="BY147" i="7"/>
  <c r="BO147" i="7"/>
  <c r="BJ147" i="7"/>
  <c r="BE147" i="7"/>
  <c r="AZ147" i="7"/>
  <c r="AU147" i="7"/>
  <c r="AP147" i="7"/>
  <c r="AK147" i="7"/>
  <c r="AF147" i="7"/>
  <c r="AA147" i="7"/>
  <c r="V147" i="7"/>
  <c r="Q147" i="7"/>
  <c r="L147" i="7"/>
  <c r="G147" i="7"/>
  <c r="EL145" i="7"/>
  <c r="BT145" i="7"/>
  <c r="EL144" i="7"/>
  <c r="BT144" i="7"/>
  <c r="EL143" i="7"/>
  <c r="BT143" i="7"/>
  <c r="EG142" i="7"/>
  <c r="EB142" i="7"/>
  <c r="DW142" i="7"/>
  <c r="DR142" i="7"/>
  <c r="DM142" i="7"/>
  <c r="DH142" i="7"/>
  <c r="DC142" i="7"/>
  <c r="CX142" i="7"/>
  <c r="CS142" i="7"/>
  <c r="CN142" i="7"/>
  <c r="CI142" i="7"/>
  <c r="CD142" i="7"/>
  <c r="BY142" i="7"/>
  <c r="BO142" i="7"/>
  <c r="BJ142" i="7"/>
  <c r="BE142" i="7"/>
  <c r="AZ142" i="7"/>
  <c r="AU142" i="7"/>
  <c r="AP142" i="7"/>
  <c r="AK142" i="7"/>
  <c r="AF142" i="7"/>
  <c r="AA142" i="7"/>
  <c r="V142" i="7"/>
  <c r="Q142" i="7"/>
  <c r="L142" i="7"/>
  <c r="G142" i="7"/>
  <c r="EL140" i="7"/>
  <c r="BT140" i="7"/>
  <c r="EL139" i="7"/>
  <c r="BT139" i="7"/>
  <c r="EL138" i="7"/>
  <c r="BT138" i="7"/>
  <c r="EL137" i="7"/>
  <c r="EG137" i="7"/>
  <c r="EB137" i="7"/>
  <c r="DW137" i="7"/>
  <c r="DR137" i="7"/>
  <c r="DM137" i="7"/>
  <c r="DH137" i="7"/>
  <c r="DC137" i="7"/>
  <c r="CX137" i="7"/>
  <c r="CS137" i="7"/>
  <c r="CN137" i="7"/>
  <c r="CI137" i="7"/>
  <c r="CD137" i="7"/>
  <c r="BY137" i="7"/>
  <c r="BO137" i="7"/>
  <c r="BJ137" i="7"/>
  <c r="BE137" i="7"/>
  <c r="AZ137" i="7"/>
  <c r="AU137" i="7"/>
  <c r="AP137" i="7"/>
  <c r="AK137" i="7"/>
  <c r="AF137" i="7"/>
  <c r="AA137" i="7"/>
  <c r="V137" i="7"/>
  <c r="Q137" i="7"/>
  <c r="L137" i="7"/>
  <c r="G137" i="7"/>
  <c r="EL135" i="7"/>
  <c r="BT135" i="7"/>
  <c r="EL134" i="7"/>
  <c r="BT134" i="7"/>
  <c r="EL133" i="7"/>
  <c r="BT133" i="7"/>
  <c r="EG132" i="7"/>
  <c r="EB132" i="7"/>
  <c r="DW132" i="7"/>
  <c r="DR132" i="7"/>
  <c r="DM132" i="7"/>
  <c r="DH132" i="7"/>
  <c r="DC132" i="7"/>
  <c r="CX132" i="7"/>
  <c r="CS132" i="7"/>
  <c r="CN132" i="7"/>
  <c r="CI132" i="7"/>
  <c r="CD132" i="7"/>
  <c r="BY132" i="7"/>
  <c r="BT132" i="7"/>
  <c r="BO132" i="7"/>
  <c r="BJ132" i="7"/>
  <c r="BE132" i="7"/>
  <c r="AZ132" i="7"/>
  <c r="AU132" i="7"/>
  <c r="AP132" i="7"/>
  <c r="AK132" i="7"/>
  <c r="AF132" i="7"/>
  <c r="AA132" i="7"/>
  <c r="V132" i="7"/>
  <c r="Q132" i="7"/>
  <c r="L132" i="7"/>
  <c r="G132" i="7"/>
  <c r="EL130" i="7"/>
  <c r="BT130" i="7"/>
  <c r="EL129" i="7"/>
  <c r="BT129" i="7"/>
  <c r="EL128" i="7"/>
  <c r="BT128" i="7"/>
  <c r="EL127" i="7"/>
  <c r="EG127" i="7"/>
  <c r="EB127" i="7"/>
  <c r="DW127" i="7"/>
  <c r="DR127" i="7"/>
  <c r="DM127" i="7"/>
  <c r="DH127" i="7"/>
  <c r="DC127" i="7"/>
  <c r="CX127" i="7"/>
  <c r="CS127" i="7"/>
  <c r="CN127" i="7"/>
  <c r="CI127" i="7"/>
  <c r="CD127" i="7"/>
  <c r="BY127" i="7"/>
  <c r="BO127" i="7"/>
  <c r="BJ127" i="7"/>
  <c r="BE127" i="7"/>
  <c r="AZ127" i="7"/>
  <c r="AU127" i="7"/>
  <c r="AP127" i="7"/>
  <c r="AK127" i="7"/>
  <c r="AF127" i="7"/>
  <c r="AA127" i="7"/>
  <c r="V127" i="7"/>
  <c r="Q127" i="7"/>
  <c r="L127" i="7"/>
  <c r="G127" i="7"/>
  <c r="EG125" i="7"/>
  <c r="EB125" i="7"/>
  <c r="DW125" i="7"/>
  <c r="DR125" i="7"/>
  <c r="DM125" i="7"/>
  <c r="DM122" i="7" s="1"/>
  <c r="DM16" i="7" s="1"/>
  <c r="DH125" i="7"/>
  <c r="DC125" i="7"/>
  <c r="CX125" i="7"/>
  <c r="CS125" i="7"/>
  <c r="CN125" i="7"/>
  <c r="CI125" i="7"/>
  <c r="CD125" i="7"/>
  <c r="BY125" i="7"/>
  <c r="BO125" i="7"/>
  <c r="BJ125" i="7"/>
  <c r="BE125" i="7"/>
  <c r="AZ125" i="7"/>
  <c r="AU125" i="7"/>
  <c r="AP125" i="7"/>
  <c r="AK125" i="7"/>
  <c r="AF125" i="7"/>
  <c r="AA125" i="7"/>
  <c r="V125" i="7"/>
  <c r="Q125" i="7"/>
  <c r="L125" i="7"/>
  <c r="G125" i="7"/>
  <c r="EG124" i="7"/>
  <c r="EB124" i="7"/>
  <c r="DW124" i="7"/>
  <c r="DR124" i="7"/>
  <c r="DM124" i="7"/>
  <c r="DH124" i="7"/>
  <c r="DC124" i="7"/>
  <c r="CX124" i="7"/>
  <c r="CS124" i="7"/>
  <c r="CN124" i="7"/>
  <c r="CI124" i="7"/>
  <c r="CD124" i="7"/>
  <c r="BY124" i="7"/>
  <c r="BO124" i="7"/>
  <c r="BJ124" i="7"/>
  <c r="BE124" i="7"/>
  <c r="AZ124" i="7"/>
  <c r="AU124" i="7"/>
  <c r="AP124" i="7"/>
  <c r="AK124" i="7"/>
  <c r="AF124" i="7"/>
  <c r="AA124" i="7"/>
  <c r="V124" i="7"/>
  <c r="Q124" i="7"/>
  <c r="L124" i="7"/>
  <c r="G124" i="7"/>
  <c r="EG123" i="7"/>
  <c r="EB123" i="7"/>
  <c r="DW123" i="7"/>
  <c r="DR123" i="7"/>
  <c r="DR122" i="7" s="1"/>
  <c r="DR16" i="7" s="1"/>
  <c r="DM123" i="7"/>
  <c r="DH123" i="7"/>
  <c r="DC123" i="7"/>
  <c r="CX123" i="7"/>
  <c r="CS123" i="7"/>
  <c r="CS122" i="7" s="1"/>
  <c r="CS16" i="7" s="1"/>
  <c r="CN123" i="7"/>
  <c r="CN122" i="7" s="1"/>
  <c r="CN16" i="7" s="1"/>
  <c r="CI123" i="7"/>
  <c r="CD123" i="7"/>
  <c r="BY123" i="7"/>
  <c r="BO123" i="7"/>
  <c r="BJ123" i="7"/>
  <c r="BE123" i="7"/>
  <c r="AZ123" i="7"/>
  <c r="AZ122" i="7" s="1"/>
  <c r="AZ16" i="7" s="1"/>
  <c r="AU123" i="7"/>
  <c r="AP123" i="7"/>
  <c r="AK123" i="7"/>
  <c r="AF123" i="7"/>
  <c r="AA123" i="7"/>
  <c r="V123" i="7"/>
  <c r="Q123" i="7"/>
  <c r="L123" i="7"/>
  <c r="G123" i="7"/>
  <c r="DC122" i="7"/>
  <c r="DC16" i="7" s="1"/>
  <c r="CI122" i="7"/>
  <c r="CI16" i="7" s="1"/>
  <c r="EL120" i="7"/>
  <c r="BT120" i="7"/>
  <c r="EL119" i="7"/>
  <c r="EG119" i="7"/>
  <c r="EB119" i="7"/>
  <c r="DW119" i="7"/>
  <c r="DR119" i="7"/>
  <c r="DM119" i="7"/>
  <c r="DH119" i="7"/>
  <c r="DC119" i="7"/>
  <c r="CX119" i="7"/>
  <c r="CS119" i="7"/>
  <c r="CN119" i="7"/>
  <c r="CI119" i="7"/>
  <c r="CD119" i="7"/>
  <c r="BY119" i="7"/>
  <c r="BO119" i="7"/>
  <c r="BJ119" i="7"/>
  <c r="BE119" i="7"/>
  <c r="AZ119" i="7"/>
  <c r="AU119" i="7"/>
  <c r="AP119" i="7"/>
  <c r="AK119" i="7"/>
  <c r="AF119" i="7"/>
  <c r="AA119" i="7"/>
  <c r="V119" i="7"/>
  <c r="Q119" i="7"/>
  <c r="L119" i="7"/>
  <c r="G119" i="7"/>
  <c r="EL117" i="7"/>
  <c r="EL116" i="7" s="1"/>
  <c r="BT117" i="7"/>
  <c r="EG116" i="7"/>
  <c r="EB116" i="7"/>
  <c r="DW116" i="7"/>
  <c r="DR116" i="7"/>
  <c r="DM116" i="7"/>
  <c r="DH116" i="7"/>
  <c r="DC116" i="7"/>
  <c r="CX116" i="7"/>
  <c r="CS116" i="7"/>
  <c r="CN116" i="7"/>
  <c r="CI116" i="7"/>
  <c r="CD116" i="7"/>
  <c r="BY116" i="7"/>
  <c r="BO116" i="7"/>
  <c r="BJ116" i="7"/>
  <c r="BE116" i="7"/>
  <c r="AZ116" i="7"/>
  <c r="AU116" i="7"/>
  <c r="AP116" i="7"/>
  <c r="AK116" i="7"/>
  <c r="AF116" i="7"/>
  <c r="AA116" i="7"/>
  <c r="V116" i="7"/>
  <c r="Q116" i="7"/>
  <c r="L116" i="7"/>
  <c r="G116" i="7"/>
  <c r="EL114" i="7"/>
  <c r="EL113" i="7" s="1"/>
  <c r="BY114" i="7"/>
  <c r="BY66" i="7" s="1"/>
  <c r="BY65" i="7" s="1"/>
  <c r="BY15" i="7" s="1"/>
  <c r="BT114" i="7"/>
  <c r="EG113" i="7"/>
  <c r="EB113" i="7"/>
  <c r="DW113" i="7"/>
  <c r="DR113" i="7"/>
  <c r="DM113" i="7"/>
  <c r="DH113" i="7"/>
  <c r="DC113" i="7"/>
  <c r="CX113" i="7"/>
  <c r="CS113" i="7"/>
  <c r="CN113" i="7"/>
  <c r="CI113" i="7"/>
  <c r="CD113" i="7"/>
  <c r="BT113" i="7"/>
  <c r="BO113" i="7"/>
  <c r="BJ113" i="7"/>
  <c r="BE113" i="7"/>
  <c r="AZ113" i="7"/>
  <c r="AU113" i="7"/>
  <c r="AP113" i="7"/>
  <c r="AK113" i="7"/>
  <c r="AF113" i="7"/>
  <c r="AA113" i="7"/>
  <c r="V113" i="7"/>
  <c r="Q113" i="7"/>
  <c r="L113" i="7"/>
  <c r="G113" i="7"/>
  <c r="EL111" i="7"/>
  <c r="BT111" i="7"/>
  <c r="EL110" i="7"/>
  <c r="EG110" i="7"/>
  <c r="EB110" i="7"/>
  <c r="DW110" i="7"/>
  <c r="DR110" i="7"/>
  <c r="DM110" i="7"/>
  <c r="DH110" i="7"/>
  <c r="DC110" i="7"/>
  <c r="CX110" i="7"/>
  <c r="CS110" i="7"/>
  <c r="CN110" i="7"/>
  <c r="CI110" i="7"/>
  <c r="CD110" i="7"/>
  <c r="BY110" i="7"/>
  <c r="BO110" i="7"/>
  <c r="BJ110" i="7"/>
  <c r="BE110" i="7"/>
  <c r="AZ110" i="7"/>
  <c r="AU110" i="7"/>
  <c r="AP110" i="7"/>
  <c r="AK110" i="7"/>
  <c r="AF110" i="7"/>
  <c r="AA110" i="7"/>
  <c r="V110" i="7"/>
  <c r="Q110" i="7"/>
  <c r="L110" i="7"/>
  <c r="G110" i="7"/>
  <c r="EL108" i="7"/>
  <c r="BT108" i="7"/>
  <c r="BT107" i="7" s="1"/>
  <c r="EG107" i="7"/>
  <c r="EB107" i="7"/>
  <c r="DW107" i="7"/>
  <c r="DR107" i="7"/>
  <c r="DM107" i="7"/>
  <c r="DH107" i="7"/>
  <c r="DC107" i="7"/>
  <c r="CX107" i="7"/>
  <c r="CS107" i="7"/>
  <c r="CN107" i="7"/>
  <c r="CI107" i="7"/>
  <c r="CD107" i="7"/>
  <c r="BY107" i="7"/>
  <c r="BO107" i="7"/>
  <c r="BJ107" i="7"/>
  <c r="BE107" i="7"/>
  <c r="AZ107" i="7"/>
  <c r="AU107" i="7"/>
  <c r="AP107" i="7"/>
  <c r="AK107" i="7"/>
  <c r="AF107" i="7"/>
  <c r="AA107" i="7"/>
  <c r="V107" i="7"/>
  <c r="Q107" i="7"/>
  <c r="L107" i="7"/>
  <c r="G107" i="7"/>
  <c r="D107" i="7"/>
  <c r="EL105" i="7"/>
  <c r="BT105" i="7"/>
  <c r="BT104" i="7" s="1"/>
  <c r="EG104" i="7"/>
  <c r="EB104" i="7"/>
  <c r="DW104" i="7"/>
  <c r="DR104" i="7"/>
  <c r="DM104" i="7"/>
  <c r="DH104" i="7"/>
  <c r="DC104" i="7"/>
  <c r="CX104" i="7"/>
  <c r="CS104" i="7"/>
  <c r="CN104" i="7"/>
  <c r="CI104" i="7"/>
  <c r="CD104" i="7"/>
  <c r="BY104" i="7"/>
  <c r="BO104" i="7"/>
  <c r="BJ104" i="7"/>
  <c r="BE104" i="7"/>
  <c r="AZ104" i="7"/>
  <c r="AU104" i="7"/>
  <c r="AP104" i="7"/>
  <c r="AK104" i="7"/>
  <c r="AF104" i="7"/>
  <c r="AA104" i="7"/>
  <c r="V104" i="7"/>
  <c r="Q104" i="7"/>
  <c r="L104" i="7"/>
  <c r="G104" i="7"/>
  <c r="EL102" i="7"/>
  <c r="BT102" i="7"/>
  <c r="EG101" i="7"/>
  <c r="EB101" i="7"/>
  <c r="DW101" i="7"/>
  <c r="DR101" i="7"/>
  <c r="DM101" i="7"/>
  <c r="DH101" i="7"/>
  <c r="DC101" i="7"/>
  <c r="CX101" i="7"/>
  <c r="CS101" i="7"/>
  <c r="CN101" i="7"/>
  <c r="CI101" i="7"/>
  <c r="CD101" i="7"/>
  <c r="BY101" i="7"/>
  <c r="BO101" i="7"/>
  <c r="BJ101" i="7"/>
  <c r="BE101" i="7"/>
  <c r="AZ101" i="7"/>
  <c r="AU101" i="7"/>
  <c r="AP101" i="7"/>
  <c r="AK101" i="7"/>
  <c r="AF101" i="7"/>
  <c r="AA101" i="7"/>
  <c r="V101" i="7"/>
  <c r="Q101" i="7"/>
  <c r="L101" i="7"/>
  <c r="G101" i="7"/>
  <c r="EL99" i="7"/>
  <c r="BT99" i="7"/>
  <c r="BT98" i="7" s="1"/>
  <c r="EG98" i="7"/>
  <c r="EB98" i="7"/>
  <c r="DW98" i="7"/>
  <c r="DR98" i="7"/>
  <c r="DM98" i="7"/>
  <c r="DH98" i="7"/>
  <c r="DC98" i="7"/>
  <c r="CX98" i="7"/>
  <c r="CS98" i="7"/>
  <c r="CN98" i="7"/>
  <c r="CI98" i="7"/>
  <c r="CD98" i="7"/>
  <c r="BY98" i="7"/>
  <c r="BO98" i="7"/>
  <c r="BJ98" i="7"/>
  <c r="BE98" i="7"/>
  <c r="AZ98" i="7"/>
  <c r="AU98" i="7"/>
  <c r="AP98" i="7"/>
  <c r="AK98" i="7"/>
  <c r="AF98" i="7"/>
  <c r="AA98" i="7"/>
  <c r="V98" i="7"/>
  <c r="Q98" i="7"/>
  <c r="L98" i="7"/>
  <c r="G98" i="7"/>
  <c r="EL96" i="7"/>
  <c r="BT96" i="7"/>
  <c r="EG95" i="7"/>
  <c r="EB95" i="7"/>
  <c r="DW95" i="7"/>
  <c r="DR95" i="7"/>
  <c r="DM95" i="7"/>
  <c r="DH95" i="7"/>
  <c r="DC95" i="7"/>
  <c r="CX95" i="7"/>
  <c r="CS95" i="7"/>
  <c r="CN95" i="7"/>
  <c r="CI95" i="7"/>
  <c r="CD95" i="7"/>
  <c r="BY95" i="7"/>
  <c r="BO95" i="7"/>
  <c r="BJ95" i="7"/>
  <c r="BE95" i="7"/>
  <c r="AZ95" i="7"/>
  <c r="AU95" i="7"/>
  <c r="AP95" i="7"/>
  <c r="AK95" i="7"/>
  <c r="AF95" i="7"/>
  <c r="AA95" i="7"/>
  <c r="V95" i="7"/>
  <c r="Q95" i="7"/>
  <c r="L95" i="7"/>
  <c r="G95" i="7"/>
  <c r="EL93" i="7"/>
  <c r="BT93" i="7"/>
  <c r="BT92" i="7" s="1"/>
  <c r="EG92" i="7"/>
  <c r="EB92" i="7"/>
  <c r="DW92" i="7"/>
  <c r="DR92" i="7"/>
  <c r="DM92" i="7"/>
  <c r="DH92" i="7"/>
  <c r="DC92" i="7"/>
  <c r="CX92" i="7"/>
  <c r="CS92" i="7"/>
  <c r="CN92" i="7"/>
  <c r="CI92" i="7"/>
  <c r="CD92" i="7"/>
  <c r="BY92" i="7"/>
  <c r="BO92" i="7"/>
  <c r="BJ92" i="7"/>
  <c r="BE92" i="7"/>
  <c r="AZ92" i="7"/>
  <c r="AU92" i="7"/>
  <c r="AP92" i="7"/>
  <c r="AK92" i="7"/>
  <c r="AF92" i="7"/>
  <c r="AA92" i="7"/>
  <c r="V92" i="7"/>
  <c r="Q92" i="7"/>
  <c r="L92" i="7"/>
  <c r="G92" i="7"/>
  <c r="D92" i="7"/>
  <c r="EL90" i="7"/>
  <c r="EL89" i="7" s="1"/>
  <c r="BT90" i="7"/>
  <c r="EG89" i="7"/>
  <c r="EB89" i="7"/>
  <c r="DW89" i="7"/>
  <c r="DR89" i="7"/>
  <c r="DM89" i="7"/>
  <c r="DH89" i="7"/>
  <c r="DC89" i="7"/>
  <c r="CX89" i="7"/>
  <c r="CS89" i="7"/>
  <c r="CN89" i="7"/>
  <c r="CI89" i="7"/>
  <c r="CD89" i="7"/>
  <c r="BY89" i="7"/>
  <c r="BO89" i="7"/>
  <c r="BJ89" i="7"/>
  <c r="BE89" i="7"/>
  <c r="AZ89" i="7"/>
  <c r="AU89" i="7"/>
  <c r="AP89" i="7"/>
  <c r="AK89" i="7"/>
  <c r="AF89" i="7"/>
  <c r="AA89" i="7"/>
  <c r="V89" i="7"/>
  <c r="Q89" i="7"/>
  <c r="L89" i="7"/>
  <c r="G89" i="7"/>
  <c r="D89" i="7"/>
  <c r="EL87" i="7"/>
  <c r="BT87" i="7"/>
  <c r="EG86" i="7"/>
  <c r="EB86" i="7"/>
  <c r="DW86" i="7"/>
  <c r="DR86" i="7"/>
  <c r="DM86" i="7"/>
  <c r="DH86" i="7"/>
  <c r="DC86" i="7"/>
  <c r="CX86" i="7"/>
  <c r="CS86" i="7"/>
  <c r="CN86" i="7"/>
  <c r="CI86" i="7"/>
  <c r="CD86" i="7"/>
  <c r="BY86" i="7"/>
  <c r="BT86" i="7"/>
  <c r="BO86" i="7"/>
  <c r="BJ86" i="7"/>
  <c r="BE86" i="7"/>
  <c r="AZ86" i="7"/>
  <c r="AU86" i="7"/>
  <c r="AP86" i="7"/>
  <c r="AK86" i="7"/>
  <c r="AF86" i="7"/>
  <c r="AA86" i="7"/>
  <c r="V86" i="7"/>
  <c r="Q86" i="7"/>
  <c r="L86" i="7"/>
  <c r="G86" i="7"/>
  <c r="EL84" i="7"/>
  <c r="EL83" i="7" s="1"/>
  <c r="BT84" i="7"/>
  <c r="EG83" i="7"/>
  <c r="EB83" i="7"/>
  <c r="DW83" i="7"/>
  <c r="DR83" i="7"/>
  <c r="DM83" i="7"/>
  <c r="DH83" i="7"/>
  <c r="DC83" i="7"/>
  <c r="CX83" i="7"/>
  <c r="CS83" i="7"/>
  <c r="CN83" i="7"/>
  <c r="CI83" i="7"/>
  <c r="CD83" i="7"/>
  <c r="BY83" i="7"/>
  <c r="BO83" i="7"/>
  <c r="BJ83" i="7"/>
  <c r="BE83" i="7"/>
  <c r="AZ83" i="7"/>
  <c r="AU83" i="7"/>
  <c r="AP83" i="7"/>
  <c r="AK83" i="7"/>
  <c r="AF83" i="7"/>
  <c r="AA83" i="7"/>
  <c r="V83" i="7"/>
  <c r="Q83" i="7"/>
  <c r="L83" i="7"/>
  <c r="G83" i="7"/>
  <c r="EL81" i="7"/>
  <c r="BT81" i="7"/>
  <c r="EL80" i="7"/>
  <c r="EG80" i="7"/>
  <c r="EB80" i="7"/>
  <c r="DW80" i="7"/>
  <c r="DR80" i="7"/>
  <c r="DM80" i="7"/>
  <c r="DH80" i="7"/>
  <c r="DC80" i="7"/>
  <c r="CX80" i="7"/>
  <c r="CS80" i="7"/>
  <c r="CN80" i="7"/>
  <c r="CI80" i="7"/>
  <c r="CE80" i="7"/>
  <c r="CD80" i="7"/>
  <c r="BY80" i="7"/>
  <c r="BT80" i="7"/>
  <c r="BO80" i="7"/>
  <c r="BJ80" i="7"/>
  <c r="BE80" i="7"/>
  <c r="AZ80" i="7"/>
  <c r="AU80" i="7"/>
  <c r="AP80" i="7"/>
  <c r="AK80" i="7"/>
  <c r="AF80" i="7"/>
  <c r="AA80" i="7"/>
  <c r="V80" i="7"/>
  <c r="Q80" i="7"/>
  <c r="M80" i="7"/>
  <c r="L80" i="7"/>
  <c r="G80" i="7"/>
  <c r="EL78" i="7"/>
  <c r="BT78" i="7"/>
  <c r="EG77" i="7"/>
  <c r="EB77" i="7"/>
  <c r="DW77" i="7"/>
  <c r="DR77" i="7"/>
  <c r="DM77" i="7"/>
  <c r="DH77" i="7"/>
  <c r="DC77" i="7"/>
  <c r="CX77" i="7"/>
  <c r="CS77" i="7"/>
  <c r="CN77" i="7"/>
  <c r="CI77" i="7"/>
  <c r="CD77" i="7"/>
  <c r="BY77" i="7"/>
  <c r="BO77" i="7"/>
  <c r="BJ77" i="7"/>
  <c r="BE77" i="7"/>
  <c r="AZ77" i="7"/>
  <c r="AU77" i="7"/>
  <c r="AP77" i="7"/>
  <c r="AK77" i="7"/>
  <c r="AF77" i="7"/>
  <c r="AA77" i="7"/>
  <c r="V77" i="7"/>
  <c r="Q77" i="7"/>
  <c r="L77" i="7"/>
  <c r="G77" i="7"/>
  <c r="EL75" i="7"/>
  <c r="BT75" i="7"/>
  <c r="EG74" i="7"/>
  <c r="EB74" i="7"/>
  <c r="DW74" i="7"/>
  <c r="DR74" i="7"/>
  <c r="DM74" i="7"/>
  <c r="DH74" i="7"/>
  <c r="DC74" i="7"/>
  <c r="CX74" i="7"/>
  <c r="CS74" i="7"/>
  <c r="CN74" i="7"/>
  <c r="CI74" i="7"/>
  <c r="CD74" i="7"/>
  <c r="BY74" i="7"/>
  <c r="BO74" i="7"/>
  <c r="BJ74" i="7"/>
  <c r="BE74" i="7"/>
  <c r="AZ74" i="7"/>
  <c r="AU74" i="7"/>
  <c r="AP74" i="7"/>
  <c r="AK74" i="7"/>
  <c r="AF74" i="7"/>
  <c r="AA74" i="7"/>
  <c r="V74" i="7"/>
  <c r="Q74" i="7"/>
  <c r="L74" i="7"/>
  <c r="G74" i="7"/>
  <c r="D74" i="7"/>
  <c r="EL72" i="7"/>
  <c r="BT72" i="7"/>
  <c r="EG71" i="7"/>
  <c r="EB71" i="7"/>
  <c r="DW71" i="7"/>
  <c r="DR71" i="7"/>
  <c r="DM71" i="7"/>
  <c r="DH71" i="7"/>
  <c r="DC71" i="7"/>
  <c r="CX71" i="7"/>
  <c r="CS71" i="7"/>
  <c r="CN71" i="7"/>
  <c r="CI71" i="7"/>
  <c r="CD71" i="7"/>
  <c r="BY71" i="7"/>
  <c r="BT71" i="7"/>
  <c r="BO71" i="7"/>
  <c r="BJ71" i="7"/>
  <c r="BE71" i="7"/>
  <c r="AZ71" i="7"/>
  <c r="AU71" i="7"/>
  <c r="AP71" i="7"/>
  <c r="AK71" i="7"/>
  <c r="AF71" i="7"/>
  <c r="AA71" i="7"/>
  <c r="V71" i="7"/>
  <c r="Q71" i="7"/>
  <c r="L71" i="7"/>
  <c r="G71" i="7"/>
  <c r="EL69" i="7"/>
  <c r="BT69" i="7"/>
  <c r="EG68" i="7"/>
  <c r="EB68" i="7"/>
  <c r="DW68" i="7"/>
  <c r="DR68" i="7"/>
  <c r="DM68" i="7"/>
  <c r="DH68" i="7"/>
  <c r="DC68" i="7"/>
  <c r="CX68" i="7"/>
  <c r="CS68" i="7"/>
  <c r="CN68" i="7"/>
  <c r="CI68" i="7"/>
  <c r="CD68" i="7"/>
  <c r="BY68" i="7"/>
  <c r="BO68" i="7"/>
  <c r="BJ68" i="7"/>
  <c r="BE68" i="7"/>
  <c r="AZ68" i="7"/>
  <c r="AU68" i="7"/>
  <c r="AP68" i="7"/>
  <c r="AK68" i="7"/>
  <c r="AF68" i="7"/>
  <c r="AA68" i="7"/>
  <c r="V68" i="7"/>
  <c r="Q68" i="7"/>
  <c r="L68" i="7"/>
  <c r="G68" i="7"/>
  <c r="EG66" i="7"/>
  <c r="DM66" i="7"/>
  <c r="DM65" i="7" s="1"/>
  <c r="DM15" i="7" s="1"/>
  <c r="DH66" i="7"/>
  <c r="DH65" i="7" s="1"/>
  <c r="DH15" i="7" s="1"/>
  <c r="DC66" i="7"/>
  <c r="DC65" i="7" s="1"/>
  <c r="CX66" i="7"/>
  <c r="CD66" i="7"/>
  <c r="CD65" i="7" s="1"/>
  <c r="CD15" i="7" s="1"/>
  <c r="BO66" i="7"/>
  <c r="BJ66" i="7"/>
  <c r="BE66" i="7"/>
  <c r="AZ66" i="7"/>
  <c r="AU66" i="7"/>
  <c r="AP66" i="7"/>
  <c r="AK66" i="7"/>
  <c r="AF66" i="7"/>
  <c r="V66" i="7"/>
  <c r="Q66" i="7"/>
  <c r="L66" i="7"/>
  <c r="G66" i="7"/>
  <c r="G65" i="7" s="1"/>
  <c r="EG65" i="7"/>
  <c r="EB65" i="7"/>
  <c r="DW65" i="7"/>
  <c r="DW15" i="7" s="1"/>
  <c r="DR65" i="7"/>
  <c r="CX65" i="7"/>
  <c r="CX15" i="7" s="1"/>
  <c r="CS65" i="7"/>
  <c r="CN65" i="7"/>
  <c r="CN15" i="7" s="1"/>
  <c r="CI65" i="7"/>
  <c r="BE65" i="7"/>
  <c r="AU65" i="7"/>
  <c r="AU15" i="7" s="1"/>
  <c r="AA65" i="7"/>
  <c r="L65" i="7"/>
  <c r="EL63" i="7"/>
  <c r="BT63" i="7"/>
  <c r="EL62" i="7"/>
  <c r="BT62" i="7"/>
  <c r="EL61" i="7"/>
  <c r="EL60" i="7" s="1"/>
  <c r="BT61" i="7"/>
  <c r="BT60" i="7" s="1"/>
  <c r="EG60" i="7"/>
  <c r="EB60" i="7"/>
  <c r="DW60" i="7"/>
  <c r="DR60" i="7"/>
  <c r="DM60" i="7"/>
  <c r="DH60" i="7"/>
  <c r="DC60" i="7"/>
  <c r="CX60" i="7"/>
  <c r="CS60" i="7"/>
  <c r="CN60" i="7"/>
  <c r="CI60" i="7"/>
  <c r="CD60" i="7"/>
  <c r="BY60" i="7"/>
  <c r="BO60" i="7"/>
  <c r="BJ60" i="7"/>
  <c r="BE60" i="7"/>
  <c r="AZ60" i="7"/>
  <c r="AU60" i="7"/>
  <c r="AP60" i="7"/>
  <c r="AK60" i="7"/>
  <c r="AF60" i="7"/>
  <c r="AA60" i="7"/>
  <c r="V60" i="7"/>
  <c r="Q60" i="7"/>
  <c r="L60" i="7"/>
  <c r="G60" i="7"/>
  <c r="EL58" i="7"/>
  <c r="BT58" i="7"/>
  <c r="EL57" i="7"/>
  <c r="BT57" i="7"/>
  <c r="EL56" i="7"/>
  <c r="EL55" i="7" s="1"/>
  <c r="BT56" i="7"/>
  <c r="EG55" i="7"/>
  <c r="EB55" i="7"/>
  <c r="DW55" i="7"/>
  <c r="DR55" i="7"/>
  <c r="DM55" i="7"/>
  <c r="DH55" i="7"/>
  <c r="DC55" i="7"/>
  <c r="CX55" i="7"/>
  <c r="CS55" i="7"/>
  <c r="CN55" i="7"/>
  <c r="CI55" i="7"/>
  <c r="CD55" i="7"/>
  <c r="BY55" i="7"/>
  <c r="BT55" i="7"/>
  <c r="BO55" i="7"/>
  <c r="BJ55" i="7"/>
  <c r="BE55" i="7"/>
  <c r="AZ55" i="7"/>
  <c r="AU55" i="7"/>
  <c r="AP55" i="7"/>
  <c r="AK55" i="7"/>
  <c r="AF55" i="7"/>
  <c r="AA55" i="7"/>
  <c r="V55" i="7"/>
  <c r="Q55" i="7"/>
  <c r="L55" i="7"/>
  <c r="G55" i="7"/>
  <c r="EL53" i="7"/>
  <c r="BT53" i="7"/>
  <c r="EL52" i="7"/>
  <c r="BT52" i="7"/>
  <c r="EL51" i="7"/>
  <c r="BT51" i="7"/>
  <c r="EG50" i="7"/>
  <c r="EB50" i="7"/>
  <c r="DW50" i="7"/>
  <c r="DR50" i="7"/>
  <c r="DM50" i="7"/>
  <c r="DH50" i="7"/>
  <c r="DC50" i="7"/>
  <c r="CX50" i="7"/>
  <c r="CS50" i="7"/>
  <c r="CN50" i="7"/>
  <c r="CI50" i="7"/>
  <c r="CD50" i="7"/>
  <c r="BY50" i="7"/>
  <c r="BT50" i="7"/>
  <c r="BO50" i="7"/>
  <c r="BJ50" i="7"/>
  <c r="BE50" i="7"/>
  <c r="AZ50" i="7"/>
  <c r="AU50" i="7"/>
  <c r="AP50" i="7"/>
  <c r="AK50" i="7"/>
  <c r="AF50" i="7"/>
  <c r="AA50" i="7"/>
  <c r="V50" i="7"/>
  <c r="Q50" i="7"/>
  <c r="L50" i="7"/>
  <c r="G50" i="7"/>
  <c r="EL48" i="7"/>
  <c r="BT48" i="7"/>
  <c r="EL47" i="7"/>
  <c r="BT47" i="7"/>
  <c r="EL46" i="7"/>
  <c r="EL45" i="7" s="1"/>
  <c r="BT46" i="7"/>
  <c r="EG45" i="7"/>
  <c r="EB45" i="7"/>
  <c r="DW45" i="7"/>
  <c r="DR45" i="7"/>
  <c r="DM45" i="7"/>
  <c r="DH45" i="7"/>
  <c r="DC45" i="7"/>
  <c r="CX45" i="7"/>
  <c r="CS45" i="7"/>
  <c r="CN45" i="7"/>
  <c r="CI45" i="7"/>
  <c r="CD45" i="7"/>
  <c r="BY45" i="7"/>
  <c r="BO45" i="7"/>
  <c r="BJ45" i="7"/>
  <c r="BE45" i="7"/>
  <c r="AZ45" i="7"/>
  <c r="AU45" i="7"/>
  <c r="AP45" i="7"/>
  <c r="AK45" i="7"/>
  <c r="AF45" i="7"/>
  <c r="AA45" i="7"/>
  <c r="V45" i="7"/>
  <c r="Q45" i="7"/>
  <c r="L45" i="7"/>
  <c r="G45" i="7"/>
  <c r="EL43" i="7"/>
  <c r="BT43" i="7"/>
  <c r="EL42" i="7"/>
  <c r="BY42" i="7"/>
  <c r="BT42" i="7"/>
  <c r="EL41" i="7"/>
  <c r="BT41" i="7"/>
  <c r="EG40" i="7"/>
  <c r="EB40" i="7"/>
  <c r="DW40" i="7"/>
  <c r="DR40" i="7"/>
  <c r="DM40" i="7"/>
  <c r="DH40" i="7"/>
  <c r="DC40" i="7"/>
  <c r="CX40" i="7"/>
  <c r="CS40" i="7"/>
  <c r="CN40" i="7"/>
  <c r="CI40" i="7"/>
  <c r="CD40" i="7"/>
  <c r="BO40" i="7"/>
  <c r="BJ40" i="7"/>
  <c r="BE40" i="7"/>
  <c r="AZ40" i="7"/>
  <c r="AU40" i="7"/>
  <c r="AP40" i="7"/>
  <c r="AK40" i="7"/>
  <c r="AF40" i="7"/>
  <c r="AA40" i="7"/>
  <c r="V40" i="7"/>
  <c r="Q40" i="7"/>
  <c r="L40" i="7"/>
  <c r="EM38" i="7"/>
  <c r="EL38" i="7"/>
  <c r="BY38" i="7"/>
  <c r="BT38" i="7"/>
  <c r="EM37" i="7"/>
  <c r="EL37" i="7"/>
  <c r="EL32" i="7" s="1"/>
  <c r="BT37" i="7"/>
  <c r="BY37" i="7" s="1"/>
  <c r="EM36" i="7"/>
  <c r="EL36" i="7"/>
  <c r="BT36" i="7"/>
  <c r="EG35" i="7"/>
  <c r="EB35" i="7"/>
  <c r="DW35" i="7"/>
  <c r="DR35" i="7"/>
  <c r="DM35" i="7"/>
  <c r="DH35" i="7"/>
  <c r="DC35" i="7"/>
  <c r="CX35" i="7"/>
  <c r="CS35" i="7"/>
  <c r="CN35" i="7"/>
  <c r="CI35" i="7"/>
  <c r="CD35" i="7"/>
  <c r="BO35" i="7"/>
  <c r="BJ35" i="7"/>
  <c r="BE35" i="7"/>
  <c r="AZ35" i="7"/>
  <c r="AU35" i="7"/>
  <c r="AP35" i="7"/>
  <c r="AK35" i="7"/>
  <c r="AF35" i="7"/>
  <c r="AA35" i="7"/>
  <c r="V35" i="7"/>
  <c r="Q35" i="7"/>
  <c r="L35" i="7"/>
  <c r="EL33" i="7"/>
  <c r="BJ33" i="7"/>
  <c r="BJ32" i="7"/>
  <c r="EB31" i="7"/>
  <c r="EB30" i="7" s="1"/>
  <c r="EB14" i="7" s="1"/>
  <c r="CI31" i="7"/>
  <c r="BJ31" i="7"/>
  <c r="BE31" i="7"/>
  <c r="Q31" i="7"/>
  <c r="Q30" i="7" s="1"/>
  <c r="G31" i="7"/>
  <c r="EG30" i="7"/>
  <c r="EG14" i="7" s="1"/>
  <c r="DW30" i="7"/>
  <c r="DW14" i="7" s="1"/>
  <c r="DR30" i="7"/>
  <c r="DR14" i="7" s="1"/>
  <c r="DM30" i="7"/>
  <c r="DM14" i="7" s="1"/>
  <c r="DH30" i="7"/>
  <c r="DC30" i="7"/>
  <c r="DC14" i="7" s="1"/>
  <c r="CX30" i="7"/>
  <c r="CX14" i="7" s="1"/>
  <c r="CS30" i="7"/>
  <c r="CN30" i="7"/>
  <c r="CN14" i="7" s="1"/>
  <c r="CI30" i="7"/>
  <c r="CD30" i="7"/>
  <c r="BO30" i="7"/>
  <c r="AZ30" i="7"/>
  <c r="AU30" i="7"/>
  <c r="AP30" i="7"/>
  <c r="AK30" i="7"/>
  <c r="AF30" i="7"/>
  <c r="AA30" i="7"/>
  <c r="V30" i="7"/>
  <c r="L30" i="7"/>
  <c r="G30" i="7"/>
  <c r="G14" i="7" s="1"/>
  <c r="EL28" i="7"/>
  <c r="BT28" i="7"/>
  <c r="EL27" i="7"/>
  <c r="BT27" i="7"/>
  <c r="EL26" i="7"/>
  <c r="BT26" i="7"/>
  <c r="EL25" i="7"/>
  <c r="BT25" i="7"/>
  <c r="EL24" i="7"/>
  <c r="BT24" i="7"/>
  <c r="EL23" i="7"/>
  <c r="BT23" i="7"/>
  <c r="EL22" i="7"/>
  <c r="BT22" i="7"/>
  <c r="EL21" i="7"/>
  <c r="BT21" i="7"/>
  <c r="EL20" i="7"/>
  <c r="BT20" i="7"/>
  <c r="EL19" i="7"/>
  <c r="BT19" i="7"/>
  <c r="EG18" i="7"/>
  <c r="EG13" i="7" s="1"/>
  <c r="EB18" i="7"/>
  <c r="EB13" i="7" s="1"/>
  <c r="DW18" i="7"/>
  <c r="DW13" i="7" s="1"/>
  <c r="DR18" i="7"/>
  <c r="DM18" i="7"/>
  <c r="DH18" i="7"/>
  <c r="DC18" i="7"/>
  <c r="DC13" i="7" s="1"/>
  <c r="CX18" i="7"/>
  <c r="CX13" i="7" s="1"/>
  <c r="CS18" i="7"/>
  <c r="CS13" i="7" s="1"/>
  <c r="CS12" i="7" s="1"/>
  <c r="CN18" i="7"/>
  <c r="CN13" i="7" s="1"/>
  <c r="CI18" i="7"/>
  <c r="CD18" i="7"/>
  <c r="CD13" i="7" s="1"/>
  <c r="BO18" i="7"/>
  <c r="BO13" i="7" s="1"/>
  <c r="BJ18" i="7"/>
  <c r="BE18" i="7"/>
  <c r="AZ18" i="7"/>
  <c r="AU18" i="7"/>
  <c r="AP18" i="7"/>
  <c r="AK18" i="7"/>
  <c r="AK13" i="7" s="1"/>
  <c r="AF18" i="7"/>
  <c r="AA18" i="7"/>
  <c r="AA13" i="7" s="1"/>
  <c r="V18" i="7"/>
  <c r="Q18" i="7"/>
  <c r="L18" i="7"/>
  <c r="L13" i="7" s="1"/>
  <c r="G18" i="7"/>
  <c r="G13" i="7" s="1"/>
  <c r="BY16" i="7"/>
  <c r="G16" i="7"/>
  <c r="EG15" i="7"/>
  <c r="EB15" i="7"/>
  <c r="DR15" i="7"/>
  <c r="DC15" i="7"/>
  <c r="CS15" i="7"/>
  <c r="CI15" i="7"/>
  <c r="L15" i="7"/>
  <c r="G15" i="7"/>
  <c r="DH14" i="7"/>
  <c r="CS14" i="7"/>
  <c r="CI14" i="7"/>
  <c r="CD14" i="7"/>
  <c r="AA14" i="7"/>
  <c r="L14" i="7"/>
  <c r="DR13" i="7"/>
  <c r="DM13" i="7"/>
  <c r="DH13" i="7"/>
  <c r="CI13" i="7"/>
  <c r="BJ13" i="7"/>
  <c r="BE13" i="7"/>
  <c r="AZ13" i="7"/>
  <c r="V13" i="7"/>
  <c r="BY9" i="7"/>
  <c r="G9" i="7"/>
  <c r="BY8" i="7"/>
  <c r="G8" i="7"/>
  <c r="M1" i="7"/>
  <c r="EL341" i="6"/>
  <c r="EL340" i="6" s="1"/>
  <c r="BT341" i="6"/>
  <c r="EG340" i="6"/>
  <c r="EB340" i="6"/>
  <c r="DW340" i="6"/>
  <c r="DR340" i="6"/>
  <c r="DM340" i="6"/>
  <c r="DH340" i="6"/>
  <c r="DC340" i="6"/>
  <c r="CX340" i="6"/>
  <c r="CS340" i="6"/>
  <c r="CN340" i="6"/>
  <c r="CI340" i="6"/>
  <c r="CD340" i="6"/>
  <c r="BY340" i="6"/>
  <c r="BO340" i="6"/>
  <c r="BJ340" i="6"/>
  <c r="BE340" i="6"/>
  <c r="AZ340" i="6"/>
  <c r="AU340" i="6"/>
  <c r="AP340" i="6"/>
  <c r="AK340" i="6"/>
  <c r="AF340" i="6"/>
  <c r="AA340" i="6"/>
  <c r="V340" i="6"/>
  <c r="Q340" i="6"/>
  <c r="L340" i="6"/>
  <c r="G340" i="6"/>
  <c r="EL338" i="6"/>
  <c r="BT338" i="6"/>
  <c r="EG337" i="6"/>
  <c r="EB337" i="6"/>
  <c r="DW337" i="6"/>
  <c r="DR337" i="6"/>
  <c r="DM337" i="6"/>
  <c r="DH337" i="6"/>
  <c r="DC337" i="6"/>
  <c r="CX337" i="6"/>
  <c r="CS337" i="6"/>
  <c r="CN337" i="6"/>
  <c r="CI337" i="6"/>
  <c r="CD337" i="6"/>
  <c r="BY337" i="6"/>
  <c r="BT337" i="6"/>
  <c r="BO337" i="6"/>
  <c r="BJ337" i="6"/>
  <c r="BE337" i="6"/>
  <c r="AZ337" i="6"/>
  <c r="AU337" i="6"/>
  <c r="AP337" i="6"/>
  <c r="AK337" i="6"/>
  <c r="AF337" i="6"/>
  <c r="AA337" i="6"/>
  <c r="V337" i="6"/>
  <c r="Q337" i="6"/>
  <c r="L337" i="6"/>
  <c r="G337" i="6"/>
  <c r="EL335" i="6"/>
  <c r="EL334" i="6" s="1"/>
  <c r="BT335" i="6"/>
  <c r="EG334" i="6"/>
  <c r="EB334" i="6"/>
  <c r="DW334" i="6"/>
  <c r="DR334" i="6"/>
  <c r="DM334" i="6"/>
  <c r="DH334" i="6"/>
  <c r="DC334" i="6"/>
  <c r="CX334" i="6"/>
  <c r="CS334" i="6"/>
  <c r="CN334" i="6"/>
  <c r="CI334" i="6"/>
  <c r="CD334" i="6"/>
  <c r="BY334" i="6"/>
  <c r="BO334" i="6"/>
  <c r="BJ334" i="6"/>
  <c r="BE334" i="6"/>
  <c r="AZ334" i="6"/>
  <c r="AU334" i="6"/>
  <c r="AP334" i="6"/>
  <c r="AK334" i="6"/>
  <c r="AF334" i="6"/>
  <c r="AA334" i="6"/>
  <c r="V334" i="6"/>
  <c r="Q334" i="6"/>
  <c r="L334" i="6"/>
  <c r="G334" i="6"/>
  <c r="EL332" i="6"/>
  <c r="BT332" i="6"/>
  <c r="EG331" i="6"/>
  <c r="EB331" i="6"/>
  <c r="DW331" i="6"/>
  <c r="DR331" i="6"/>
  <c r="DM331" i="6"/>
  <c r="DH331" i="6"/>
  <c r="DC331" i="6"/>
  <c r="CX331" i="6"/>
  <c r="CS331" i="6"/>
  <c r="CN331" i="6"/>
  <c r="CI331" i="6"/>
  <c r="CD331" i="6"/>
  <c r="BY331" i="6"/>
  <c r="BO331" i="6"/>
  <c r="BJ331" i="6"/>
  <c r="BE331" i="6"/>
  <c r="AZ331" i="6"/>
  <c r="AU331" i="6"/>
  <c r="AP331" i="6"/>
  <c r="AK331" i="6"/>
  <c r="AF331" i="6"/>
  <c r="AA331" i="6"/>
  <c r="V331" i="6"/>
  <c r="Q331" i="6"/>
  <c r="L331" i="6"/>
  <c r="G331" i="6"/>
  <c r="EL329" i="6"/>
  <c r="BT329" i="6"/>
  <c r="EG328" i="6"/>
  <c r="EB328" i="6"/>
  <c r="DW328" i="6"/>
  <c r="DR328" i="6"/>
  <c r="DM328" i="6"/>
  <c r="DH328" i="6"/>
  <c r="DC328" i="6"/>
  <c r="CX328" i="6"/>
  <c r="CS328" i="6"/>
  <c r="CN328" i="6"/>
  <c r="CI328" i="6"/>
  <c r="CD328" i="6"/>
  <c r="BY328" i="6"/>
  <c r="BO328" i="6"/>
  <c r="BJ328" i="6"/>
  <c r="BE328" i="6"/>
  <c r="AZ328" i="6"/>
  <c r="AU328" i="6"/>
  <c r="AP328" i="6"/>
  <c r="AK328" i="6"/>
  <c r="AF328" i="6"/>
  <c r="AA328" i="6"/>
  <c r="V328" i="6"/>
  <c r="Q328" i="6"/>
  <c r="L328" i="6"/>
  <c r="G328" i="6"/>
  <c r="EL326" i="6"/>
  <c r="BT326" i="6"/>
  <c r="EG325" i="6"/>
  <c r="EB325" i="6"/>
  <c r="DW325" i="6"/>
  <c r="DR325" i="6"/>
  <c r="DM325" i="6"/>
  <c r="DH325" i="6"/>
  <c r="DC325" i="6"/>
  <c r="CX325" i="6"/>
  <c r="CS325" i="6"/>
  <c r="CN325" i="6"/>
  <c r="CI325" i="6"/>
  <c r="CD325" i="6"/>
  <c r="BY325" i="6"/>
  <c r="BO325" i="6"/>
  <c r="BJ325" i="6"/>
  <c r="BE325" i="6"/>
  <c r="AZ325" i="6"/>
  <c r="AU325" i="6"/>
  <c r="AP325" i="6"/>
  <c r="AK325" i="6"/>
  <c r="AF325" i="6"/>
  <c r="AA325" i="6"/>
  <c r="V325" i="6"/>
  <c r="Q325" i="6"/>
  <c r="L325" i="6"/>
  <c r="G325" i="6"/>
  <c r="EL323" i="6"/>
  <c r="EL322" i="6" s="1"/>
  <c r="BT323" i="6"/>
  <c r="EG322" i="6"/>
  <c r="EB322" i="6"/>
  <c r="DW322" i="6"/>
  <c r="DR322" i="6"/>
  <c r="DM322" i="6"/>
  <c r="DH322" i="6"/>
  <c r="DC322" i="6"/>
  <c r="CX322" i="6"/>
  <c r="CS322" i="6"/>
  <c r="CN322" i="6"/>
  <c r="CI322" i="6"/>
  <c r="CD322" i="6"/>
  <c r="BY322" i="6"/>
  <c r="BO322" i="6"/>
  <c r="BJ322" i="6"/>
  <c r="BE322" i="6"/>
  <c r="AZ322" i="6"/>
  <c r="AU322" i="6"/>
  <c r="AP322" i="6"/>
  <c r="AK322" i="6"/>
  <c r="AF322" i="6"/>
  <c r="AA322" i="6"/>
  <c r="V322" i="6"/>
  <c r="Q322" i="6"/>
  <c r="L322" i="6"/>
  <c r="G322" i="6"/>
  <c r="EL320" i="6"/>
  <c r="BT320" i="6"/>
  <c r="EG319" i="6"/>
  <c r="EB319" i="6"/>
  <c r="DW319" i="6"/>
  <c r="DR319" i="6"/>
  <c r="DM319" i="6"/>
  <c r="DH319" i="6"/>
  <c r="DC319" i="6"/>
  <c r="CX319" i="6"/>
  <c r="CS319" i="6"/>
  <c r="CN319" i="6"/>
  <c r="CI319" i="6"/>
  <c r="CD319" i="6"/>
  <c r="BY319" i="6"/>
  <c r="BO319" i="6"/>
  <c r="BJ319" i="6"/>
  <c r="BE319" i="6"/>
  <c r="AZ319" i="6"/>
  <c r="AU319" i="6"/>
  <c r="AP319" i="6"/>
  <c r="AK319" i="6"/>
  <c r="AF319" i="6"/>
  <c r="AA319" i="6"/>
  <c r="V319" i="6"/>
  <c r="Q319" i="6"/>
  <c r="L319" i="6"/>
  <c r="G319" i="6"/>
  <c r="EL317" i="6"/>
  <c r="EL316" i="6" s="1"/>
  <c r="BT317" i="6"/>
  <c r="BT316" i="6" s="1"/>
  <c r="EI316" i="6"/>
  <c r="EH316" i="6"/>
  <c r="EG316" i="6"/>
  <c r="EF316" i="6"/>
  <c r="EE316" i="6"/>
  <c r="ED316" i="6"/>
  <c r="EC316" i="6"/>
  <c r="EB316" i="6"/>
  <c r="EA316" i="6"/>
  <c r="DZ316" i="6"/>
  <c r="DY316" i="6"/>
  <c r="DX316" i="6"/>
  <c r="DW316" i="6"/>
  <c r="DV316" i="6"/>
  <c r="DU316" i="6"/>
  <c r="DT316" i="6"/>
  <c r="DS316" i="6"/>
  <c r="DR316" i="6"/>
  <c r="DQ316" i="6"/>
  <c r="DP316" i="6"/>
  <c r="DO316" i="6"/>
  <c r="DN316" i="6"/>
  <c r="DM316" i="6"/>
  <c r="DL316" i="6"/>
  <c r="DK316" i="6"/>
  <c r="DJ316" i="6"/>
  <c r="DI316" i="6"/>
  <c r="DH316" i="6"/>
  <c r="DG316" i="6"/>
  <c r="DF316" i="6"/>
  <c r="DE316" i="6"/>
  <c r="DD316" i="6"/>
  <c r="DC316" i="6"/>
  <c r="DB316" i="6"/>
  <c r="DA316" i="6"/>
  <c r="CZ316" i="6"/>
  <c r="CY316" i="6"/>
  <c r="CX316" i="6"/>
  <c r="CW316" i="6"/>
  <c r="CV316" i="6"/>
  <c r="CU316" i="6"/>
  <c r="CT316" i="6"/>
  <c r="CS316" i="6"/>
  <c r="CR316" i="6"/>
  <c r="CN316" i="6"/>
  <c r="CI316" i="6"/>
  <c r="CD316" i="6"/>
  <c r="BY316" i="6"/>
  <c r="BQ316" i="6"/>
  <c r="BP316" i="6"/>
  <c r="BO316" i="6"/>
  <c r="BN316" i="6"/>
  <c r="BM316" i="6"/>
  <c r="BL316" i="6"/>
  <c r="BK316" i="6"/>
  <c r="BJ316" i="6"/>
  <c r="BI316" i="6"/>
  <c r="BH316" i="6"/>
  <c r="BG316" i="6"/>
  <c r="BF316" i="6"/>
  <c r="BE316" i="6"/>
  <c r="BD316" i="6"/>
  <c r="BC316" i="6"/>
  <c r="BB316" i="6"/>
  <c r="BA316" i="6"/>
  <c r="AZ316" i="6"/>
  <c r="AY316" i="6"/>
  <c r="AX316" i="6"/>
  <c r="AW316" i="6"/>
  <c r="AV316" i="6"/>
  <c r="AU316" i="6"/>
  <c r="AT316" i="6"/>
  <c r="AS316" i="6"/>
  <c r="AR316" i="6"/>
  <c r="AQ316" i="6"/>
  <c r="AP316" i="6"/>
  <c r="AO316" i="6"/>
  <c r="AN316" i="6"/>
  <c r="AM316" i="6"/>
  <c r="AL316" i="6"/>
  <c r="AK316" i="6"/>
  <c r="AJ316" i="6"/>
  <c r="AI316" i="6"/>
  <c r="AH316" i="6"/>
  <c r="AG316" i="6"/>
  <c r="AF316" i="6"/>
  <c r="AE316" i="6"/>
  <c r="AD316" i="6"/>
  <c r="AC316" i="6"/>
  <c r="AB316" i="6"/>
  <c r="AA316" i="6"/>
  <c r="Z316" i="6"/>
  <c r="V316" i="6"/>
  <c r="Q316" i="6"/>
  <c r="L316" i="6"/>
  <c r="G316" i="6"/>
  <c r="EL313" i="6"/>
  <c r="BT313" i="6"/>
  <c r="EL312" i="6"/>
  <c r="EG312" i="6"/>
  <c r="EB312" i="6"/>
  <c r="DW312" i="6"/>
  <c r="DR312" i="6"/>
  <c r="DM312" i="6"/>
  <c r="DH312" i="6"/>
  <c r="DC312" i="6"/>
  <c r="CX312" i="6"/>
  <c r="CS312" i="6"/>
  <c r="CN312" i="6"/>
  <c r="CI312" i="6"/>
  <c r="CD312" i="6"/>
  <c r="BY312" i="6"/>
  <c r="BO312" i="6"/>
  <c r="BJ312" i="6"/>
  <c r="BE312" i="6"/>
  <c r="AZ312" i="6"/>
  <c r="AU312" i="6"/>
  <c r="AP312" i="6"/>
  <c r="AK312" i="6"/>
  <c r="AF312" i="6"/>
  <c r="AA312" i="6"/>
  <c r="V312" i="6"/>
  <c r="Q312" i="6"/>
  <c r="L312" i="6"/>
  <c r="D312" i="6"/>
  <c r="EG309" i="6"/>
  <c r="EB309" i="6"/>
  <c r="EB308" i="6" s="1"/>
  <c r="EB11" i="6" s="1"/>
  <c r="DW309" i="6"/>
  <c r="DR309" i="6"/>
  <c r="DR308" i="6" s="1"/>
  <c r="DM309" i="6"/>
  <c r="DM308" i="6" s="1"/>
  <c r="DM279" i="6" s="1"/>
  <c r="DM278" i="6" s="1"/>
  <c r="DM10" i="6" s="1"/>
  <c r="DH309" i="6"/>
  <c r="DH308" i="6" s="1"/>
  <c r="DC309" i="6"/>
  <c r="DC308" i="6" s="1"/>
  <c r="DC279" i="6" s="1"/>
  <c r="DC278" i="6" s="1"/>
  <c r="DC10" i="6" s="1"/>
  <c r="CS309" i="6"/>
  <c r="CS308" i="6" s="1"/>
  <c r="CS279" i="6" s="1"/>
  <c r="CS278" i="6" s="1"/>
  <c r="CS10" i="6" s="1"/>
  <c r="CN309" i="6"/>
  <c r="CN308" i="6" s="1"/>
  <c r="CI309" i="6"/>
  <c r="CI308" i="6" s="1"/>
  <c r="CD309" i="6"/>
  <c r="CD308" i="6" s="1"/>
  <c r="BO309" i="6"/>
  <c r="BJ309" i="6"/>
  <c r="BE309" i="6"/>
  <c r="AZ309" i="6"/>
  <c r="AU309" i="6"/>
  <c r="AU308" i="6" s="1"/>
  <c r="AP309" i="6"/>
  <c r="AK309" i="6"/>
  <c r="AA309" i="6"/>
  <c r="V309" i="6"/>
  <c r="Q309" i="6"/>
  <c r="L309" i="6"/>
  <c r="EG308" i="6"/>
  <c r="EG279" i="6" s="1"/>
  <c r="EG278" i="6" s="1"/>
  <c r="EG10" i="6" s="1"/>
  <c r="DW308" i="6"/>
  <c r="DW11" i="6" s="1"/>
  <c r="CX308" i="6"/>
  <c r="BY308" i="6"/>
  <c r="BO308" i="6"/>
  <c r="BO11" i="6" s="1"/>
  <c r="AZ308" i="6"/>
  <c r="AF308" i="6"/>
  <c r="Q308" i="6"/>
  <c r="G308" i="6"/>
  <c r="EL306" i="6"/>
  <c r="EL305" i="6" s="1"/>
  <c r="BT306" i="6"/>
  <c r="EG305" i="6"/>
  <c r="EB305" i="6"/>
  <c r="DW305" i="6"/>
  <c r="DR305" i="6"/>
  <c r="DM305" i="6"/>
  <c r="DH305" i="6"/>
  <c r="DC305" i="6"/>
  <c r="CX305" i="6"/>
  <c r="CS305" i="6"/>
  <c r="CN305" i="6"/>
  <c r="CI305" i="6"/>
  <c r="CD305" i="6"/>
  <c r="BY305" i="6"/>
  <c r="BO305" i="6"/>
  <c r="BJ305" i="6"/>
  <c r="BE305" i="6"/>
  <c r="AZ305" i="6"/>
  <c r="AU305" i="6"/>
  <c r="AP305" i="6"/>
  <c r="AK305" i="6"/>
  <c r="AF305" i="6"/>
  <c r="AA305" i="6"/>
  <c r="V305" i="6"/>
  <c r="Q305" i="6"/>
  <c r="L305" i="6"/>
  <c r="G305" i="6"/>
  <c r="EL303" i="6"/>
  <c r="BT303" i="6"/>
  <c r="EG302" i="6"/>
  <c r="EB302" i="6"/>
  <c r="DW302" i="6"/>
  <c r="DR302" i="6"/>
  <c r="DM302" i="6"/>
  <c r="DH302" i="6"/>
  <c r="DC302" i="6"/>
  <c r="CX302" i="6"/>
  <c r="CS302" i="6"/>
  <c r="CN302" i="6"/>
  <c r="CI302" i="6"/>
  <c r="CD302" i="6"/>
  <c r="BY302" i="6"/>
  <c r="BO302" i="6"/>
  <c r="BJ302" i="6"/>
  <c r="BE302" i="6"/>
  <c r="AZ302" i="6"/>
  <c r="AU302" i="6"/>
  <c r="AP302" i="6"/>
  <c r="AK302" i="6"/>
  <c r="AF302" i="6"/>
  <c r="AA302" i="6"/>
  <c r="V302" i="6"/>
  <c r="Q302" i="6"/>
  <c r="L302" i="6"/>
  <c r="G302" i="6"/>
  <c r="EL300" i="6"/>
  <c r="EL299" i="6" s="1"/>
  <c r="BT300" i="6"/>
  <c r="EG299" i="6"/>
  <c r="EB299" i="6"/>
  <c r="DW299" i="6"/>
  <c r="DR299" i="6"/>
  <c r="DM299" i="6"/>
  <c r="DH299" i="6"/>
  <c r="DC299" i="6"/>
  <c r="CX299" i="6"/>
  <c r="CS299" i="6"/>
  <c r="CN299" i="6"/>
  <c r="CI299" i="6"/>
  <c r="CD299" i="6"/>
  <c r="BY299" i="6"/>
  <c r="BO299" i="6"/>
  <c r="BJ299" i="6"/>
  <c r="BE299" i="6"/>
  <c r="AZ299" i="6"/>
  <c r="AU299" i="6"/>
  <c r="AP299" i="6"/>
  <c r="AK299" i="6"/>
  <c r="AF299" i="6"/>
  <c r="AA299" i="6"/>
  <c r="V299" i="6"/>
  <c r="Q299" i="6"/>
  <c r="L299" i="6"/>
  <c r="G299" i="6"/>
  <c r="EL297" i="6"/>
  <c r="EL296" i="6" s="1"/>
  <c r="BT297" i="6"/>
  <c r="EG296" i="6"/>
  <c r="EB296" i="6"/>
  <c r="DW296" i="6"/>
  <c r="DR296" i="6"/>
  <c r="DM296" i="6"/>
  <c r="DH296" i="6"/>
  <c r="DC296" i="6"/>
  <c r="CX296" i="6"/>
  <c r="CS296" i="6"/>
  <c r="CN296" i="6"/>
  <c r="CI296" i="6"/>
  <c r="CD296" i="6"/>
  <c r="BY296" i="6"/>
  <c r="BO296" i="6"/>
  <c r="BJ296" i="6"/>
  <c r="BE296" i="6"/>
  <c r="AZ296" i="6"/>
  <c r="AU296" i="6"/>
  <c r="AP296" i="6"/>
  <c r="AK296" i="6"/>
  <c r="AF296" i="6"/>
  <c r="AA296" i="6"/>
  <c r="V296" i="6"/>
  <c r="Q296" i="6"/>
  <c r="L296" i="6"/>
  <c r="G296" i="6"/>
  <c r="EL294" i="6"/>
  <c r="EL293" i="6" s="1"/>
  <c r="BT294" i="6"/>
  <c r="EG293" i="6"/>
  <c r="EB293" i="6"/>
  <c r="DW293" i="6"/>
  <c r="DM293" i="6"/>
  <c r="DC293" i="6"/>
  <c r="CS293" i="6"/>
  <c r="CI293" i="6"/>
  <c r="CD293" i="6"/>
  <c r="BY293" i="6"/>
  <c r="BO293" i="6"/>
  <c r="BJ293" i="6"/>
  <c r="BE293" i="6"/>
  <c r="AU293" i="6"/>
  <c r="AK293" i="6"/>
  <c r="AA293" i="6"/>
  <c r="Q293" i="6"/>
  <c r="L293" i="6"/>
  <c r="G293" i="6"/>
  <c r="EL291" i="6"/>
  <c r="BT291" i="6"/>
  <c r="BT290" i="6" s="1"/>
  <c r="EG290" i="6"/>
  <c r="EB290" i="6"/>
  <c r="DW290" i="6"/>
  <c r="DR290" i="6"/>
  <c r="DM290" i="6"/>
  <c r="DH290" i="6"/>
  <c r="DC290" i="6"/>
  <c r="CX290" i="6"/>
  <c r="CS290" i="6"/>
  <c r="CN290" i="6"/>
  <c r="CI290" i="6"/>
  <c r="CD290" i="6"/>
  <c r="BY290" i="6"/>
  <c r="BO290" i="6"/>
  <c r="BJ290" i="6"/>
  <c r="BE290" i="6"/>
  <c r="AZ290" i="6"/>
  <c r="AU290" i="6"/>
  <c r="AP290" i="6"/>
  <c r="AK290" i="6"/>
  <c r="AF290" i="6"/>
  <c r="AA290" i="6"/>
  <c r="V290" i="6"/>
  <c r="Q290" i="6"/>
  <c r="L290" i="6"/>
  <c r="G290" i="6"/>
  <c r="EL288" i="6"/>
  <c r="BT288" i="6"/>
  <c r="EG287" i="6"/>
  <c r="EB287" i="6"/>
  <c r="DW287" i="6"/>
  <c r="DR287" i="6"/>
  <c r="DM287" i="6"/>
  <c r="DH287" i="6"/>
  <c r="DC287" i="6"/>
  <c r="CX287" i="6"/>
  <c r="CS287" i="6"/>
  <c r="CN287" i="6"/>
  <c r="CI287" i="6"/>
  <c r="CD287" i="6"/>
  <c r="BY287" i="6"/>
  <c r="BO287" i="6"/>
  <c r="BJ287" i="6"/>
  <c r="BE287" i="6"/>
  <c r="AZ287" i="6"/>
  <c r="AU287" i="6"/>
  <c r="AP287" i="6"/>
  <c r="AK287" i="6"/>
  <c r="AF287" i="6"/>
  <c r="AA287" i="6"/>
  <c r="V287" i="6"/>
  <c r="Q287" i="6"/>
  <c r="L287" i="6"/>
  <c r="G287" i="6"/>
  <c r="EL285" i="6"/>
  <c r="BT285" i="6"/>
  <c r="BT284" i="6" s="1"/>
  <c r="EG284" i="6"/>
  <c r="EB284" i="6"/>
  <c r="DW284" i="6"/>
  <c r="DR284" i="6"/>
  <c r="DM284" i="6"/>
  <c r="DH284" i="6"/>
  <c r="DC284" i="6"/>
  <c r="CX284" i="6"/>
  <c r="CS284" i="6"/>
  <c r="CN284" i="6"/>
  <c r="CI284" i="6"/>
  <c r="CD284" i="6"/>
  <c r="BY284" i="6"/>
  <c r="BO284" i="6"/>
  <c r="BJ284" i="6"/>
  <c r="BE284" i="6"/>
  <c r="AZ284" i="6"/>
  <c r="AU284" i="6"/>
  <c r="AP284" i="6"/>
  <c r="AK284" i="6"/>
  <c r="AF284" i="6"/>
  <c r="AA284" i="6"/>
  <c r="V284" i="6"/>
  <c r="Q284" i="6"/>
  <c r="L284" i="6"/>
  <c r="G284" i="6"/>
  <c r="EL282" i="6"/>
  <c r="BT282" i="6"/>
  <c r="BY282" i="6" s="1"/>
  <c r="EG281" i="6"/>
  <c r="EB281" i="6"/>
  <c r="DW281" i="6"/>
  <c r="DR281" i="6"/>
  <c r="DM281" i="6"/>
  <c r="DH281" i="6"/>
  <c r="DC281" i="6"/>
  <c r="CX281" i="6"/>
  <c r="CS281" i="6"/>
  <c r="CN281" i="6"/>
  <c r="CI281" i="6"/>
  <c r="CD281" i="6"/>
  <c r="BT281" i="6"/>
  <c r="BO281" i="6"/>
  <c r="BJ281" i="6"/>
  <c r="BE281" i="6"/>
  <c r="AZ281" i="6"/>
  <c r="AU281" i="6"/>
  <c r="AP281" i="6"/>
  <c r="AK281" i="6"/>
  <c r="AF281" i="6"/>
  <c r="AA281" i="6"/>
  <c r="V281" i="6"/>
  <c r="Q281" i="6"/>
  <c r="L281" i="6"/>
  <c r="CX279" i="6"/>
  <c r="CX278" i="6" s="1"/>
  <c r="CN279" i="6"/>
  <c r="CN278" i="6" s="1"/>
  <c r="AF279" i="6"/>
  <c r="EB278" i="6"/>
  <c r="DW278" i="6"/>
  <c r="DR278" i="6"/>
  <c r="EL276" i="6"/>
  <c r="BT276" i="6"/>
  <c r="EL275" i="6"/>
  <c r="BT275" i="6"/>
  <c r="CI274" i="6"/>
  <c r="BT274" i="6"/>
  <c r="EG273" i="6"/>
  <c r="EB273" i="6"/>
  <c r="DW273" i="6"/>
  <c r="DR273" i="6"/>
  <c r="DM273" i="6"/>
  <c r="DH273" i="6"/>
  <c r="DC273" i="6"/>
  <c r="CX273" i="6"/>
  <c r="CS273" i="6"/>
  <c r="CN273" i="6"/>
  <c r="CI273" i="6"/>
  <c r="CD273" i="6"/>
  <c r="BY273" i="6"/>
  <c r="BO273" i="6"/>
  <c r="BJ273" i="6"/>
  <c r="BE273" i="6"/>
  <c r="AZ273" i="6"/>
  <c r="AU273" i="6"/>
  <c r="AP273" i="6"/>
  <c r="AK273" i="6"/>
  <c r="AF273" i="6"/>
  <c r="AA273" i="6"/>
  <c r="V273" i="6"/>
  <c r="Q273" i="6"/>
  <c r="L273" i="6"/>
  <c r="G273" i="6"/>
  <c r="EL271" i="6"/>
  <c r="BT271" i="6"/>
  <c r="EL270" i="6"/>
  <c r="BT270" i="6"/>
  <c r="CI269" i="6"/>
  <c r="BJ269" i="6"/>
  <c r="G269" i="6"/>
  <c r="EG268" i="6"/>
  <c r="EB268" i="6"/>
  <c r="DW268" i="6"/>
  <c r="DR268" i="6"/>
  <c r="DM268" i="6"/>
  <c r="DH268" i="6"/>
  <c r="DC268" i="6"/>
  <c r="CX268" i="6"/>
  <c r="CS268" i="6"/>
  <c r="CN268" i="6"/>
  <c r="CD268" i="6"/>
  <c r="BY268" i="6"/>
  <c r="BO268" i="6"/>
  <c r="BJ268" i="6"/>
  <c r="BE268" i="6"/>
  <c r="AZ268" i="6"/>
  <c r="AU268" i="6"/>
  <c r="AP268" i="6"/>
  <c r="AK268" i="6"/>
  <c r="AF268" i="6"/>
  <c r="AA268" i="6"/>
  <c r="V268" i="6"/>
  <c r="Q268" i="6"/>
  <c r="L268" i="6"/>
  <c r="EL266" i="6"/>
  <c r="BT266" i="6"/>
  <c r="EL265" i="6"/>
  <c r="BT265" i="6"/>
  <c r="EL264" i="6"/>
  <c r="CI264" i="6"/>
  <c r="BT264" i="6"/>
  <c r="BJ264" i="6"/>
  <c r="G264" i="6"/>
  <c r="EG263" i="6"/>
  <c r="EB263" i="6"/>
  <c r="DW263" i="6"/>
  <c r="DR263" i="6"/>
  <c r="DM263" i="6"/>
  <c r="DH263" i="6"/>
  <c r="DC263" i="6"/>
  <c r="CX263" i="6"/>
  <c r="CS263" i="6"/>
  <c r="CN263" i="6"/>
  <c r="CI263" i="6"/>
  <c r="CD263" i="6"/>
  <c r="BY263" i="6"/>
  <c r="BO263" i="6"/>
  <c r="BJ263" i="6"/>
  <c r="BE263" i="6"/>
  <c r="AZ263" i="6"/>
  <c r="AU263" i="6"/>
  <c r="AP263" i="6"/>
  <c r="AK263" i="6"/>
  <c r="AF263" i="6"/>
  <c r="AA263" i="6"/>
  <c r="V263" i="6"/>
  <c r="Q263" i="6"/>
  <c r="L263" i="6"/>
  <c r="EL261" i="6"/>
  <c r="BT261" i="6"/>
  <c r="EL260" i="6"/>
  <c r="BT260" i="6"/>
  <c r="BT212" i="6" s="1"/>
  <c r="CI259" i="6"/>
  <c r="BJ259" i="6"/>
  <c r="BJ258" i="6" s="1"/>
  <c r="G259" i="6"/>
  <c r="EG258" i="6"/>
  <c r="EB258" i="6"/>
  <c r="DW258" i="6"/>
  <c r="DR258" i="6"/>
  <c r="DM258" i="6"/>
  <c r="DH258" i="6"/>
  <c r="DC258" i="6"/>
  <c r="CX258" i="6"/>
  <c r="CS258" i="6"/>
  <c r="CN258" i="6"/>
  <c r="CD258" i="6"/>
  <c r="BY258" i="6"/>
  <c r="BO258" i="6"/>
  <c r="BE258" i="6"/>
  <c r="AZ258" i="6"/>
  <c r="AU258" i="6"/>
  <c r="AP258" i="6"/>
  <c r="AK258" i="6"/>
  <c r="AF258" i="6"/>
  <c r="AA258" i="6"/>
  <c r="V258" i="6"/>
  <c r="Q258" i="6"/>
  <c r="L258" i="6"/>
  <c r="EL256" i="6"/>
  <c r="BT256" i="6"/>
  <c r="EL255" i="6"/>
  <c r="BT255" i="6"/>
  <c r="EL254" i="6"/>
  <c r="BT254" i="6"/>
  <c r="CI253" i="6"/>
  <c r="EL253" i="6" s="1"/>
  <c r="BT253" i="6"/>
  <c r="EG252" i="6"/>
  <c r="EB252" i="6"/>
  <c r="DW252" i="6"/>
  <c r="DR252" i="6"/>
  <c r="DM252" i="6"/>
  <c r="DH252" i="6"/>
  <c r="DC252" i="6"/>
  <c r="CX252" i="6"/>
  <c r="CS252" i="6"/>
  <c r="CN252" i="6"/>
  <c r="CD252" i="6"/>
  <c r="BO252" i="6"/>
  <c r="BJ252" i="6"/>
  <c r="BE252" i="6"/>
  <c r="AZ252" i="6"/>
  <c r="AU252" i="6"/>
  <c r="AP252" i="6"/>
  <c r="AK252" i="6"/>
  <c r="AF252" i="6"/>
  <c r="AA252" i="6"/>
  <c r="V252" i="6"/>
  <c r="Q252" i="6"/>
  <c r="L252" i="6"/>
  <c r="EL250" i="6"/>
  <c r="BT250" i="6"/>
  <c r="EL249" i="6"/>
  <c r="BT249" i="6"/>
  <c r="EL248" i="6"/>
  <c r="CI248" i="6"/>
  <c r="BT248" i="6"/>
  <c r="DH247" i="6"/>
  <c r="CX247" i="6"/>
  <c r="CN247" i="6"/>
  <c r="CI247" i="6"/>
  <c r="BY247" i="6"/>
  <c r="AP247" i="6"/>
  <c r="AF247" i="6"/>
  <c r="V247" i="6"/>
  <c r="Q247" i="6"/>
  <c r="EL245" i="6"/>
  <c r="BT245" i="6"/>
  <c r="EL244" i="6"/>
  <c r="BT244" i="6"/>
  <c r="EL243" i="6"/>
  <c r="BJ243" i="6"/>
  <c r="G243" i="6"/>
  <c r="EG242" i="6"/>
  <c r="EB242" i="6"/>
  <c r="DW242" i="6"/>
  <c r="DR242" i="6"/>
  <c r="DM242" i="6"/>
  <c r="DH242" i="6"/>
  <c r="DC242" i="6"/>
  <c r="CX242" i="6"/>
  <c r="CS242" i="6"/>
  <c r="CN242" i="6"/>
  <c r="CI242" i="6"/>
  <c r="CD242" i="6"/>
  <c r="BY242" i="6"/>
  <c r="BO242" i="6"/>
  <c r="BE242" i="6"/>
  <c r="AZ242" i="6"/>
  <c r="AU242" i="6"/>
  <c r="AP242" i="6"/>
  <c r="AK242" i="6"/>
  <c r="AF242" i="6"/>
  <c r="AA242" i="6"/>
  <c r="V242" i="6"/>
  <c r="Q242" i="6"/>
  <c r="L242" i="6"/>
  <c r="G242" i="6"/>
  <c r="EL240" i="6"/>
  <c r="BT240" i="6"/>
  <c r="EL239" i="6"/>
  <c r="BT239" i="6"/>
  <c r="CI238" i="6"/>
  <c r="BJ238" i="6"/>
  <c r="G238" i="6"/>
  <c r="EG237" i="6"/>
  <c r="EB237" i="6"/>
  <c r="DW237" i="6"/>
  <c r="DR237" i="6"/>
  <c r="DM237" i="6"/>
  <c r="DH237" i="6"/>
  <c r="DC237" i="6"/>
  <c r="CX237" i="6"/>
  <c r="CS237" i="6"/>
  <c r="CN237" i="6"/>
  <c r="CD237" i="6"/>
  <c r="BY237" i="6"/>
  <c r="BO237" i="6"/>
  <c r="BE237" i="6"/>
  <c r="AZ237" i="6"/>
  <c r="AU237" i="6"/>
  <c r="AP237" i="6"/>
  <c r="AK237" i="6"/>
  <c r="AF237" i="6"/>
  <c r="AA237" i="6"/>
  <c r="V237" i="6"/>
  <c r="Q237" i="6"/>
  <c r="L237" i="6"/>
  <c r="EL235" i="6"/>
  <c r="BT235" i="6"/>
  <c r="EL234" i="6"/>
  <c r="BT234" i="6"/>
  <c r="CI233" i="6"/>
  <c r="BJ233" i="6"/>
  <c r="G233" i="6"/>
  <c r="EG232" i="6"/>
  <c r="EB232" i="6"/>
  <c r="DW232" i="6"/>
  <c r="DR232" i="6"/>
  <c r="DM232" i="6"/>
  <c r="DH232" i="6"/>
  <c r="DC232" i="6"/>
  <c r="CX232" i="6"/>
  <c r="CS232" i="6"/>
  <c r="CN232" i="6"/>
  <c r="CD232" i="6"/>
  <c r="BY232" i="6"/>
  <c r="BO232" i="6"/>
  <c r="BE232" i="6"/>
  <c r="AZ232" i="6"/>
  <c r="AU232" i="6"/>
  <c r="AP232" i="6"/>
  <c r="AK232" i="6"/>
  <c r="AF232" i="6"/>
  <c r="AA232" i="6"/>
  <c r="V232" i="6"/>
  <c r="Q232" i="6"/>
  <c r="L232" i="6"/>
  <c r="G232" i="6"/>
  <c r="EL230" i="6"/>
  <c r="BT230" i="6"/>
  <c r="EL229" i="6"/>
  <c r="BT229" i="6"/>
  <c r="EL228" i="6"/>
  <c r="BT228" i="6"/>
  <c r="CI227" i="6"/>
  <c r="BT227" i="6"/>
  <c r="EB226" i="6"/>
  <c r="DR226" i="6"/>
  <c r="DM226" i="6"/>
  <c r="DC226" i="6"/>
  <c r="CX226" i="6"/>
  <c r="BJ226" i="6"/>
  <c r="AZ226" i="6"/>
  <c r="AU226" i="6"/>
  <c r="AK226" i="6"/>
  <c r="AF226" i="6"/>
  <c r="Q226" i="6"/>
  <c r="D226" i="6"/>
  <c r="EL224" i="6"/>
  <c r="BT224" i="6"/>
  <c r="EL223" i="6"/>
  <c r="BT223" i="6"/>
  <c r="EL222" i="6"/>
  <c r="CI222" i="6"/>
  <c r="BJ222" i="6"/>
  <c r="G222" i="6"/>
  <c r="EG221" i="6"/>
  <c r="EB221" i="6"/>
  <c r="DW221" i="6"/>
  <c r="DR221" i="6"/>
  <c r="DM221" i="6"/>
  <c r="DH221" i="6"/>
  <c r="DC221" i="6"/>
  <c r="CX221" i="6"/>
  <c r="CS221" i="6"/>
  <c r="CN221" i="6"/>
  <c r="CD221" i="6"/>
  <c r="BY221" i="6"/>
  <c r="BO221" i="6"/>
  <c r="BE221" i="6"/>
  <c r="AZ221" i="6"/>
  <c r="AU221" i="6"/>
  <c r="AP221" i="6"/>
  <c r="AK221" i="6"/>
  <c r="AF221" i="6"/>
  <c r="AA221" i="6"/>
  <c r="V221" i="6"/>
  <c r="Q221" i="6"/>
  <c r="L221" i="6"/>
  <c r="G221" i="6"/>
  <c r="EL219" i="6"/>
  <c r="BT219" i="6"/>
  <c r="EL218" i="6"/>
  <c r="BT218" i="6"/>
  <c r="CI217" i="6"/>
  <c r="BT217" i="6"/>
  <c r="EG216" i="6"/>
  <c r="EB216" i="6"/>
  <c r="DW216" i="6"/>
  <c r="DR216" i="6"/>
  <c r="DM216" i="6"/>
  <c r="DH216" i="6"/>
  <c r="DC216" i="6"/>
  <c r="CX216" i="6"/>
  <c r="CS216" i="6"/>
  <c r="CN216" i="6"/>
  <c r="CI216" i="6"/>
  <c r="CD216" i="6"/>
  <c r="BY216" i="6"/>
  <c r="BO216" i="6"/>
  <c r="BJ216" i="6"/>
  <c r="BE216" i="6"/>
  <c r="AZ216" i="6"/>
  <c r="AU216" i="6"/>
  <c r="AP216" i="6"/>
  <c r="AK216" i="6"/>
  <c r="AF216" i="6"/>
  <c r="AA216" i="6"/>
  <c r="V216" i="6"/>
  <c r="Q216" i="6"/>
  <c r="L216" i="6"/>
  <c r="G216" i="6"/>
  <c r="EG214" i="6"/>
  <c r="EB214" i="6"/>
  <c r="DW214" i="6"/>
  <c r="DR214" i="6"/>
  <c r="DM214" i="6"/>
  <c r="DH214" i="6"/>
  <c r="DC214" i="6"/>
  <c r="CX214" i="6"/>
  <c r="CS214" i="6"/>
  <c r="CN214" i="6"/>
  <c r="CI214" i="6"/>
  <c r="CD214" i="6"/>
  <c r="BO214" i="6"/>
  <c r="BJ214" i="6"/>
  <c r="BE214" i="6"/>
  <c r="AZ214" i="6"/>
  <c r="AU214" i="6"/>
  <c r="AP214" i="6"/>
  <c r="AK214" i="6"/>
  <c r="AF214" i="6"/>
  <c r="AA214" i="6"/>
  <c r="V214" i="6"/>
  <c r="Q214" i="6"/>
  <c r="L214" i="6"/>
  <c r="G214" i="6"/>
  <c r="EG213" i="6"/>
  <c r="EB213" i="6"/>
  <c r="DW213" i="6"/>
  <c r="DR213" i="6"/>
  <c r="DM213" i="6"/>
  <c r="DH213" i="6"/>
  <c r="DC213" i="6"/>
  <c r="CX213" i="6"/>
  <c r="CS213" i="6"/>
  <c r="CN213" i="6"/>
  <c r="CI213" i="6"/>
  <c r="CD213" i="6"/>
  <c r="BY213" i="6"/>
  <c r="BO213" i="6"/>
  <c r="BJ213" i="6"/>
  <c r="BE213" i="6"/>
  <c r="AZ213" i="6"/>
  <c r="AU213" i="6"/>
  <c r="AP213" i="6"/>
  <c r="AK213" i="6"/>
  <c r="AF213" i="6"/>
  <c r="AA213" i="6"/>
  <c r="V213" i="6"/>
  <c r="Q213" i="6"/>
  <c r="L213" i="6"/>
  <c r="G213" i="6"/>
  <c r="EG212" i="6"/>
  <c r="EB212" i="6"/>
  <c r="DW212" i="6"/>
  <c r="DR212" i="6"/>
  <c r="DM212" i="6"/>
  <c r="DH212" i="6"/>
  <c r="DC212" i="6"/>
  <c r="CX212" i="6"/>
  <c r="CS212" i="6"/>
  <c r="CN212" i="6"/>
  <c r="CI212" i="6"/>
  <c r="CD212" i="6"/>
  <c r="BY212" i="6"/>
  <c r="BO212" i="6"/>
  <c r="BO210" i="6" s="1"/>
  <c r="BJ212" i="6"/>
  <c r="BE212" i="6"/>
  <c r="AZ212" i="6"/>
  <c r="AU212" i="6"/>
  <c r="AP212" i="6"/>
  <c r="AK212" i="6"/>
  <c r="AF212" i="6"/>
  <c r="AA212" i="6"/>
  <c r="V212" i="6"/>
  <c r="Q212" i="6"/>
  <c r="L212" i="6"/>
  <c r="G212" i="6"/>
  <c r="EG211" i="6"/>
  <c r="EB211" i="6"/>
  <c r="DW211" i="6"/>
  <c r="DR211" i="6"/>
  <c r="DM211" i="6"/>
  <c r="DH211" i="6"/>
  <c r="DC211" i="6"/>
  <c r="CX211" i="6"/>
  <c r="CS211" i="6"/>
  <c r="CN211" i="6"/>
  <c r="CD211" i="6"/>
  <c r="BY211" i="6"/>
  <c r="BO211" i="6"/>
  <c r="BE211" i="6"/>
  <c r="AZ211" i="6"/>
  <c r="AU211" i="6"/>
  <c r="AP211" i="6"/>
  <c r="AK211" i="6"/>
  <c r="AF211" i="6"/>
  <c r="AA211" i="6"/>
  <c r="V211" i="6"/>
  <c r="Q211" i="6"/>
  <c r="L211" i="6"/>
  <c r="DH210" i="6"/>
  <c r="AK210" i="6"/>
  <c r="EL208" i="6"/>
  <c r="BT208" i="6"/>
  <c r="EL207" i="6"/>
  <c r="BT207" i="6"/>
  <c r="EL206" i="6"/>
  <c r="BT206" i="6"/>
  <c r="EL205" i="6"/>
  <c r="BT205" i="6"/>
  <c r="EL204" i="6"/>
  <c r="BT204" i="6"/>
  <c r="EL203" i="6"/>
  <c r="BT203" i="6"/>
  <c r="EL202" i="6"/>
  <c r="BT202" i="6"/>
  <c r="EG201" i="6"/>
  <c r="EB201" i="6"/>
  <c r="DW201" i="6"/>
  <c r="DR201" i="6"/>
  <c r="DM201" i="6"/>
  <c r="DH201" i="6"/>
  <c r="DC201" i="6"/>
  <c r="CX201" i="6"/>
  <c r="CS201" i="6"/>
  <c r="CN201" i="6"/>
  <c r="CI201" i="6"/>
  <c r="CD201" i="6"/>
  <c r="BY201" i="6"/>
  <c r="BO201" i="6"/>
  <c r="BJ201" i="6"/>
  <c r="BE201" i="6"/>
  <c r="AZ201" i="6"/>
  <c r="AU201" i="6"/>
  <c r="AP201" i="6"/>
  <c r="AK201" i="6"/>
  <c r="AF201" i="6"/>
  <c r="AA201" i="6"/>
  <c r="V201" i="6"/>
  <c r="Q201" i="6"/>
  <c r="L201" i="6"/>
  <c r="G201" i="6"/>
  <c r="EL199" i="6"/>
  <c r="BT199" i="6"/>
  <c r="EL198" i="6"/>
  <c r="BT198" i="6"/>
  <c r="EL197" i="6"/>
  <c r="BT197" i="6"/>
  <c r="EL196" i="6"/>
  <c r="BT196" i="6"/>
  <c r="EL195" i="6"/>
  <c r="BT195" i="6"/>
  <c r="EL194" i="6"/>
  <c r="BT194" i="6"/>
  <c r="EL193" i="6"/>
  <c r="BT193" i="6"/>
  <c r="EL192" i="6"/>
  <c r="BT192" i="6"/>
  <c r="EL191" i="6"/>
  <c r="BT191" i="6"/>
  <c r="EL190" i="6"/>
  <c r="BT190" i="6"/>
  <c r="EL189" i="6"/>
  <c r="BT189" i="6"/>
  <c r="EL188" i="6"/>
  <c r="BT188" i="6"/>
  <c r="EG187" i="6"/>
  <c r="EB187" i="6"/>
  <c r="DW187" i="6"/>
  <c r="DR187" i="6"/>
  <c r="DM187" i="6"/>
  <c r="DH187" i="6"/>
  <c r="DC187" i="6"/>
  <c r="CX187" i="6"/>
  <c r="CS187" i="6"/>
  <c r="CN187" i="6"/>
  <c r="CI187" i="6"/>
  <c r="CD187" i="6"/>
  <c r="BO187" i="6"/>
  <c r="BJ187" i="6"/>
  <c r="BE187" i="6"/>
  <c r="AZ187" i="6"/>
  <c r="AU187" i="6"/>
  <c r="AP187" i="6"/>
  <c r="AK187" i="6"/>
  <c r="AF187" i="6"/>
  <c r="AA187" i="6"/>
  <c r="V187" i="6"/>
  <c r="Q187" i="6"/>
  <c r="L187" i="6"/>
  <c r="EL176" i="6"/>
  <c r="BT176" i="6"/>
  <c r="EL175" i="6"/>
  <c r="BT175" i="6"/>
  <c r="EG174" i="6"/>
  <c r="EB174" i="6"/>
  <c r="DM174" i="6"/>
  <c r="DM173" i="6" s="1"/>
  <c r="DH174" i="6"/>
  <c r="DH173" i="6" s="1"/>
  <c r="DC174" i="6"/>
  <c r="CX174" i="6"/>
  <c r="CN174" i="6"/>
  <c r="CN173" i="6" s="1"/>
  <c r="CI174" i="6"/>
  <c r="CD174" i="6"/>
  <c r="BJ174" i="6"/>
  <c r="BE174" i="6"/>
  <c r="AZ174" i="6"/>
  <c r="AU174" i="6"/>
  <c r="AP174" i="6"/>
  <c r="AK174" i="6"/>
  <c r="AF174" i="6"/>
  <c r="AA174" i="6"/>
  <c r="V174" i="6"/>
  <c r="EG173" i="6"/>
  <c r="EB173" i="6"/>
  <c r="DW173" i="6"/>
  <c r="DR173" i="6"/>
  <c r="DC173" i="6"/>
  <c r="CX173" i="6"/>
  <c r="CS173" i="6"/>
  <c r="CI173" i="6"/>
  <c r="BY173" i="6"/>
  <c r="BO173" i="6"/>
  <c r="AU173" i="6"/>
  <c r="AP173" i="6"/>
  <c r="V173" i="6"/>
  <c r="Q173" i="6"/>
  <c r="L173" i="6"/>
  <c r="G173" i="6"/>
  <c r="EL171" i="6"/>
  <c r="BT171" i="6"/>
  <c r="EL170" i="6"/>
  <c r="BT170" i="6"/>
  <c r="EB169" i="6"/>
  <c r="DW169" i="6"/>
  <c r="DR169" i="6"/>
  <c r="DM169" i="6"/>
  <c r="DM168" i="6" s="1"/>
  <c r="CX169" i="6"/>
  <c r="CX168" i="6" s="1"/>
  <c r="CI169" i="6"/>
  <c r="CD169" i="6"/>
  <c r="CD168" i="6" s="1"/>
  <c r="BO169" i="6"/>
  <c r="BJ169" i="6"/>
  <c r="AU169" i="6"/>
  <c r="AP169" i="6"/>
  <c r="AK169" i="6"/>
  <c r="AF169" i="6"/>
  <c r="EG168" i="6"/>
  <c r="EB168" i="6"/>
  <c r="DR168" i="6"/>
  <c r="DH168" i="6"/>
  <c r="DC168" i="6"/>
  <c r="CS168" i="6"/>
  <c r="CN168" i="6"/>
  <c r="BY168" i="6"/>
  <c r="BE168" i="6"/>
  <c r="AZ168" i="6"/>
  <c r="AF168" i="6"/>
  <c r="AA168" i="6"/>
  <c r="V168" i="6"/>
  <c r="Q168" i="6"/>
  <c r="L168" i="6"/>
  <c r="G168" i="6"/>
  <c r="EL166" i="6"/>
  <c r="BT166" i="6"/>
  <c r="EL165" i="6"/>
  <c r="BT165" i="6"/>
  <c r="EG164" i="6"/>
  <c r="EB164" i="6"/>
  <c r="EB163" i="6" s="1"/>
  <c r="DW164" i="6"/>
  <c r="DR164" i="6"/>
  <c r="DR163" i="6" s="1"/>
  <c r="DM164" i="6"/>
  <c r="DH164" i="6"/>
  <c r="DH163" i="6" s="1"/>
  <c r="DC164" i="6"/>
  <c r="CX164" i="6"/>
  <c r="CS164" i="6"/>
  <c r="CS163" i="6" s="1"/>
  <c r="CI164" i="6"/>
  <c r="CD164" i="6"/>
  <c r="BO164" i="6"/>
  <c r="BJ164" i="6"/>
  <c r="BE164" i="6"/>
  <c r="AZ164" i="6"/>
  <c r="AP164" i="6"/>
  <c r="AK164" i="6"/>
  <c r="AF164" i="6"/>
  <c r="AF163" i="6" s="1"/>
  <c r="AA164" i="6"/>
  <c r="V164" i="6"/>
  <c r="L164" i="6"/>
  <c r="EG163" i="6"/>
  <c r="DW163" i="6"/>
  <c r="DC163" i="6"/>
  <c r="CN163" i="6"/>
  <c r="BY163" i="6"/>
  <c r="BJ163" i="6"/>
  <c r="AU163" i="6"/>
  <c r="AK163" i="6"/>
  <c r="AA163" i="6"/>
  <c r="Q163" i="6"/>
  <c r="L163" i="6"/>
  <c r="G163" i="6"/>
  <c r="EL161" i="6"/>
  <c r="BT161" i="6"/>
  <c r="EL160" i="6"/>
  <c r="BT160" i="6"/>
  <c r="EG159" i="6"/>
  <c r="EG158" i="6" s="1"/>
  <c r="EB159" i="6"/>
  <c r="EB158" i="6" s="1"/>
  <c r="DW159" i="6"/>
  <c r="DW158" i="6" s="1"/>
  <c r="DM159" i="6"/>
  <c r="DH159" i="6"/>
  <c r="DC159" i="6"/>
  <c r="DC158" i="6" s="1"/>
  <c r="CS159" i="6"/>
  <c r="CS158" i="6" s="1"/>
  <c r="CN159" i="6"/>
  <c r="CI159" i="6"/>
  <c r="CD159" i="6"/>
  <c r="CD158" i="6" s="1"/>
  <c r="BO159" i="6"/>
  <c r="BJ159" i="6"/>
  <c r="BJ158" i="6" s="1"/>
  <c r="BE159" i="6"/>
  <c r="AZ159" i="6"/>
  <c r="AU159" i="6"/>
  <c r="AP159" i="6"/>
  <c r="AK159" i="6"/>
  <c r="AF159" i="6"/>
  <c r="AA159" i="6"/>
  <c r="V159" i="6"/>
  <c r="Q159" i="6"/>
  <c r="L159" i="6"/>
  <c r="DR158" i="6"/>
  <c r="DM158" i="6"/>
  <c r="DH158" i="6"/>
  <c r="CX158" i="6"/>
  <c r="CN158" i="6"/>
  <c r="BY158" i="6"/>
  <c r="BE158" i="6"/>
  <c r="AU158" i="6"/>
  <c r="AA158" i="6"/>
  <c r="Q158" i="6"/>
  <c r="G158" i="6"/>
  <c r="EL157" i="6"/>
  <c r="EL156" i="6"/>
  <c r="BT156" i="6"/>
  <c r="EL155" i="6"/>
  <c r="BT155" i="6"/>
  <c r="EG154" i="6"/>
  <c r="EG153" i="6" s="1"/>
  <c r="EB154" i="6"/>
  <c r="EB153" i="6" s="1"/>
  <c r="DW154" i="6"/>
  <c r="DR154" i="6"/>
  <c r="DR153" i="6" s="1"/>
  <c r="DM154" i="6"/>
  <c r="DH154" i="6"/>
  <c r="DC154" i="6"/>
  <c r="DC153" i="6" s="1"/>
  <c r="CX154" i="6"/>
  <c r="CX153" i="6" s="1"/>
  <c r="CS154" i="6"/>
  <c r="CN154" i="6"/>
  <c r="CN153" i="6" s="1"/>
  <c r="CI154" i="6"/>
  <c r="CD154" i="6"/>
  <c r="BO154" i="6"/>
  <c r="BJ154" i="6"/>
  <c r="BE154" i="6"/>
  <c r="AZ154" i="6"/>
  <c r="AZ153" i="6" s="1"/>
  <c r="AU154" i="6"/>
  <c r="AP154" i="6"/>
  <c r="AK154" i="6"/>
  <c r="AF154" i="6"/>
  <c r="AF153" i="6" s="1"/>
  <c r="AA154" i="6"/>
  <c r="V154" i="6"/>
  <c r="V153" i="6" s="1"/>
  <c r="Q154" i="6"/>
  <c r="L154" i="6"/>
  <c r="DW153" i="6"/>
  <c r="DM153" i="6"/>
  <c r="DH153" i="6"/>
  <c r="CS153" i="6"/>
  <c r="CI153" i="6"/>
  <c r="CD153" i="6"/>
  <c r="BY153" i="6"/>
  <c r="BJ153" i="6"/>
  <c r="BE153" i="6"/>
  <c r="AK153" i="6"/>
  <c r="G153" i="6"/>
  <c r="EL151" i="6"/>
  <c r="BT151" i="6"/>
  <c r="EL150" i="6"/>
  <c r="BT150" i="6"/>
  <c r="DR149" i="6"/>
  <c r="DM149" i="6"/>
  <c r="DH149" i="6"/>
  <c r="DC149" i="6"/>
  <c r="CS149" i="6"/>
  <c r="CN149" i="6"/>
  <c r="CI149" i="6"/>
  <c r="CI148" i="6" s="1"/>
  <c r="CD149" i="6"/>
  <c r="Q149" i="6"/>
  <c r="L149" i="6"/>
  <c r="EG148" i="6"/>
  <c r="EB148" i="6"/>
  <c r="DW148" i="6"/>
  <c r="CX148" i="6"/>
  <c r="CN148" i="6"/>
  <c r="CD148" i="6"/>
  <c r="BY148" i="6"/>
  <c r="BO148" i="6"/>
  <c r="BJ148" i="6"/>
  <c r="BE148" i="6"/>
  <c r="AZ148" i="6"/>
  <c r="AU148" i="6"/>
  <c r="AP148" i="6"/>
  <c r="AK148" i="6"/>
  <c r="AF148" i="6"/>
  <c r="AA148" i="6"/>
  <c r="V148" i="6"/>
  <c r="L148" i="6"/>
  <c r="G148" i="6"/>
  <c r="EL146" i="6"/>
  <c r="BT146" i="6"/>
  <c r="EL145" i="6"/>
  <c r="BT145" i="6"/>
  <c r="EL144" i="6"/>
  <c r="CI144" i="6"/>
  <c r="BT144" i="6"/>
  <c r="EG143" i="6"/>
  <c r="EB143" i="6"/>
  <c r="DW143" i="6"/>
  <c r="DR143" i="6"/>
  <c r="DM143" i="6"/>
  <c r="DH143" i="6"/>
  <c r="DC143" i="6"/>
  <c r="CX143" i="6"/>
  <c r="CS143" i="6"/>
  <c r="CN143" i="6"/>
  <c r="CI143" i="6"/>
  <c r="CD143" i="6"/>
  <c r="BY143" i="6"/>
  <c r="BO143" i="6"/>
  <c r="BJ143" i="6"/>
  <c r="BE143" i="6"/>
  <c r="AZ143" i="6"/>
  <c r="AU143" i="6"/>
  <c r="AP143" i="6"/>
  <c r="AK143" i="6"/>
  <c r="AF143" i="6"/>
  <c r="AA143" i="6"/>
  <c r="V143" i="6"/>
  <c r="Q143" i="6"/>
  <c r="L143" i="6"/>
  <c r="G143" i="6"/>
  <c r="EL141" i="6"/>
  <c r="BT141" i="6"/>
  <c r="EL140" i="6"/>
  <c r="BT140" i="6"/>
  <c r="EL139" i="6"/>
  <c r="BO139" i="6"/>
  <c r="BJ139" i="6"/>
  <c r="AZ139" i="6"/>
  <c r="EG138" i="6"/>
  <c r="EB138" i="6"/>
  <c r="DW138" i="6"/>
  <c r="DR138" i="6"/>
  <c r="DM138" i="6"/>
  <c r="DH138" i="6"/>
  <c r="DC138" i="6"/>
  <c r="CX138" i="6"/>
  <c r="CS138" i="6"/>
  <c r="CN138" i="6"/>
  <c r="CI138" i="6"/>
  <c r="CD138" i="6"/>
  <c r="BY138" i="6"/>
  <c r="BJ138" i="6"/>
  <c r="BE138" i="6"/>
  <c r="AU138" i="6"/>
  <c r="AP138" i="6"/>
  <c r="AK138" i="6"/>
  <c r="AF138" i="6"/>
  <c r="AA138" i="6"/>
  <c r="V138" i="6"/>
  <c r="Q138" i="6"/>
  <c r="L138" i="6"/>
  <c r="G138" i="6"/>
  <c r="EL136" i="6"/>
  <c r="BT136" i="6"/>
  <c r="EL135" i="6"/>
  <c r="BT135" i="6"/>
  <c r="EL134" i="6"/>
  <c r="BT134" i="6"/>
  <c r="EL133" i="6"/>
  <c r="L133" i="6"/>
  <c r="EG132" i="6"/>
  <c r="EB132" i="6"/>
  <c r="DW132" i="6"/>
  <c r="DR132" i="6"/>
  <c r="DM132" i="6"/>
  <c r="DH132" i="6"/>
  <c r="DC132" i="6"/>
  <c r="CX132" i="6"/>
  <c r="CS132" i="6"/>
  <c r="CN132" i="6"/>
  <c r="CI132" i="6"/>
  <c r="CD132" i="6"/>
  <c r="BY132" i="6"/>
  <c r="BO132" i="6"/>
  <c r="BJ132" i="6"/>
  <c r="BE132" i="6"/>
  <c r="AZ132" i="6"/>
  <c r="AU132" i="6"/>
  <c r="AP132" i="6"/>
  <c r="AK132" i="6"/>
  <c r="AF132" i="6"/>
  <c r="AA132" i="6"/>
  <c r="V132" i="6"/>
  <c r="Q132" i="6"/>
  <c r="G132" i="6"/>
  <c r="EL130" i="6"/>
  <c r="BT130" i="6"/>
  <c r="EL129" i="6"/>
  <c r="BT129" i="6"/>
  <c r="EL128" i="6"/>
  <c r="BT128" i="6"/>
  <c r="EL127" i="6"/>
  <c r="BT127" i="6"/>
  <c r="EG126" i="6"/>
  <c r="EB126" i="6"/>
  <c r="DW126" i="6"/>
  <c r="DR126" i="6"/>
  <c r="DM126" i="6"/>
  <c r="DH126" i="6"/>
  <c r="DC126" i="6"/>
  <c r="CX126" i="6"/>
  <c r="CS126" i="6"/>
  <c r="CN126" i="6"/>
  <c r="CI126" i="6"/>
  <c r="CD126" i="6"/>
  <c r="BY126" i="6"/>
  <c r="BO126" i="6"/>
  <c r="BJ126" i="6"/>
  <c r="BE126" i="6"/>
  <c r="AZ126" i="6"/>
  <c r="AU126" i="6"/>
  <c r="AP126" i="6"/>
  <c r="AK126" i="6"/>
  <c r="AF126" i="6"/>
  <c r="AA126" i="6"/>
  <c r="V126" i="6"/>
  <c r="Q126" i="6"/>
  <c r="L126" i="6"/>
  <c r="G126" i="6"/>
  <c r="EL124" i="6"/>
  <c r="BT124" i="6"/>
  <c r="EL123" i="6"/>
  <c r="BT123" i="6"/>
  <c r="EL122" i="6"/>
  <c r="BT122" i="6"/>
  <c r="BY122" i="6" s="1"/>
  <c r="EL121" i="6"/>
  <c r="BT121" i="6"/>
  <c r="EG120" i="6"/>
  <c r="EB120" i="6"/>
  <c r="DW120" i="6"/>
  <c r="DR120" i="6"/>
  <c r="DM120" i="6"/>
  <c r="DH120" i="6"/>
  <c r="DC120" i="6"/>
  <c r="CX120" i="6"/>
  <c r="CS120" i="6"/>
  <c r="CN120" i="6"/>
  <c r="CI120" i="6"/>
  <c r="CD120" i="6"/>
  <c r="BO120" i="6"/>
  <c r="BJ120" i="6"/>
  <c r="BE120" i="6"/>
  <c r="AZ120" i="6"/>
  <c r="AU120" i="6"/>
  <c r="AP120" i="6"/>
  <c r="AK120" i="6"/>
  <c r="AF120" i="6"/>
  <c r="AA120" i="6"/>
  <c r="V120" i="6"/>
  <c r="Q120" i="6"/>
  <c r="L120" i="6"/>
  <c r="G120" i="6"/>
  <c r="EL118" i="6"/>
  <c r="BT118" i="6"/>
  <c r="EL117" i="6"/>
  <c r="BT117" i="6"/>
  <c r="EB116" i="6"/>
  <c r="EB115" i="6" s="1"/>
  <c r="DR116" i="6"/>
  <c r="DM116" i="6"/>
  <c r="DM115" i="6" s="1"/>
  <c r="DC116" i="6"/>
  <c r="CX116" i="6"/>
  <c r="CS116" i="6"/>
  <c r="CN116" i="6"/>
  <c r="CI116" i="6"/>
  <c r="CD116" i="6"/>
  <c r="BO116" i="6"/>
  <c r="BJ116" i="6"/>
  <c r="AU116" i="6"/>
  <c r="AP116" i="6"/>
  <c r="AK116" i="6"/>
  <c r="EG115" i="6"/>
  <c r="DW115" i="6"/>
  <c r="DR115" i="6"/>
  <c r="DH115" i="6"/>
  <c r="DC115" i="6"/>
  <c r="CS115" i="6"/>
  <c r="CI115" i="6"/>
  <c r="BY115" i="6"/>
  <c r="BJ115" i="6"/>
  <c r="BE115" i="6"/>
  <c r="AZ115" i="6"/>
  <c r="AF115" i="6"/>
  <c r="AA115" i="6"/>
  <c r="V115" i="6"/>
  <c r="Q115" i="6"/>
  <c r="L115" i="6"/>
  <c r="G115" i="6"/>
  <c r="EL113" i="6"/>
  <c r="BT113" i="6"/>
  <c r="EL112" i="6"/>
  <c r="BT112" i="6"/>
  <c r="EL111" i="6"/>
  <c r="BT111" i="6"/>
  <c r="BY111" i="6" s="1"/>
  <c r="EG110" i="6"/>
  <c r="EB110" i="6"/>
  <c r="DW110" i="6"/>
  <c r="DR110" i="6"/>
  <c r="DM110" i="6"/>
  <c r="DH110" i="6"/>
  <c r="DC110" i="6"/>
  <c r="CX110" i="6"/>
  <c r="CS110" i="6"/>
  <c r="CN110" i="6"/>
  <c r="CI110" i="6"/>
  <c r="CD110" i="6"/>
  <c r="BO110" i="6"/>
  <c r="BJ110" i="6"/>
  <c r="BE110" i="6"/>
  <c r="AZ110" i="6"/>
  <c r="AU110" i="6"/>
  <c r="AP110" i="6"/>
  <c r="AK110" i="6"/>
  <c r="AF110" i="6"/>
  <c r="AA110" i="6"/>
  <c r="V110" i="6"/>
  <c r="Q110" i="6"/>
  <c r="L110" i="6"/>
  <c r="G110" i="6"/>
  <c r="EL108" i="6"/>
  <c r="BT108" i="6"/>
  <c r="EL107" i="6"/>
  <c r="BT107" i="6"/>
  <c r="BY107" i="6" s="1"/>
  <c r="EL106" i="6"/>
  <c r="BY106" i="6"/>
  <c r="BT106" i="6"/>
  <c r="EG105" i="6"/>
  <c r="EB105" i="6"/>
  <c r="DW105" i="6"/>
  <c r="DR105" i="6"/>
  <c r="DM105" i="6"/>
  <c r="DH105" i="6"/>
  <c r="DC105" i="6"/>
  <c r="CX105" i="6"/>
  <c r="CS105" i="6"/>
  <c r="CN105" i="6"/>
  <c r="CI105" i="6"/>
  <c r="CD105" i="6"/>
  <c r="BO105" i="6"/>
  <c r="BJ105" i="6"/>
  <c r="BE105" i="6"/>
  <c r="AZ105" i="6"/>
  <c r="AU105" i="6"/>
  <c r="AP105" i="6"/>
  <c r="AK105" i="6"/>
  <c r="AF105" i="6"/>
  <c r="AA105" i="6"/>
  <c r="V105" i="6"/>
  <c r="Q105" i="6"/>
  <c r="L105" i="6"/>
  <c r="G105" i="6"/>
  <c r="EL103" i="6"/>
  <c r="BT103" i="6"/>
  <c r="BY103" i="6" s="1"/>
  <c r="EL102" i="6"/>
  <c r="BT102" i="6"/>
  <c r="EL101" i="6"/>
  <c r="BT101" i="6"/>
  <c r="BT100" i="6" s="1"/>
  <c r="EG100" i="6"/>
  <c r="EB100" i="6"/>
  <c r="DW100" i="6"/>
  <c r="DR100" i="6"/>
  <c r="DM100" i="6"/>
  <c r="DH100" i="6"/>
  <c r="DC100" i="6"/>
  <c r="CX100" i="6"/>
  <c r="CS100" i="6"/>
  <c r="CN100" i="6"/>
  <c r="CI100" i="6"/>
  <c r="CD100" i="6"/>
  <c r="BO100" i="6"/>
  <c r="BJ100" i="6"/>
  <c r="BE100" i="6"/>
  <c r="AZ100" i="6"/>
  <c r="AU100" i="6"/>
  <c r="AP100" i="6"/>
  <c r="AK100" i="6"/>
  <c r="AF100" i="6"/>
  <c r="AA100" i="6"/>
  <c r="V100" i="6"/>
  <c r="Q100" i="6"/>
  <c r="L100" i="6"/>
  <c r="G100" i="6"/>
  <c r="EL98" i="6"/>
  <c r="BT98" i="6"/>
  <c r="EL97" i="6"/>
  <c r="BT97" i="6"/>
  <c r="EL96" i="6"/>
  <c r="BT96" i="6"/>
  <c r="EG95" i="6"/>
  <c r="EB95" i="6"/>
  <c r="DW95" i="6"/>
  <c r="DR95" i="6"/>
  <c r="DM95" i="6"/>
  <c r="DH95" i="6"/>
  <c r="DC95" i="6"/>
  <c r="CX95" i="6"/>
  <c r="CS95" i="6"/>
  <c r="CN95" i="6"/>
  <c r="CI95" i="6"/>
  <c r="CD95" i="6"/>
  <c r="BO95" i="6"/>
  <c r="BJ95" i="6"/>
  <c r="BE95" i="6"/>
  <c r="AZ95" i="6"/>
  <c r="AU95" i="6"/>
  <c r="AP95" i="6"/>
  <c r="AK95" i="6"/>
  <c r="AF95" i="6"/>
  <c r="AA95" i="6"/>
  <c r="V95" i="6"/>
  <c r="Q95" i="6"/>
  <c r="L95" i="6"/>
  <c r="G95" i="6"/>
  <c r="EL93" i="6"/>
  <c r="BY93" i="6"/>
  <c r="BT93" i="6"/>
  <c r="EL92" i="6"/>
  <c r="BT92" i="6"/>
  <c r="BY92" i="6" s="1"/>
  <c r="EL91" i="6"/>
  <c r="BT91" i="6"/>
  <c r="EG90" i="6"/>
  <c r="EB90" i="6"/>
  <c r="DW90" i="6"/>
  <c r="DR90" i="6"/>
  <c r="DM90" i="6"/>
  <c r="DH90" i="6"/>
  <c r="DC90" i="6"/>
  <c r="CX90" i="6"/>
  <c r="CS90" i="6"/>
  <c r="CN90" i="6"/>
  <c r="CI90" i="6"/>
  <c r="CD90" i="6"/>
  <c r="BO90" i="6"/>
  <c r="BJ90" i="6"/>
  <c r="BE90" i="6"/>
  <c r="AZ90" i="6"/>
  <c r="AU90" i="6"/>
  <c r="AP90" i="6"/>
  <c r="AK90" i="6"/>
  <c r="AF90" i="6"/>
  <c r="AA90" i="6"/>
  <c r="V90" i="6"/>
  <c r="Q90" i="6"/>
  <c r="L90" i="6"/>
  <c r="G90" i="6"/>
  <c r="EL88" i="6"/>
  <c r="BT88" i="6"/>
  <c r="EL87" i="6"/>
  <c r="BT87" i="6"/>
  <c r="EL86" i="6"/>
  <c r="BT86" i="6"/>
  <c r="EG85" i="6"/>
  <c r="EB85" i="6"/>
  <c r="DW85" i="6"/>
  <c r="DR85" i="6"/>
  <c r="DM85" i="6"/>
  <c r="DH85" i="6"/>
  <c r="DC85" i="6"/>
  <c r="CX85" i="6"/>
  <c r="CS85" i="6"/>
  <c r="CN85" i="6"/>
  <c r="CI85" i="6"/>
  <c r="CD85" i="6"/>
  <c r="BO85" i="6"/>
  <c r="BJ85" i="6"/>
  <c r="BE85" i="6"/>
  <c r="AZ85" i="6"/>
  <c r="AU85" i="6"/>
  <c r="AP85" i="6"/>
  <c r="AK85" i="6"/>
  <c r="AF85" i="6"/>
  <c r="AA85" i="6"/>
  <c r="V85" i="6"/>
  <c r="Q85" i="6"/>
  <c r="L85" i="6"/>
  <c r="G85" i="6"/>
  <c r="EL83" i="6"/>
  <c r="BT83" i="6"/>
  <c r="EL82" i="6"/>
  <c r="BT82" i="6"/>
  <c r="EL81" i="6"/>
  <c r="BT81" i="6"/>
  <c r="EL80" i="6"/>
  <c r="BT80" i="6"/>
  <c r="EG79" i="6"/>
  <c r="EB79" i="6"/>
  <c r="DW79" i="6"/>
  <c r="DR79" i="6"/>
  <c r="DM79" i="6"/>
  <c r="DH79" i="6"/>
  <c r="DC79" i="6"/>
  <c r="CX79" i="6"/>
  <c r="CS79" i="6"/>
  <c r="CN79" i="6"/>
  <c r="CI79" i="6"/>
  <c r="CD79" i="6"/>
  <c r="BY79" i="6"/>
  <c r="BO79" i="6"/>
  <c r="BJ79" i="6"/>
  <c r="BE79" i="6"/>
  <c r="AZ79" i="6"/>
  <c r="AU79" i="6"/>
  <c r="AP79" i="6"/>
  <c r="AK79" i="6"/>
  <c r="AF79" i="6"/>
  <c r="AA79" i="6"/>
  <c r="V79" i="6"/>
  <c r="Q79" i="6"/>
  <c r="L79" i="6"/>
  <c r="G79" i="6"/>
  <c r="EL77" i="6"/>
  <c r="BT77" i="6"/>
  <c r="EL76" i="6"/>
  <c r="BT76" i="6"/>
  <c r="CI75" i="6"/>
  <c r="BT75" i="6"/>
  <c r="EG74" i="6"/>
  <c r="EB74" i="6"/>
  <c r="DW74" i="6"/>
  <c r="DR74" i="6"/>
  <c r="DM74" i="6"/>
  <c r="DH74" i="6"/>
  <c r="DC74" i="6"/>
  <c r="CX74" i="6"/>
  <c r="CS74" i="6"/>
  <c r="CN74" i="6"/>
  <c r="CI74" i="6"/>
  <c r="CD74" i="6"/>
  <c r="BY74" i="6"/>
  <c r="BO74" i="6"/>
  <c r="BJ74" i="6"/>
  <c r="BE74" i="6"/>
  <c r="AZ74" i="6"/>
  <c r="AU74" i="6"/>
  <c r="AP74" i="6"/>
  <c r="AK74" i="6"/>
  <c r="AF74" i="6"/>
  <c r="AA74" i="6"/>
  <c r="V74" i="6"/>
  <c r="Q74" i="6"/>
  <c r="L74" i="6"/>
  <c r="G74" i="6"/>
  <c r="EL72" i="6"/>
  <c r="BT72" i="6"/>
  <c r="EL71" i="6"/>
  <c r="BT71" i="6"/>
  <c r="DW70" i="6"/>
  <c r="BT70" i="6"/>
  <c r="EG69" i="6"/>
  <c r="EB69" i="6"/>
  <c r="DW69" i="6"/>
  <c r="DR69" i="6"/>
  <c r="DR68" i="6" s="1"/>
  <c r="DM69" i="6"/>
  <c r="DM68" i="6" s="1"/>
  <c r="DC69" i="6"/>
  <c r="DC68" i="6" s="1"/>
  <c r="CX69" i="6"/>
  <c r="CS69" i="6"/>
  <c r="CN69" i="6"/>
  <c r="CI69" i="6"/>
  <c r="CD69" i="6"/>
  <c r="BO69" i="6"/>
  <c r="BJ69" i="6"/>
  <c r="BE69" i="6"/>
  <c r="AZ69" i="6"/>
  <c r="AU69" i="6"/>
  <c r="AP69" i="6"/>
  <c r="AK69" i="6"/>
  <c r="AK68" i="6" s="1"/>
  <c r="AF69" i="6"/>
  <c r="AF68" i="6" s="1"/>
  <c r="AA69" i="6"/>
  <c r="V69" i="6"/>
  <c r="EB68" i="6"/>
  <c r="DW68" i="6"/>
  <c r="DH68" i="6"/>
  <c r="CX68" i="6"/>
  <c r="CS68" i="6"/>
  <c r="CN68" i="6"/>
  <c r="BY68" i="6"/>
  <c r="BO68" i="6"/>
  <c r="BE68" i="6"/>
  <c r="AA68" i="6"/>
  <c r="Q68" i="6"/>
  <c r="L68" i="6"/>
  <c r="G68" i="6"/>
  <c r="EL66" i="6"/>
  <c r="BT66" i="6"/>
  <c r="BY66" i="6" s="1"/>
  <c r="EL65" i="6"/>
  <c r="BT65" i="6"/>
  <c r="EL64" i="6"/>
  <c r="EL62" i="6" s="1"/>
  <c r="BT64" i="6"/>
  <c r="EL63" i="6"/>
  <c r="BT63" i="6"/>
  <c r="BY63" i="6" s="1"/>
  <c r="EG62" i="6"/>
  <c r="EB62" i="6"/>
  <c r="DW62" i="6"/>
  <c r="DR62" i="6"/>
  <c r="DM62" i="6"/>
  <c r="DH62" i="6"/>
  <c r="DC62" i="6"/>
  <c r="CX62" i="6"/>
  <c r="CS62" i="6"/>
  <c r="CN62" i="6"/>
  <c r="CI62" i="6"/>
  <c r="CD62" i="6"/>
  <c r="BO62" i="6"/>
  <c r="BJ62" i="6"/>
  <c r="BE62" i="6"/>
  <c r="AZ62" i="6"/>
  <c r="AU62" i="6"/>
  <c r="AP62" i="6"/>
  <c r="AK62" i="6"/>
  <c r="AF62" i="6"/>
  <c r="AA62" i="6"/>
  <c r="V62" i="6"/>
  <c r="Q62" i="6"/>
  <c r="L62" i="6"/>
  <c r="G62" i="6"/>
  <c r="EL60" i="6"/>
  <c r="BT60" i="6"/>
  <c r="EL59" i="6"/>
  <c r="BT59" i="6"/>
  <c r="EG58" i="6"/>
  <c r="EB58" i="6"/>
  <c r="EB57" i="6" s="1"/>
  <c r="DW58" i="6"/>
  <c r="DR58" i="6"/>
  <c r="DR57" i="6" s="1"/>
  <c r="DM58" i="6"/>
  <c r="DM57" i="6" s="1"/>
  <c r="DC58" i="6"/>
  <c r="DC57" i="6" s="1"/>
  <c r="CX58" i="6"/>
  <c r="CS58" i="6"/>
  <c r="CS57" i="6" s="1"/>
  <c r="CN58" i="6"/>
  <c r="CN57" i="6" s="1"/>
  <c r="CI58" i="6"/>
  <c r="CI57" i="6" s="1"/>
  <c r="CD58" i="6"/>
  <c r="BO58" i="6"/>
  <c r="BJ58" i="6"/>
  <c r="BE58" i="6"/>
  <c r="BE57" i="6" s="1"/>
  <c r="AZ58" i="6"/>
  <c r="AU58" i="6"/>
  <c r="AP58" i="6"/>
  <c r="AK58" i="6"/>
  <c r="AK57" i="6" s="1"/>
  <c r="AF58" i="6"/>
  <c r="AA58" i="6"/>
  <c r="V58" i="6"/>
  <c r="Q58" i="6"/>
  <c r="L58" i="6"/>
  <c r="EG57" i="6"/>
  <c r="DW57" i="6"/>
  <c r="DH57" i="6"/>
  <c r="CX57" i="6"/>
  <c r="BY57" i="6"/>
  <c r="BO57" i="6"/>
  <c r="AP57" i="6"/>
  <c r="Q57" i="6"/>
  <c r="L57" i="6"/>
  <c r="G57" i="6"/>
  <c r="EL55" i="6"/>
  <c r="BT55" i="6"/>
  <c r="EL54" i="6"/>
  <c r="BT54" i="6"/>
  <c r="EB53" i="6"/>
  <c r="DW53" i="6"/>
  <c r="DR53" i="6"/>
  <c r="DM53" i="6"/>
  <c r="DH53" i="6"/>
  <c r="DC53" i="6"/>
  <c r="CX53" i="6"/>
  <c r="CS53" i="6"/>
  <c r="CN53" i="6"/>
  <c r="CI53" i="6"/>
  <c r="CI52" i="6" s="1"/>
  <c r="CD53" i="6"/>
  <c r="BO53" i="6"/>
  <c r="BJ53" i="6"/>
  <c r="BJ52" i="6" s="1"/>
  <c r="BE53" i="6"/>
  <c r="AZ53" i="6"/>
  <c r="AU53" i="6"/>
  <c r="AK53" i="6"/>
  <c r="AA53" i="6"/>
  <c r="V53" i="6"/>
  <c r="V52" i="6" s="1"/>
  <c r="Q53" i="6"/>
  <c r="L53" i="6"/>
  <c r="EG52" i="6"/>
  <c r="DW52" i="6"/>
  <c r="DR52" i="6"/>
  <c r="DM52" i="6"/>
  <c r="CS52" i="6"/>
  <c r="CN52" i="6"/>
  <c r="BY52" i="6"/>
  <c r="BO52" i="6"/>
  <c r="BE52" i="6"/>
  <c r="AZ52" i="6"/>
  <c r="AP52" i="6"/>
  <c r="AF52" i="6"/>
  <c r="G52" i="6"/>
  <c r="EL50" i="6"/>
  <c r="BT50" i="6"/>
  <c r="EL49" i="6"/>
  <c r="BT49" i="6"/>
  <c r="EL48" i="6"/>
  <c r="BT48" i="6"/>
  <c r="EG47" i="6"/>
  <c r="EB47" i="6"/>
  <c r="EB46" i="6" s="1"/>
  <c r="DW47" i="6"/>
  <c r="DW46" i="6" s="1"/>
  <c r="DR47" i="6"/>
  <c r="DM47" i="6"/>
  <c r="DH47" i="6"/>
  <c r="DH46" i="6" s="1"/>
  <c r="DC47" i="6"/>
  <c r="CX47" i="6"/>
  <c r="CX46" i="6" s="1"/>
  <c r="CS47" i="6"/>
  <c r="CS46" i="6" s="1"/>
  <c r="CN47" i="6"/>
  <c r="CI47" i="6"/>
  <c r="CI46" i="6" s="1"/>
  <c r="CD47" i="6"/>
  <c r="CD46" i="6" s="1"/>
  <c r="BO47" i="6"/>
  <c r="BJ47" i="6"/>
  <c r="BE47" i="6"/>
  <c r="AZ47" i="6"/>
  <c r="AU47" i="6"/>
  <c r="AP47" i="6"/>
  <c r="AK47" i="6"/>
  <c r="AF47" i="6"/>
  <c r="AA47" i="6"/>
  <c r="V47" i="6"/>
  <c r="Q47" i="6"/>
  <c r="L47" i="6"/>
  <c r="EG46" i="6"/>
  <c r="DR46" i="6"/>
  <c r="DM46" i="6"/>
  <c r="DC46" i="6"/>
  <c r="CN46" i="6"/>
  <c r="BY46" i="6"/>
  <c r="BE46" i="6"/>
  <c r="AZ46" i="6"/>
  <c r="AU46" i="6"/>
  <c r="AP46" i="6"/>
  <c r="V46" i="6"/>
  <c r="L46" i="6"/>
  <c r="G46" i="6"/>
  <c r="EL44" i="6"/>
  <c r="BT44" i="6"/>
  <c r="EL43" i="6"/>
  <c r="BT43" i="6"/>
  <c r="EL42" i="6"/>
  <c r="BT42" i="6"/>
  <c r="EG41" i="6"/>
  <c r="EG40" i="6" s="1"/>
  <c r="EB41" i="6"/>
  <c r="EB40" i="6" s="1"/>
  <c r="DW41" i="6"/>
  <c r="DR41" i="6"/>
  <c r="DR40" i="6" s="1"/>
  <c r="DM41" i="6"/>
  <c r="DM40" i="6" s="1"/>
  <c r="DH41" i="6"/>
  <c r="DC41" i="6"/>
  <c r="CX41" i="6"/>
  <c r="CX40" i="6" s="1"/>
  <c r="CS41" i="6"/>
  <c r="CN41" i="6"/>
  <c r="CN40" i="6" s="1"/>
  <c r="CI41" i="6"/>
  <c r="CD41" i="6"/>
  <c r="BO41" i="6"/>
  <c r="BJ41" i="6"/>
  <c r="AZ41" i="6"/>
  <c r="AU41" i="6"/>
  <c r="AP41" i="6"/>
  <c r="AF41" i="6"/>
  <c r="V41" i="6"/>
  <c r="Q41" i="6"/>
  <c r="Q40" i="6" s="1"/>
  <c r="L41" i="6"/>
  <c r="DW40" i="6"/>
  <c r="DH40" i="6"/>
  <c r="CS40" i="6"/>
  <c r="CI40" i="6"/>
  <c r="CD40" i="6"/>
  <c r="BY40" i="6"/>
  <c r="BO40" i="6"/>
  <c r="BE40" i="6"/>
  <c r="AZ40" i="6"/>
  <c r="AK40" i="6"/>
  <c r="AA40" i="6"/>
  <c r="V40" i="6"/>
  <c r="G40" i="6"/>
  <c r="EL38" i="6"/>
  <c r="BT38" i="6"/>
  <c r="EL37" i="6"/>
  <c r="BT37" i="6"/>
  <c r="EL36" i="6"/>
  <c r="BT36" i="6"/>
  <c r="EG35" i="6"/>
  <c r="EB35" i="6"/>
  <c r="DW35" i="6"/>
  <c r="DW34" i="6" s="1"/>
  <c r="DR35" i="6"/>
  <c r="DM35" i="6"/>
  <c r="DM34" i="6" s="1"/>
  <c r="DH35" i="6"/>
  <c r="DC35" i="6"/>
  <c r="DC34" i="6" s="1"/>
  <c r="CX35" i="6"/>
  <c r="CX34" i="6" s="1"/>
  <c r="CS35" i="6"/>
  <c r="CS34" i="6" s="1"/>
  <c r="CN35" i="6"/>
  <c r="CI35" i="6"/>
  <c r="CI34" i="6" s="1"/>
  <c r="CD35" i="6"/>
  <c r="BO35" i="6"/>
  <c r="BJ35" i="6"/>
  <c r="BJ34" i="6" s="1"/>
  <c r="BE35" i="6"/>
  <c r="AZ35" i="6"/>
  <c r="AU35" i="6"/>
  <c r="AP35" i="6"/>
  <c r="AK35" i="6"/>
  <c r="AF35" i="6"/>
  <c r="AA35" i="6"/>
  <c r="V35" i="6"/>
  <c r="Q35" i="6"/>
  <c r="L35" i="6"/>
  <c r="EG34" i="6"/>
  <c r="EB34" i="6"/>
  <c r="DR34" i="6"/>
  <c r="DH34" i="6"/>
  <c r="CN34" i="6"/>
  <c r="CD34" i="6"/>
  <c r="BY34" i="6"/>
  <c r="AZ34" i="6"/>
  <c r="AP34" i="6"/>
  <c r="AF34" i="6"/>
  <c r="V34" i="6"/>
  <c r="L34" i="6"/>
  <c r="G34" i="6"/>
  <c r="EL32" i="6"/>
  <c r="BT32" i="6"/>
  <c r="EL31" i="6"/>
  <c r="BT31" i="6"/>
  <c r="EL30" i="6"/>
  <c r="BT30" i="6"/>
  <c r="EG29" i="6"/>
  <c r="EG28" i="6" s="1"/>
  <c r="EB29" i="6"/>
  <c r="DR29" i="6"/>
  <c r="DM29" i="6"/>
  <c r="DM28" i="6" s="1"/>
  <c r="DH29" i="6"/>
  <c r="DH28" i="6" s="1"/>
  <c r="DC29" i="6"/>
  <c r="DC28" i="6" s="1"/>
  <c r="CX29" i="6"/>
  <c r="CX28" i="6" s="1"/>
  <c r="CS29" i="6"/>
  <c r="CN29" i="6"/>
  <c r="CN28" i="6" s="1"/>
  <c r="CI29" i="6"/>
  <c r="CI28" i="6" s="1"/>
  <c r="CD29" i="6"/>
  <c r="EL29" i="6" s="1"/>
  <c r="BO29" i="6"/>
  <c r="BJ29" i="6"/>
  <c r="BE29" i="6"/>
  <c r="AZ29" i="6"/>
  <c r="AU29" i="6"/>
  <c r="AP29" i="6"/>
  <c r="AK29" i="6"/>
  <c r="AF29" i="6"/>
  <c r="AA29" i="6"/>
  <c r="V29" i="6"/>
  <c r="V28" i="6" s="1"/>
  <c r="Q29" i="6"/>
  <c r="L29" i="6"/>
  <c r="EB28" i="6"/>
  <c r="DW28" i="6"/>
  <c r="DR28" i="6"/>
  <c r="CS28" i="6"/>
  <c r="CD28" i="6"/>
  <c r="BY28" i="6"/>
  <c r="BO28" i="6"/>
  <c r="AU28" i="6"/>
  <c r="AK28" i="6"/>
  <c r="AF28" i="6"/>
  <c r="Q28" i="6"/>
  <c r="G28" i="6"/>
  <c r="EL26" i="6"/>
  <c r="BT26" i="6"/>
  <c r="EL25" i="6"/>
  <c r="BT25" i="6"/>
  <c r="EL24" i="6"/>
  <c r="BT24" i="6"/>
  <c r="EG23" i="6"/>
  <c r="EB23" i="6"/>
  <c r="EB22" i="6" s="1"/>
  <c r="DW23" i="6"/>
  <c r="DR23" i="6"/>
  <c r="DR22" i="6" s="1"/>
  <c r="DM23" i="6"/>
  <c r="DH23" i="6"/>
  <c r="DH22" i="6" s="1"/>
  <c r="DC23" i="6"/>
  <c r="DC22" i="6" s="1"/>
  <c r="CX23" i="6"/>
  <c r="CX22" i="6" s="1"/>
  <c r="CS23" i="6"/>
  <c r="CN23" i="6"/>
  <c r="CN22" i="6" s="1"/>
  <c r="CI23" i="6"/>
  <c r="CD23" i="6"/>
  <c r="BJ23" i="6"/>
  <c r="BE23" i="6"/>
  <c r="AZ23" i="6"/>
  <c r="AU23" i="6"/>
  <c r="AP23" i="6"/>
  <c r="AK23" i="6"/>
  <c r="AF23" i="6"/>
  <c r="AA23" i="6"/>
  <c r="V23" i="6"/>
  <c r="Q23" i="6"/>
  <c r="L23" i="6"/>
  <c r="EG22" i="6"/>
  <c r="DW22" i="6"/>
  <c r="DM22" i="6"/>
  <c r="CS22" i="6"/>
  <c r="CI22" i="6"/>
  <c r="BY22" i="6"/>
  <c r="BO22" i="6"/>
  <c r="BJ22" i="6"/>
  <c r="AU22" i="6"/>
  <c r="G22" i="6"/>
  <c r="EL20" i="6"/>
  <c r="BT20" i="6"/>
  <c r="BT19" i="6" s="1"/>
  <c r="EG19" i="6"/>
  <c r="EB19" i="6"/>
  <c r="DW19" i="6"/>
  <c r="DR19" i="6"/>
  <c r="DM19" i="6"/>
  <c r="DH19" i="6"/>
  <c r="DC19" i="6"/>
  <c r="CX19" i="6"/>
  <c r="CS19" i="6"/>
  <c r="CN19" i="6"/>
  <c r="CI19" i="6"/>
  <c r="CD19" i="6"/>
  <c r="BY19" i="6"/>
  <c r="BO19" i="6"/>
  <c r="BJ19" i="6"/>
  <c r="BE19" i="6"/>
  <c r="AZ19" i="6"/>
  <c r="AU19" i="6"/>
  <c r="AP19" i="6"/>
  <c r="AK19" i="6"/>
  <c r="AF19" i="6"/>
  <c r="AA19" i="6"/>
  <c r="V19" i="6"/>
  <c r="Q19" i="6"/>
  <c r="L19" i="6"/>
  <c r="G19" i="6"/>
  <c r="EG17" i="6"/>
  <c r="EB17" i="6"/>
  <c r="DW17" i="6"/>
  <c r="DR17" i="6"/>
  <c r="DM17" i="6"/>
  <c r="DH17" i="6"/>
  <c r="DC17" i="6"/>
  <c r="CX17" i="6"/>
  <c r="CS17" i="6"/>
  <c r="CN17" i="6"/>
  <c r="CI17" i="6"/>
  <c r="CD17" i="6"/>
  <c r="BO17" i="6"/>
  <c r="BJ17" i="6"/>
  <c r="BE17" i="6"/>
  <c r="AZ17" i="6"/>
  <c r="AU17" i="6"/>
  <c r="AP17" i="6"/>
  <c r="AK17" i="6"/>
  <c r="AF17" i="6"/>
  <c r="AA17" i="6"/>
  <c r="V17" i="6"/>
  <c r="Q17" i="6"/>
  <c r="L17" i="6"/>
  <c r="EG16" i="6"/>
  <c r="EB16" i="6"/>
  <c r="DW16" i="6"/>
  <c r="DR16" i="6"/>
  <c r="DM16" i="6"/>
  <c r="DH16" i="6"/>
  <c r="DC16" i="6"/>
  <c r="CX16" i="6"/>
  <c r="CS16" i="6"/>
  <c r="CN16" i="6"/>
  <c r="CI16" i="6"/>
  <c r="CD16" i="6"/>
  <c r="BO16" i="6"/>
  <c r="BJ16" i="6"/>
  <c r="BE16" i="6"/>
  <c r="AZ16" i="6"/>
  <c r="AU16" i="6"/>
  <c r="AP16" i="6"/>
  <c r="AK16" i="6"/>
  <c r="AF16" i="6"/>
  <c r="AA16" i="6"/>
  <c r="V16" i="6"/>
  <c r="Q16" i="6"/>
  <c r="L16" i="6"/>
  <c r="EG15" i="6"/>
  <c r="EB15" i="6"/>
  <c r="DW15" i="6"/>
  <c r="DR15" i="6"/>
  <c r="DM15" i="6"/>
  <c r="DH15" i="6"/>
  <c r="DC15" i="6"/>
  <c r="CX15" i="6"/>
  <c r="CS15" i="6"/>
  <c r="CN15" i="6"/>
  <c r="CI15" i="6"/>
  <c r="CD15" i="6"/>
  <c r="BO15" i="6"/>
  <c r="BJ15" i="6"/>
  <c r="BE15" i="6"/>
  <c r="AZ15" i="6"/>
  <c r="AU15" i="6"/>
  <c r="AP15" i="6"/>
  <c r="AK15" i="6"/>
  <c r="AF15" i="6"/>
  <c r="AA15" i="6"/>
  <c r="V15" i="6"/>
  <c r="Q15" i="6"/>
  <c r="L15" i="6"/>
  <c r="CS14" i="6"/>
  <c r="CS13" i="6" s="1"/>
  <c r="CS8" i="6" s="1"/>
  <c r="G14" i="6"/>
  <c r="G13" i="6"/>
  <c r="DR11" i="6"/>
  <c r="DM11" i="6"/>
  <c r="CS11" i="6"/>
  <c r="CN11" i="6"/>
  <c r="AZ11" i="6"/>
  <c r="AU11" i="6"/>
  <c r="Q11" i="6"/>
  <c r="EB10" i="6"/>
  <c r="DW10" i="6"/>
  <c r="DR10" i="6"/>
  <c r="CX10" i="6"/>
  <c r="CN10" i="6"/>
  <c r="DH9" i="6"/>
  <c r="BY4" i="6"/>
  <c r="BY184" i="6" s="1"/>
  <c r="G4" i="6"/>
  <c r="G184" i="6" s="1"/>
  <c r="BY3" i="6"/>
  <c r="BY183" i="6" s="1"/>
  <c r="G3" i="6"/>
  <c r="G183" i="6" s="1"/>
  <c r="M1" i="6"/>
  <c r="BW145" i="5"/>
  <c r="BW143" i="5"/>
  <c r="BW142" i="5"/>
  <c r="BW141" i="5"/>
  <c r="BW137" i="5" s="1"/>
  <c r="BW140" i="5"/>
  <c r="BW138" i="5"/>
  <c r="BW134" i="5"/>
  <c r="BW129" i="5" s="1"/>
  <c r="BW133" i="5"/>
  <c r="BW131" i="5"/>
  <c r="BW130" i="5"/>
  <c r="BW127" i="5"/>
  <c r="BW126" i="5"/>
  <c r="BW124" i="5"/>
  <c r="BW123" i="5"/>
  <c r="BW120" i="5"/>
  <c r="BW119" i="5"/>
  <c r="BW116" i="5"/>
  <c r="BW115" i="5"/>
  <c r="BU112" i="5"/>
  <c r="BT112" i="5"/>
  <c r="BS112" i="5"/>
  <c r="BR112" i="5"/>
  <c r="BQ112" i="5"/>
  <c r="BP112" i="5"/>
  <c r="BO112" i="5"/>
  <c r="BN112" i="5"/>
  <c r="BM112" i="5"/>
  <c r="BL112" i="5"/>
  <c r="BK112" i="5"/>
  <c r="BJ112" i="5"/>
  <c r="BI112" i="5"/>
  <c r="BH112" i="5"/>
  <c r="BG112" i="5"/>
  <c r="BF112" i="5"/>
  <c r="BE112" i="5"/>
  <c r="BD112" i="5"/>
  <c r="BC112" i="5"/>
  <c r="BB112" i="5"/>
  <c r="BA112" i="5"/>
  <c r="AZ112" i="5"/>
  <c r="AY112" i="5"/>
  <c r="AX112" i="5"/>
  <c r="AW112" i="5"/>
  <c r="AV112" i="5"/>
  <c r="AU112" i="5"/>
  <c r="AT112" i="5"/>
  <c r="AS112" i="5"/>
  <c r="AR112" i="5"/>
  <c r="AQ112" i="5"/>
  <c r="AP112" i="5"/>
  <c r="AO112" i="5"/>
  <c r="AN112" i="5"/>
  <c r="AM112" i="5"/>
  <c r="AL112" i="5"/>
  <c r="AK112" i="5"/>
  <c r="AJ112" i="5"/>
  <c r="AI112" i="5"/>
  <c r="AH112" i="5"/>
  <c r="AG112" i="5"/>
  <c r="AF112" i="5"/>
  <c r="AE112" i="5"/>
  <c r="AD112" i="5"/>
  <c r="AC112" i="5"/>
  <c r="AB112" i="5"/>
  <c r="AA112" i="5"/>
  <c r="Z112" i="5"/>
  <c r="Y112" i="5"/>
  <c r="X112" i="5"/>
  <c r="W112" i="5"/>
  <c r="V112" i="5"/>
  <c r="U112" i="5"/>
  <c r="T112" i="5"/>
  <c r="S112" i="5"/>
  <c r="R112" i="5"/>
  <c r="Q112" i="5"/>
  <c r="P112" i="5"/>
  <c r="O112" i="5"/>
  <c r="N112" i="5"/>
  <c r="M112" i="5"/>
  <c r="BT111" i="5"/>
  <c r="BS111" i="5"/>
  <c r="BR111" i="5"/>
  <c r="BQ111" i="5"/>
  <c r="BO111" i="5"/>
  <c r="BN111" i="5"/>
  <c r="BM111" i="5"/>
  <c r="BL111" i="5"/>
  <c r="BJ111" i="5"/>
  <c r="BI111" i="5"/>
  <c r="BH111" i="5"/>
  <c r="BG111" i="5"/>
  <c r="BE111" i="5"/>
  <c r="BD111" i="5"/>
  <c r="BC111" i="5"/>
  <c r="BB111" i="5"/>
  <c r="AZ111" i="5"/>
  <c r="AY111" i="5"/>
  <c r="AX111" i="5"/>
  <c r="AW111" i="5"/>
  <c r="AU111" i="5"/>
  <c r="AT111" i="5"/>
  <c r="AS111" i="5"/>
  <c r="AR111" i="5"/>
  <c r="AQ111" i="5"/>
  <c r="AP111" i="5"/>
  <c r="AO111" i="5"/>
  <c r="AN111" i="5"/>
  <c r="AM111" i="5"/>
  <c r="AK111" i="5"/>
  <c r="AJ111" i="5"/>
  <c r="AI111" i="5"/>
  <c r="AH111" i="5"/>
  <c r="AF111" i="5"/>
  <c r="AE111" i="5"/>
  <c r="AD111" i="5"/>
  <c r="AC111" i="5"/>
  <c r="AA111" i="5"/>
  <c r="Z111" i="5"/>
  <c r="Y111" i="5"/>
  <c r="X111" i="5"/>
  <c r="V111" i="5"/>
  <c r="U111" i="5"/>
  <c r="T111" i="5"/>
  <c r="S111" i="5"/>
  <c r="Q111" i="5"/>
  <c r="P111" i="5"/>
  <c r="O111" i="5"/>
  <c r="N111" i="5"/>
  <c r="BT110" i="5"/>
  <c r="BS110" i="5"/>
  <c r="BR110" i="5"/>
  <c r="BQ110" i="5"/>
  <c r="BO110" i="5"/>
  <c r="BN110" i="5"/>
  <c r="BM110" i="5"/>
  <c r="BL110" i="5"/>
  <c r="BJ110" i="5"/>
  <c r="BI110" i="5"/>
  <c r="BH110" i="5"/>
  <c r="BG110" i="5"/>
  <c r="BE110" i="5"/>
  <c r="BD110" i="5"/>
  <c r="BC110" i="5"/>
  <c r="BB110" i="5"/>
  <c r="AZ110" i="5"/>
  <c r="AY110" i="5"/>
  <c r="AX110" i="5"/>
  <c r="AW110" i="5"/>
  <c r="AU110" i="5"/>
  <c r="AT110" i="5"/>
  <c r="AS110" i="5"/>
  <c r="AR110" i="5"/>
  <c r="AP110" i="5"/>
  <c r="AO110" i="5"/>
  <c r="AN110" i="5"/>
  <c r="AM110" i="5"/>
  <c r="AK110" i="5"/>
  <c r="AJ110" i="5"/>
  <c r="AI110" i="5"/>
  <c r="AH110" i="5"/>
  <c r="AF110" i="5"/>
  <c r="AE110" i="5"/>
  <c r="AD110" i="5"/>
  <c r="AC110" i="5"/>
  <c r="AA110" i="5"/>
  <c r="Z110" i="5"/>
  <c r="Y110" i="5"/>
  <c r="X110" i="5"/>
  <c r="V110" i="5"/>
  <c r="U110" i="5"/>
  <c r="T110" i="5"/>
  <c r="S110" i="5"/>
  <c r="Q110" i="5"/>
  <c r="P110" i="5"/>
  <c r="O110" i="5"/>
  <c r="N110" i="5"/>
  <c r="BW109" i="5"/>
  <c r="BW108" i="5" s="1"/>
  <c r="BU109" i="5"/>
  <c r="BT109" i="5"/>
  <c r="BS109" i="5"/>
  <c r="BR109" i="5"/>
  <c r="BQ109" i="5"/>
  <c r="BP109" i="5"/>
  <c r="BO109" i="5"/>
  <c r="BN109" i="5"/>
  <c r="BM109" i="5"/>
  <c r="BL109" i="5"/>
  <c r="BK109" i="5"/>
  <c r="BJ109" i="5"/>
  <c r="BI109" i="5"/>
  <c r="BH109" i="5"/>
  <c r="BG109" i="5"/>
  <c r="BF109" i="5"/>
  <c r="BE109" i="5"/>
  <c r="BD109" i="5"/>
  <c r="BC109" i="5"/>
  <c r="BB109" i="5"/>
  <c r="BA109" i="5"/>
  <c r="AZ109" i="5"/>
  <c r="AY109" i="5"/>
  <c r="AX109" i="5"/>
  <c r="AW109" i="5"/>
  <c r="AV109" i="5"/>
  <c r="AU109" i="5"/>
  <c r="AT109" i="5"/>
  <c r="AS109" i="5"/>
  <c r="AR109" i="5"/>
  <c r="AQ109" i="5"/>
  <c r="AP109" i="5"/>
  <c r="AO109" i="5"/>
  <c r="AN109" i="5"/>
  <c r="AM109" i="5"/>
  <c r="AL109" i="5"/>
  <c r="AK109" i="5"/>
  <c r="AJ109" i="5"/>
  <c r="AI109" i="5"/>
  <c r="AH109" i="5"/>
  <c r="AG109" i="5"/>
  <c r="AF109" i="5"/>
  <c r="AE109" i="5"/>
  <c r="AD109" i="5"/>
  <c r="AC109" i="5"/>
  <c r="AB109" i="5"/>
  <c r="AA109" i="5"/>
  <c r="Z109" i="5"/>
  <c r="Y109" i="5"/>
  <c r="X109" i="5"/>
  <c r="W109" i="5"/>
  <c r="V109" i="5"/>
  <c r="U109" i="5"/>
  <c r="T109" i="5"/>
  <c r="S109" i="5"/>
  <c r="R109" i="5"/>
  <c r="Q109" i="5"/>
  <c r="P109" i="5"/>
  <c r="O109" i="5"/>
  <c r="N109" i="5"/>
  <c r="M109" i="5"/>
  <c r="BT108" i="5"/>
  <c r="BS108" i="5"/>
  <c r="BR108" i="5"/>
  <c r="BQ108" i="5"/>
  <c r="BO108" i="5"/>
  <c r="BN108" i="5"/>
  <c r="BM108" i="5"/>
  <c r="BL108" i="5"/>
  <c r="BJ108" i="5"/>
  <c r="BI108" i="5"/>
  <c r="BH108" i="5"/>
  <c r="BG108" i="5"/>
  <c r="BE108" i="5"/>
  <c r="BD108" i="5"/>
  <c r="BC108" i="5"/>
  <c r="BB108" i="5"/>
  <c r="AZ108" i="5"/>
  <c r="AY108" i="5"/>
  <c r="AX108" i="5"/>
  <c r="AW108" i="5"/>
  <c r="AU108" i="5"/>
  <c r="AT108" i="5"/>
  <c r="AS108" i="5"/>
  <c r="AR108" i="5"/>
  <c r="AP108" i="5"/>
  <c r="AO108" i="5"/>
  <c r="AN108" i="5"/>
  <c r="AM108" i="5"/>
  <c r="AK108" i="5"/>
  <c r="AJ108" i="5"/>
  <c r="AI108" i="5"/>
  <c r="AH108" i="5"/>
  <c r="AF108" i="5"/>
  <c r="AE108" i="5"/>
  <c r="AD108" i="5"/>
  <c r="AC108" i="5"/>
  <c r="AA108" i="5"/>
  <c r="Z108" i="5"/>
  <c r="Y108" i="5"/>
  <c r="X108" i="5"/>
  <c r="V108" i="5"/>
  <c r="U108" i="5"/>
  <c r="T108" i="5"/>
  <c r="S108" i="5"/>
  <c r="Q108" i="5"/>
  <c r="P108" i="5"/>
  <c r="O108" i="5"/>
  <c r="N108" i="5"/>
  <c r="BT107" i="5"/>
  <c r="BS107" i="5"/>
  <c r="BR107" i="5"/>
  <c r="BQ107" i="5"/>
  <c r="BO107" i="5"/>
  <c r="BN107" i="5"/>
  <c r="BM107" i="5"/>
  <c r="BL107" i="5"/>
  <c r="BJ107" i="5"/>
  <c r="BI107" i="5"/>
  <c r="BH107" i="5"/>
  <c r="BG107" i="5"/>
  <c r="BE107" i="5"/>
  <c r="BD107" i="5"/>
  <c r="BC107" i="5"/>
  <c r="BB107" i="5"/>
  <c r="AZ107" i="5"/>
  <c r="AY107" i="5"/>
  <c r="AX107" i="5"/>
  <c r="AW107" i="5"/>
  <c r="AU107" i="5"/>
  <c r="AT107" i="5"/>
  <c r="AS107" i="5"/>
  <c r="AR107" i="5"/>
  <c r="AP107" i="5"/>
  <c r="AO107" i="5"/>
  <c r="AN107" i="5"/>
  <c r="AM107" i="5"/>
  <c r="AK107" i="5"/>
  <c r="AJ107" i="5"/>
  <c r="AI107" i="5"/>
  <c r="AH107" i="5"/>
  <c r="AF107" i="5"/>
  <c r="AE107" i="5"/>
  <c r="AD107" i="5"/>
  <c r="AC107" i="5"/>
  <c r="AA107" i="5"/>
  <c r="Z107" i="5"/>
  <c r="Y107" i="5"/>
  <c r="X107" i="5"/>
  <c r="V107" i="5"/>
  <c r="U107" i="5"/>
  <c r="T107" i="5"/>
  <c r="S107" i="5"/>
  <c r="Q107" i="5"/>
  <c r="P107" i="5"/>
  <c r="O107" i="5"/>
  <c r="N107" i="5"/>
  <c r="BW106" i="5"/>
  <c r="BW104" i="5" s="1"/>
  <c r="BT106" i="5"/>
  <c r="BS106" i="5"/>
  <c r="BR106" i="5"/>
  <c r="BQ106" i="5"/>
  <c r="BO106" i="5"/>
  <c r="BN106" i="5"/>
  <c r="BM106" i="5"/>
  <c r="BL106" i="5"/>
  <c r="BJ106" i="5"/>
  <c r="BI106" i="5"/>
  <c r="BH106" i="5"/>
  <c r="BG106" i="5"/>
  <c r="BE106" i="5"/>
  <c r="BD106" i="5"/>
  <c r="BC106" i="5"/>
  <c r="BB106" i="5"/>
  <c r="AZ106" i="5"/>
  <c r="AY106" i="5"/>
  <c r="AX106" i="5"/>
  <c r="AW106" i="5"/>
  <c r="AU106" i="5"/>
  <c r="AT106" i="5"/>
  <c r="AS106" i="5"/>
  <c r="AR106" i="5"/>
  <c r="AP106" i="5"/>
  <c r="AO106" i="5"/>
  <c r="AN106" i="5"/>
  <c r="AM106" i="5"/>
  <c r="AK106" i="5"/>
  <c r="AJ106" i="5"/>
  <c r="AI106" i="5"/>
  <c r="AH106" i="5"/>
  <c r="AF106" i="5"/>
  <c r="AE106" i="5"/>
  <c r="AD106" i="5"/>
  <c r="AC106" i="5"/>
  <c r="AA106" i="5"/>
  <c r="Z106" i="5"/>
  <c r="Y106" i="5"/>
  <c r="X106" i="5"/>
  <c r="V106" i="5"/>
  <c r="U106" i="5"/>
  <c r="T106" i="5"/>
  <c r="S106" i="5"/>
  <c r="Q106" i="5"/>
  <c r="P106" i="5"/>
  <c r="O106" i="5"/>
  <c r="N106" i="5"/>
  <c r="BW105" i="5"/>
  <c r="BU105" i="5"/>
  <c r="BT105" i="5"/>
  <c r="BS105" i="5"/>
  <c r="BR105" i="5"/>
  <c r="BQ105" i="5"/>
  <c r="BP105" i="5"/>
  <c r="BO105" i="5"/>
  <c r="BN105" i="5"/>
  <c r="BM105" i="5"/>
  <c r="BL105" i="5"/>
  <c r="BK105" i="5"/>
  <c r="BJ105" i="5"/>
  <c r="BI105" i="5"/>
  <c r="BH105" i="5"/>
  <c r="BG105" i="5"/>
  <c r="BF105" i="5"/>
  <c r="BE105" i="5"/>
  <c r="BD105" i="5"/>
  <c r="BC105" i="5"/>
  <c r="BB105" i="5"/>
  <c r="BA105" i="5"/>
  <c r="AZ105" i="5"/>
  <c r="AY105" i="5"/>
  <c r="AX105" i="5"/>
  <c r="AW105" i="5"/>
  <c r="AV105" i="5"/>
  <c r="AU105" i="5"/>
  <c r="AT105" i="5"/>
  <c r="AS105" i="5"/>
  <c r="AR105" i="5"/>
  <c r="AQ105" i="5"/>
  <c r="AP105" i="5"/>
  <c r="AO105" i="5"/>
  <c r="AN105" i="5"/>
  <c r="AM105" i="5"/>
  <c r="AL105" i="5"/>
  <c r="AK105" i="5"/>
  <c r="AJ105" i="5"/>
  <c r="AI105" i="5"/>
  <c r="AH105" i="5"/>
  <c r="AG105" i="5"/>
  <c r="AF105" i="5"/>
  <c r="AE105" i="5"/>
  <c r="AD105" i="5"/>
  <c r="AC105" i="5"/>
  <c r="AB105" i="5"/>
  <c r="AA105" i="5"/>
  <c r="Z105" i="5"/>
  <c r="Y105" i="5"/>
  <c r="X105" i="5"/>
  <c r="W105" i="5"/>
  <c r="V105" i="5"/>
  <c r="U105" i="5"/>
  <c r="T105" i="5"/>
  <c r="S105" i="5"/>
  <c r="R105" i="5"/>
  <c r="Q105" i="5"/>
  <c r="P105" i="5"/>
  <c r="O105" i="5"/>
  <c r="N105" i="5"/>
  <c r="M105" i="5"/>
  <c r="BT104" i="5"/>
  <c r="BS104" i="5"/>
  <c r="BR104" i="5"/>
  <c r="BQ104" i="5"/>
  <c r="BO104" i="5"/>
  <c r="BN104" i="5"/>
  <c r="BM104" i="5"/>
  <c r="BL104" i="5"/>
  <c r="BJ104" i="5"/>
  <c r="BI104" i="5"/>
  <c r="BH104" i="5"/>
  <c r="BG104" i="5"/>
  <c r="BE104" i="5"/>
  <c r="BD104" i="5"/>
  <c r="BC104" i="5"/>
  <c r="BB104" i="5"/>
  <c r="AZ104" i="5"/>
  <c r="AY104" i="5"/>
  <c r="AX104" i="5"/>
  <c r="AW104" i="5"/>
  <c r="AU104" i="5"/>
  <c r="AT104" i="5"/>
  <c r="AS104" i="5"/>
  <c r="AR104" i="5"/>
  <c r="AP104" i="5"/>
  <c r="AO104" i="5"/>
  <c r="AN104" i="5"/>
  <c r="AM104" i="5"/>
  <c r="AK104" i="5"/>
  <c r="AJ104" i="5"/>
  <c r="AI104" i="5"/>
  <c r="AH104" i="5"/>
  <c r="AF104" i="5"/>
  <c r="AE104" i="5"/>
  <c r="AD104" i="5"/>
  <c r="AC104" i="5"/>
  <c r="AA104" i="5"/>
  <c r="Z104" i="5"/>
  <c r="Y104" i="5"/>
  <c r="X104" i="5"/>
  <c r="V104" i="5"/>
  <c r="U104" i="5"/>
  <c r="T104" i="5"/>
  <c r="S104" i="5"/>
  <c r="Q104" i="5"/>
  <c r="P104" i="5"/>
  <c r="O104" i="5"/>
  <c r="N104" i="5"/>
  <c r="BT103" i="5"/>
  <c r="BS103" i="5"/>
  <c r="BR103" i="5"/>
  <c r="BQ103" i="5"/>
  <c r="BO103" i="5"/>
  <c r="BN103" i="5"/>
  <c r="BM103" i="5"/>
  <c r="BL103" i="5"/>
  <c r="BJ103" i="5"/>
  <c r="BI103" i="5"/>
  <c r="BH103" i="5"/>
  <c r="BG103" i="5"/>
  <c r="BE103" i="5"/>
  <c r="BD103" i="5"/>
  <c r="BC103" i="5"/>
  <c r="BB103" i="5"/>
  <c r="AZ103" i="5"/>
  <c r="AY103" i="5"/>
  <c r="AX103" i="5"/>
  <c r="AW103" i="5"/>
  <c r="AU103" i="5"/>
  <c r="AT103" i="5"/>
  <c r="AS103" i="5"/>
  <c r="AR103" i="5"/>
  <c r="AP103" i="5"/>
  <c r="AO103" i="5"/>
  <c r="AN103" i="5"/>
  <c r="AM103" i="5"/>
  <c r="AK103" i="5"/>
  <c r="AJ103" i="5"/>
  <c r="AI103" i="5"/>
  <c r="AH103" i="5"/>
  <c r="AF103" i="5"/>
  <c r="AE103" i="5"/>
  <c r="AD103" i="5"/>
  <c r="AC103" i="5"/>
  <c r="AA103" i="5"/>
  <c r="Z103" i="5"/>
  <c r="Y103" i="5"/>
  <c r="X103" i="5"/>
  <c r="V103" i="5"/>
  <c r="U103" i="5"/>
  <c r="T103" i="5"/>
  <c r="S103" i="5"/>
  <c r="Q103" i="5"/>
  <c r="P103" i="5"/>
  <c r="O103" i="5"/>
  <c r="N103" i="5"/>
  <c r="BW102" i="5"/>
  <c r="BT102" i="5"/>
  <c r="BS102" i="5"/>
  <c r="BR102" i="5"/>
  <c r="BQ102" i="5"/>
  <c r="BO102" i="5"/>
  <c r="BN102" i="5"/>
  <c r="BM102" i="5"/>
  <c r="BL102" i="5"/>
  <c r="BJ102" i="5"/>
  <c r="BI102" i="5"/>
  <c r="BH102" i="5"/>
  <c r="BG102" i="5"/>
  <c r="BE102" i="5"/>
  <c r="BD102" i="5"/>
  <c r="BC102" i="5"/>
  <c r="BB102" i="5"/>
  <c r="AZ102" i="5"/>
  <c r="AY102" i="5"/>
  <c r="AX102" i="5"/>
  <c r="AW102" i="5"/>
  <c r="AU102" i="5"/>
  <c r="AT102" i="5"/>
  <c r="AS102" i="5"/>
  <c r="AR102" i="5"/>
  <c r="AP102" i="5"/>
  <c r="AO102" i="5"/>
  <c r="AN102" i="5"/>
  <c r="AM102" i="5"/>
  <c r="AK102" i="5"/>
  <c r="AJ102" i="5"/>
  <c r="AI102" i="5"/>
  <c r="AH102" i="5"/>
  <c r="AF102" i="5"/>
  <c r="AE102" i="5"/>
  <c r="AD102" i="5"/>
  <c r="AC102" i="5"/>
  <c r="AA102" i="5"/>
  <c r="Z102" i="5"/>
  <c r="Y102" i="5"/>
  <c r="X102" i="5"/>
  <c r="V102" i="5"/>
  <c r="U102" i="5"/>
  <c r="T102" i="5"/>
  <c r="S102" i="5"/>
  <c r="Q102" i="5"/>
  <c r="P102" i="5"/>
  <c r="O102" i="5"/>
  <c r="N102" i="5"/>
  <c r="BW101" i="5"/>
  <c r="BT101" i="5"/>
  <c r="BS101" i="5"/>
  <c r="BR101" i="5"/>
  <c r="BQ101" i="5"/>
  <c r="BO101" i="5"/>
  <c r="BN101" i="5"/>
  <c r="BM101" i="5"/>
  <c r="BL101" i="5"/>
  <c r="BJ101" i="5"/>
  <c r="BI101" i="5"/>
  <c r="BH101" i="5"/>
  <c r="BG101" i="5"/>
  <c r="BE101" i="5"/>
  <c r="BD101" i="5"/>
  <c r="BC101" i="5"/>
  <c r="BB101" i="5"/>
  <c r="AZ101" i="5"/>
  <c r="AY101" i="5"/>
  <c r="AX101" i="5"/>
  <c r="AW101" i="5"/>
  <c r="AU101" i="5"/>
  <c r="AT101" i="5"/>
  <c r="AS101" i="5"/>
  <c r="AR101" i="5"/>
  <c r="AP101" i="5"/>
  <c r="AO101" i="5"/>
  <c r="AN101" i="5"/>
  <c r="AM101" i="5"/>
  <c r="AK101" i="5"/>
  <c r="AJ101" i="5"/>
  <c r="AI101" i="5"/>
  <c r="AH101" i="5"/>
  <c r="AF101" i="5"/>
  <c r="AE101" i="5"/>
  <c r="AD101" i="5"/>
  <c r="AC101" i="5"/>
  <c r="AA101" i="5"/>
  <c r="Z101" i="5"/>
  <c r="Y101" i="5"/>
  <c r="X101" i="5"/>
  <c r="V101" i="5"/>
  <c r="U101" i="5"/>
  <c r="T101" i="5"/>
  <c r="S101" i="5"/>
  <c r="Q101" i="5"/>
  <c r="P101" i="5"/>
  <c r="O101" i="5"/>
  <c r="N101" i="5"/>
  <c r="BW100" i="5"/>
  <c r="BW99" i="5" s="1"/>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W100" i="5"/>
  <c r="V100" i="5"/>
  <c r="U100" i="5"/>
  <c r="T100" i="5"/>
  <c r="S100" i="5"/>
  <c r="R100" i="5"/>
  <c r="Q100" i="5"/>
  <c r="P100" i="5"/>
  <c r="O100" i="5"/>
  <c r="N100" i="5"/>
  <c r="M100" i="5"/>
  <c r="BT99" i="5"/>
  <c r="BS99" i="5"/>
  <c r="BR99" i="5"/>
  <c r="BQ99" i="5"/>
  <c r="BO99" i="5"/>
  <c r="BN99" i="5"/>
  <c r="BM99" i="5"/>
  <c r="BL99" i="5"/>
  <c r="BJ99" i="5"/>
  <c r="BI99" i="5"/>
  <c r="BH99" i="5"/>
  <c r="BG99" i="5"/>
  <c r="BE99" i="5"/>
  <c r="BD99" i="5"/>
  <c r="BC99" i="5"/>
  <c r="BB99" i="5"/>
  <c r="AZ99" i="5"/>
  <c r="AY99" i="5"/>
  <c r="AX99" i="5"/>
  <c r="AW99" i="5"/>
  <c r="AU99" i="5"/>
  <c r="AT99" i="5"/>
  <c r="AS99" i="5"/>
  <c r="AR99" i="5"/>
  <c r="AP99" i="5"/>
  <c r="AO99" i="5"/>
  <c r="AN99" i="5"/>
  <c r="AM99" i="5"/>
  <c r="AK99" i="5"/>
  <c r="AJ99" i="5"/>
  <c r="AI99" i="5"/>
  <c r="AH99" i="5"/>
  <c r="AF99" i="5"/>
  <c r="AE99" i="5"/>
  <c r="AD99" i="5"/>
  <c r="AC99" i="5"/>
  <c r="AA99" i="5"/>
  <c r="Z99" i="5"/>
  <c r="Y99" i="5"/>
  <c r="X99" i="5"/>
  <c r="V99" i="5"/>
  <c r="U99" i="5"/>
  <c r="T99" i="5"/>
  <c r="S99" i="5"/>
  <c r="Q99" i="5"/>
  <c r="P99" i="5"/>
  <c r="O99" i="5"/>
  <c r="N99" i="5"/>
  <c r="BT98" i="5"/>
  <c r="BS98" i="5"/>
  <c r="BR98" i="5"/>
  <c r="BQ98" i="5"/>
  <c r="BO98" i="5"/>
  <c r="BN98" i="5"/>
  <c r="BM98" i="5"/>
  <c r="BL98" i="5"/>
  <c r="BJ98" i="5"/>
  <c r="BI98" i="5"/>
  <c r="BH98" i="5"/>
  <c r="BG98" i="5"/>
  <c r="BE98" i="5"/>
  <c r="BD98" i="5"/>
  <c r="BC98" i="5"/>
  <c r="BB98" i="5"/>
  <c r="AZ98" i="5"/>
  <c r="AY98" i="5"/>
  <c r="AX98" i="5"/>
  <c r="AW98" i="5"/>
  <c r="AU98" i="5"/>
  <c r="AT98" i="5"/>
  <c r="AS98" i="5"/>
  <c r="AR98" i="5"/>
  <c r="AP98" i="5"/>
  <c r="AO98" i="5"/>
  <c r="AN98" i="5"/>
  <c r="AM98" i="5"/>
  <c r="AK98" i="5"/>
  <c r="AJ98" i="5"/>
  <c r="AI98" i="5"/>
  <c r="AH98" i="5"/>
  <c r="AF98" i="5"/>
  <c r="AE98" i="5"/>
  <c r="AD98" i="5"/>
  <c r="AC98" i="5"/>
  <c r="AA98" i="5"/>
  <c r="Z98" i="5"/>
  <c r="Y98" i="5"/>
  <c r="X98" i="5"/>
  <c r="V98" i="5"/>
  <c r="U98" i="5"/>
  <c r="T98" i="5"/>
  <c r="S98" i="5"/>
  <c r="Q98" i="5"/>
  <c r="P98" i="5"/>
  <c r="O98" i="5"/>
  <c r="N98" i="5"/>
  <c r="BW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BW96" i="5"/>
  <c r="BT96" i="5"/>
  <c r="BS96" i="5"/>
  <c r="BR96" i="5"/>
  <c r="BQ96" i="5"/>
  <c r="BO96" i="5"/>
  <c r="BN96" i="5"/>
  <c r="BM96" i="5"/>
  <c r="BL96" i="5"/>
  <c r="BJ96" i="5"/>
  <c r="BI96" i="5"/>
  <c r="BH96" i="5"/>
  <c r="BG96" i="5"/>
  <c r="BE96" i="5"/>
  <c r="BD96" i="5"/>
  <c r="BC96" i="5"/>
  <c r="BB96" i="5"/>
  <c r="AZ96" i="5"/>
  <c r="AY96" i="5"/>
  <c r="AX96" i="5"/>
  <c r="AW96" i="5"/>
  <c r="AU96" i="5"/>
  <c r="AT96" i="5"/>
  <c r="AS96" i="5"/>
  <c r="AR96" i="5"/>
  <c r="AP96" i="5"/>
  <c r="AO96" i="5"/>
  <c r="AN96" i="5"/>
  <c r="AM96" i="5"/>
  <c r="AK96" i="5"/>
  <c r="AJ96" i="5"/>
  <c r="AI96" i="5"/>
  <c r="AH96" i="5"/>
  <c r="AF96" i="5"/>
  <c r="AE96" i="5"/>
  <c r="AD96" i="5"/>
  <c r="AC96" i="5"/>
  <c r="AA96" i="5"/>
  <c r="Z96" i="5"/>
  <c r="Y96" i="5"/>
  <c r="X96" i="5"/>
  <c r="V96" i="5"/>
  <c r="U96" i="5"/>
  <c r="T96" i="5"/>
  <c r="S96" i="5"/>
  <c r="Q96" i="5"/>
  <c r="P96" i="5"/>
  <c r="O96" i="5"/>
  <c r="N96" i="5"/>
  <c r="BT95" i="5"/>
  <c r="BS95" i="5"/>
  <c r="BR95" i="5"/>
  <c r="BQ95" i="5"/>
  <c r="BO95" i="5"/>
  <c r="BN95" i="5"/>
  <c r="BM95" i="5"/>
  <c r="BL95" i="5"/>
  <c r="BJ95" i="5"/>
  <c r="BI95" i="5"/>
  <c r="BH95" i="5"/>
  <c r="BG95" i="5"/>
  <c r="BE95" i="5"/>
  <c r="BD95" i="5"/>
  <c r="BC95" i="5"/>
  <c r="BB95" i="5"/>
  <c r="AZ95" i="5"/>
  <c r="AY95" i="5"/>
  <c r="AX95" i="5"/>
  <c r="AW95" i="5"/>
  <c r="AU95" i="5"/>
  <c r="AT95" i="5"/>
  <c r="AS95" i="5"/>
  <c r="AR95" i="5"/>
  <c r="AP95" i="5"/>
  <c r="AO95" i="5"/>
  <c r="AN95" i="5"/>
  <c r="AM95" i="5"/>
  <c r="AK95" i="5"/>
  <c r="AJ95" i="5"/>
  <c r="AI95" i="5"/>
  <c r="AH95" i="5"/>
  <c r="AF95" i="5"/>
  <c r="AE95" i="5"/>
  <c r="AD95" i="5"/>
  <c r="AC95" i="5"/>
  <c r="AA95" i="5"/>
  <c r="Z95" i="5"/>
  <c r="Y95" i="5"/>
  <c r="X95" i="5"/>
  <c r="V95" i="5"/>
  <c r="U95" i="5"/>
  <c r="T95" i="5"/>
  <c r="S95" i="5"/>
  <c r="Q95" i="5"/>
  <c r="P95" i="5"/>
  <c r="O95" i="5"/>
  <c r="N95" i="5"/>
  <c r="BT94" i="5"/>
  <c r="BS94" i="5"/>
  <c r="BR94" i="5"/>
  <c r="BQ94" i="5"/>
  <c r="BO94" i="5"/>
  <c r="BN94" i="5"/>
  <c r="BM94" i="5"/>
  <c r="BL94" i="5"/>
  <c r="BJ94" i="5"/>
  <c r="BI94" i="5"/>
  <c r="BH94" i="5"/>
  <c r="BG94" i="5"/>
  <c r="BE94" i="5"/>
  <c r="BD94" i="5"/>
  <c r="BC94" i="5"/>
  <c r="BB94" i="5"/>
  <c r="AZ94" i="5"/>
  <c r="AY94" i="5"/>
  <c r="AX94" i="5"/>
  <c r="AW94" i="5"/>
  <c r="AU94" i="5"/>
  <c r="AT94" i="5"/>
  <c r="AS94" i="5"/>
  <c r="AR94" i="5"/>
  <c r="AP94" i="5"/>
  <c r="AO94" i="5"/>
  <c r="AN94" i="5"/>
  <c r="AM94" i="5"/>
  <c r="AK94" i="5"/>
  <c r="AJ94" i="5"/>
  <c r="AI94" i="5"/>
  <c r="AH94" i="5"/>
  <c r="AF94" i="5"/>
  <c r="AE94" i="5"/>
  <c r="AD94" i="5"/>
  <c r="AC94" i="5"/>
  <c r="AA94" i="5"/>
  <c r="Z94" i="5"/>
  <c r="Y94" i="5"/>
  <c r="X94" i="5"/>
  <c r="V94" i="5"/>
  <c r="U94" i="5"/>
  <c r="T94" i="5"/>
  <c r="S94" i="5"/>
  <c r="Q94" i="5"/>
  <c r="P94" i="5"/>
  <c r="O94" i="5"/>
  <c r="N94" i="5"/>
  <c r="BT93" i="5"/>
  <c r="BS93" i="5"/>
  <c r="BR93" i="5"/>
  <c r="BQ93" i="5"/>
  <c r="BO93" i="5"/>
  <c r="BN93" i="5"/>
  <c r="BM93" i="5"/>
  <c r="BL93" i="5"/>
  <c r="BJ93" i="5"/>
  <c r="BI93" i="5"/>
  <c r="BH93" i="5"/>
  <c r="BG93" i="5"/>
  <c r="BE93" i="5"/>
  <c r="BD93" i="5"/>
  <c r="BC93" i="5"/>
  <c r="BB93" i="5"/>
  <c r="AZ93" i="5"/>
  <c r="AY93" i="5"/>
  <c r="AX93" i="5"/>
  <c r="AW93" i="5"/>
  <c r="AU93" i="5"/>
  <c r="AT93" i="5"/>
  <c r="AS93" i="5"/>
  <c r="AR93" i="5"/>
  <c r="AP93" i="5"/>
  <c r="AO93" i="5"/>
  <c r="AN93" i="5"/>
  <c r="AM93" i="5"/>
  <c r="AK93" i="5"/>
  <c r="AJ93" i="5"/>
  <c r="AI93" i="5"/>
  <c r="AH93" i="5"/>
  <c r="AF93" i="5"/>
  <c r="AE93" i="5"/>
  <c r="AD93" i="5"/>
  <c r="AC93" i="5"/>
  <c r="AA93" i="5"/>
  <c r="Z93" i="5"/>
  <c r="Y93" i="5"/>
  <c r="X93" i="5"/>
  <c r="V93" i="5"/>
  <c r="U93" i="5"/>
  <c r="T93" i="5"/>
  <c r="S93" i="5"/>
  <c r="Q93" i="5"/>
  <c r="P93" i="5"/>
  <c r="O93" i="5"/>
  <c r="N93"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BT84" i="5"/>
  <c r="BS84" i="5"/>
  <c r="BR84" i="5"/>
  <c r="BQ84" i="5"/>
  <c r="BO84" i="5"/>
  <c r="BN84" i="5"/>
  <c r="BM84" i="5"/>
  <c r="BL84" i="5"/>
  <c r="BJ84" i="5"/>
  <c r="BI84" i="5"/>
  <c r="BH84" i="5"/>
  <c r="BG84" i="5"/>
  <c r="BE84" i="5"/>
  <c r="BD84" i="5"/>
  <c r="BC84" i="5"/>
  <c r="BB84" i="5"/>
  <c r="AZ84" i="5"/>
  <c r="AY84" i="5"/>
  <c r="AX84" i="5"/>
  <c r="AW84" i="5"/>
  <c r="AU84" i="5"/>
  <c r="AT84" i="5"/>
  <c r="AS84" i="5"/>
  <c r="AR84" i="5"/>
  <c r="AP84" i="5"/>
  <c r="AO84" i="5"/>
  <c r="AN84" i="5"/>
  <c r="AM84" i="5"/>
  <c r="AK84" i="5"/>
  <c r="AJ84" i="5"/>
  <c r="AI84" i="5"/>
  <c r="AH84" i="5"/>
  <c r="AF84" i="5"/>
  <c r="AE84" i="5"/>
  <c r="AD84" i="5"/>
  <c r="AC84" i="5"/>
  <c r="AA84" i="5"/>
  <c r="Z84" i="5"/>
  <c r="Y84" i="5"/>
  <c r="X84" i="5"/>
  <c r="V84" i="5"/>
  <c r="U84" i="5"/>
  <c r="T84" i="5"/>
  <c r="S84" i="5"/>
  <c r="Q84" i="5"/>
  <c r="P84" i="5"/>
  <c r="O84" i="5"/>
  <c r="N84" i="5"/>
  <c r="BT83" i="5"/>
  <c r="BS83" i="5"/>
  <c r="BR83" i="5"/>
  <c r="BQ83" i="5"/>
  <c r="BO83" i="5"/>
  <c r="BN83" i="5"/>
  <c r="BM83" i="5"/>
  <c r="BL83" i="5"/>
  <c r="BJ83" i="5"/>
  <c r="BI83" i="5"/>
  <c r="BH83" i="5"/>
  <c r="BG83" i="5"/>
  <c r="BE83" i="5"/>
  <c r="BD83" i="5"/>
  <c r="BC83" i="5"/>
  <c r="BB83" i="5"/>
  <c r="AZ83" i="5"/>
  <c r="AY83" i="5"/>
  <c r="AX83" i="5"/>
  <c r="AW83" i="5"/>
  <c r="AU83" i="5"/>
  <c r="AT83" i="5"/>
  <c r="AS83" i="5"/>
  <c r="AR83" i="5"/>
  <c r="AP83" i="5"/>
  <c r="AO83" i="5"/>
  <c r="AN83" i="5"/>
  <c r="AM83" i="5"/>
  <c r="AK83" i="5"/>
  <c r="AJ83" i="5"/>
  <c r="AI83" i="5"/>
  <c r="AH83" i="5"/>
  <c r="AF83" i="5"/>
  <c r="AE83" i="5"/>
  <c r="AD83" i="5"/>
  <c r="AC83" i="5"/>
  <c r="AA83" i="5"/>
  <c r="Z83" i="5"/>
  <c r="Y83" i="5"/>
  <c r="X83" i="5"/>
  <c r="V83" i="5"/>
  <c r="U83" i="5"/>
  <c r="T83" i="5"/>
  <c r="S83" i="5"/>
  <c r="Q83" i="5"/>
  <c r="P83" i="5"/>
  <c r="O83" i="5"/>
  <c r="N83" i="5"/>
  <c r="ET78" i="5"/>
  <c r="ET76" i="5"/>
  <c r="EM75" i="5"/>
  <c r="EH75" i="5"/>
  <c r="EC75" i="5"/>
  <c r="DX75" i="5"/>
  <c r="DS75" i="5"/>
  <c r="DN75" i="5"/>
  <c r="DI75" i="5"/>
  <c r="DD75" i="5"/>
  <c r="CY75" i="5"/>
  <c r="CT75" i="5"/>
  <c r="CO75" i="5"/>
  <c r="CJ75" i="5"/>
  <c r="CE75" i="5"/>
  <c r="BZ75" i="5"/>
  <c r="BU75" i="5"/>
  <c r="BP75" i="5"/>
  <c r="BK75" i="5"/>
  <c r="BF75" i="5"/>
  <c r="BA75" i="5"/>
  <c r="AV75" i="5"/>
  <c r="AQ75" i="5"/>
  <c r="AL75" i="5"/>
  <c r="AG75" i="5"/>
  <c r="AB75" i="5"/>
  <c r="W75" i="5"/>
  <c r="R75" i="5"/>
  <c r="M75" i="5"/>
  <c r="H75" i="5"/>
  <c r="ET74" i="5"/>
  <c r="EM73" i="5"/>
  <c r="ET73" i="5" s="1"/>
  <c r="EH73" i="5"/>
  <c r="EC73" i="5"/>
  <c r="DX73" i="5"/>
  <c r="DS73" i="5"/>
  <c r="DN73" i="5"/>
  <c r="DI73" i="5"/>
  <c r="DD73" i="5"/>
  <c r="CY73" i="5"/>
  <c r="CT73" i="5"/>
  <c r="CO73" i="5"/>
  <c r="CJ73" i="5"/>
  <c r="CE73" i="5"/>
  <c r="BZ73" i="5"/>
  <c r="BU73" i="5"/>
  <c r="BP73" i="5"/>
  <c r="BK73" i="5"/>
  <c r="BF73" i="5"/>
  <c r="BA73" i="5"/>
  <c r="AV73" i="5"/>
  <c r="AQ73" i="5"/>
  <c r="AL73" i="5"/>
  <c r="AG73" i="5"/>
  <c r="AB73" i="5"/>
  <c r="W73" i="5"/>
  <c r="R73" i="5"/>
  <c r="M73" i="5"/>
  <c r="H73" i="5"/>
  <c r="EM72" i="5"/>
  <c r="EH72" i="5"/>
  <c r="EC72" i="5"/>
  <c r="DX72" i="5"/>
  <c r="DS72" i="5"/>
  <c r="DN72" i="5"/>
  <c r="DN67" i="5" s="1"/>
  <c r="DI72" i="5"/>
  <c r="DD72" i="5"/>
  <c r="CY72" i="5"/>
  <c r="CT72" i="5"/>
  <c r="CO72" i="5"/>
  <c r="CJ72" i="5"/>
  <c r="CE72" i="5"/>
  <c r="BZ72" i="5"/>
  <c r="BU72" i="5"/>
  <c r="BP72" i="5"/>
  <c r="BK72" i="5"/>
  <c r="BF72" i="5"/>
  <c r="BA72" i="5"/>
  <c r="AV72" i="5"/>
  <c r="AQ72" i="5"/>
  <c r="AL72" i="5"/>
  <c r="AG72" i="5"/>
  <c r="AB72" i="5"/>
  <c r="W72" i="5"/>
  <c r="R72" i="5"/>
  <c r="M72" i="5"/>
  <c r="H72" i="5"/>
  <c r="EM71" i="5"/>
  <c r="EH71" i="5"/>
  <c r="EC71" i="5"/>
  <c r="DX71" i="5"/>
  <c r="DS71" i="5"/>
  <c r="DN71" i="5"/>
  <c r="DI71" i="5"/>
  <c r="DD71" i="5"/>
  <c r="CY71" i="5"/>
  <c r="CT71" i="5"/>
  <c r="CO71" i="5"/>
  <c r="CJ71" i="5"/>
  <c r="CE71" i="5"/>
  <c r="BZ71" i="5"/>
  <c r="BU71" i="5"/>
  <c r="BP71" i="5"/>
  <c r="BK71" i="5"/>
  <c r="BF71" i="5"/>
  <c r="BA71" i="5"/>
  <c r="AV71" i="5"/>
  <c r="AQ71" i="5"/>
  <c r="AL71" i="5"/>
  <c r="AG71" i="5"/>
  <c r="AB71" i="5"/>
  <c r="W71" i="5"/>
  <c r="R71" i="5"/>
  <c r="M71" i="5"/>
  <c r="H71" i="5"/>
  <c r="EM70" i="5"/>
  <c r="EH70" i="5"/>
  <c r="EC70" i="5"/>
  <c r="DX70" i="5"/>
  <c r="DS70" i="5"/>
  <c r="DN70" i="5"/>
  <c r="DI70" i="5"/>
  <c r="DD70" i="5"/>
  <c r="CY70" i="5"/>
  <c r="CT70" i="5"/>
  <c r="CO70" i="5"/>
  <c r="CJ70" i="5"/>
  <c r="CE70" i="5"/>
  <c r="BZ70" i="5"/>
  <c r="ET70" i="5" s="1"/>
  <c r="BU70" i="5"/>
  <c r="BP70" i="5"/>
  <c r="BK70" i="5"/>
  <c r="BF70" i="5"/>
  <c r="BA70" i="5"/>
  <c r="AV70" i="5"/>
  <c r="AQ70" i="5"/>
  <c r="AL70" i="5"/>
  <c r="AG70" i="5"/>
  <c r="AB70" i="5"/>
  <c r="W70" i="5"/>
  <c r="R70" i="5"/>
  <c r="M70" i="5"/>
  <c r="H70" i="5"/>
  <c r="ET69" i="5"/>
  <c r="EM68" i="5"/>
  <c r="EH68" i="5"/>
  <c r="EC68" i="5"/>
  <c r="DX68" i="5"/>
  <c r="DS68" i="5"/>
  <c r="DN68" i="5"/>
  <c r="DI68" i="5"/>
  <c r="DD68" i="5"/>
  <c r="CY68" i="5"/>
  <c r="CT68" i="5"/>
  <c r="CO68" i="5"/>
  <c r="CJ68" i="5"/>
  <c r="CE68" i="5"/>
  <c r="BZ68" i="5"/>
  <c r="ET68" i="5" s="1"/>
  <c r="BU68" i="5"/>
  <c r="BP68" i="5"/>
  <c r="BK68" i="5"/>
  <c r="BF68" i="5"/>
  <c r="BA68" i="5"/>
  <c r="AV68" i="5"/>
  <c r="AQ68" i="5"/>
  <c r="AL68" i="5"/>
  <c r="AG68" i="5"/>
  <c r="AB68" i="5"/>
  <c r="W68" i="5"/>
  <c r="R68" i="5"/>
  <c r="M68" i="5"/>
  <c r="H68" i="5"/>
  <c r="ET66" i="5"/>
  <c r="ET65" i="5"/>
  <c r="EM64" i="5"/>
  <c r="ET64" i="5" s="1"/>
  <c r="EH64" i="5"/>
  <c r="EC64" i="5"/>
  <c r="DX64" i="5"/>
  <c r="DS64" i="5"/>
  <c r="DN64" i="5"/>
  <c r="DI64" i="5"/>
  <c r="DD64" i="5"/>
  <c r="CY64" i="5"/>
  <c r="CT64" i="5"/>
  <c r="CO64" i="5"/>
  <c r="CJ64" i="5"/>
  <c r="CE64" i="5"/>
  <c r="BU64" i="5"/>
  <c r="BP64" i="5"/>
  <c r="BK64" i="5"/>
  <c r="BF64" i="5"/>
  <c r="BA64" i="5"/>
  <c r="AV64" i="5"/>
  <c r="AQ64" i="5"/>
  <c r="AL64" i="5"/>
  <c r="AG64" i="5"/>
  <c r="AB64" i="5"/>
  <c r="W64" i="5"/>
  <c r="R64" i="5"/>
  <c r="M64" i="5"/>
  <c r="EM63" i="5"/>
  <c r="ET63" i="5" s="1"/>
  <c r="EH63" i="5"/>
  <c r="EC63" i="5"/>
  <c r="DX63" i="5"/>
  <c r="DS63" i="5"/>
  <c r="DN63" i="5"/>
  <c r="DI63" i="5"/>
  <c r="DD63" i="5"/>
  <c r="CY63" i="5"/>
  <c r="CT63" i="5"/>
  <c r="CO63" i="5"/>
  <c r="CJ63" i="5"/>
  <c r="CE63" i="5"/>
  <c r="BU63" i="5"/>
  <c r="BP63" i="5"/>
  <c r="BK63" i="5"/>
  <c r="BF63" i="5"/>
  <c r="BA63" i="5"/>
  <c r="AV63" i="5"/>
  <c r="AQ63" i="5"/>
  <c r="AL63" i="5"/>
  <c r="AG63" i="5"/>
  <c r="AB63" i="5"/>
  <c r="W63" i="5"/>
  <c r="R63" i="5"/>
  <c r="M63" i="5"/>
  <c r="ET62" i="5"/>
  <c r="EM61" i="5"/>
  <c r="ET61" i="5" s="1"/>
  <c r="EH61" i="5"/>
  <c r="EC61" i="5"/>
  <c r="DX61" i="5"/>
  <c r="DS61" i="5"/>
  <c r="DN61" i="5"/>
  <c r="DN59" i="5" s="1"/>
  <c r="DI61" i="5"/>
  <c r="DD61" i="5"/>
  <c r="CY61" i="5"/>
  <c r="CT61" i="5"/>
  <c r="CO61" i="5"/>
  <c r="CJ61" i="5"/>
  <c r="CJ59" i="5" s="1"/>
  <c r="CE61" i="5"/>
  <c r="BU61" i="5"/>
  <c r="BP61" i="5"/>
  <c r="BK61" i="5"/>
  <c r="BF61" i="5"/>
  <c r="BA61" i="5"/>
  <c r="AV61" i="5"/>
  <c r="AQ61" i="5"/>
  <c r="AL61" i="5"/>
  <c r="AG61" i="5"/>
  <c r="AB61" i="5"/>
  <c r="W61" i="5"/>
  <c r="W59" i="5" s="1"/>
  <c r="R61" i="5"/>
  <c r="M61" i="5"/>
  <c r="EM60" i="5"/>
  <c r="EH60" i="5"/>
  <c r="EH59" i="5" s="1"/>
  <c r="EC60" i="5"/>
  <c r="EC59" i="5" s="1"/>
  <c r="DX60" i="5"/>
  <c r="DS60" i="5"/>
  <c r="DN60" i="5"/>
  <c r="DI60" i="5"/>
  <c r="DD60" i="5"/>
  <c r="DD59" i="5" s="1"/>
  <c r="CY60" i="5"/>
  <c r="CY59" i="5" s="1"/>
  <c r="CT60" i="5"/>
  <c r="CO60" i="5"/>
  <c r="CJ60" i="5"/>
  <c r="CE60" i="5"/>
  <c r="BU60" i="5"/>
  <c r="BU59" i="5" s="1"/>
  <c r="BP60" i="5"/>
  <c r="BP59" i="5" s="1"/>
  <c r="BK60" i="5"/>
  <c r="BF60" i="5"/>
  <c r="BA60" i="5"/>
  <c r="AV60" i="5"/>
  <c r="AQ60" i="5"/>
  <c r="AQ59" i="5" s="1"/>
  <c r="AL60" i="5"/>
  <c r="AL59" i="5" s="1"/>
  <c r="AG60" i="5"/>
  <c r="AB60" i="5"/>
  <c r="W60" i="5"/>
  <c r="R60" i="5"/>
  <c r="M60" i="5"/>
  <c r="M59" i="5" s="1"/>
  <c r="CT59" i="5"/>
  <c r="BA59" i="5"/>
  <c r="ET58" i="5"/>
  <c r="EM57" i="5"/>
  <c r="ET57" i="5" s="1"/>
  <c r="EH57" i="5"/>
  <c r="EC57" i="5"/>
  <c r="DX57" i="5"/>
  <c r="DS57" i="5"/>
  <c r="DN57" i="5"/>
  <c r="DI57" i="5"/>
  <c r="DD57" i="5"/>
  <c r="CY57" i="5"/>
  <c r="CY52" i="5" s="1"/>
  <c r="CT57" i="5"/>
  <c r="CO57" i="5"/>
  <c r="CJ57" i="5"/>
  <c r="CE57" i="5"/>
  <c r="BZ57" i="5"/>
  <c r="BU57" i="5"/>
  <c r="BP57" i="5"/>
  <c r="BK57" i="5"/>
  <c r="BF57" i="5"/>
  <c r="BA57" i="5"/>
  <c r="AV57" i="5"/>
  <c r="AQ57" i="5"/>
  <c r="AL57" i="5"/>
  <c r="AG57" i="5"/>
  <c r="AB57" i="5"/>
  <c r="W57" i="5"/>
  <c r="R57" i="5"/>
  <c r="M57" i="5"/>
  <c r="H57" i="5"/>
  <c r="EM56" i="5"/>
  <c r="ET56" i="5" s="1"/>
  <c r="EH56" i="5"/>
  <c r="EC56" i="5"/>
  <c r="DX56" i="5"/>
  <c r="DS56" i="5"/>
  <c r="DN56" i="5"/>
  <c r="DI56" i="5"/>
  <c r="DD56" i="5"/>
  <c r="CY56" i="5"/>
  <c r="CT56" i="5"/>
  <c r="CO56" i="5"/>
  <c r="CJ56" i="5"/>
  <c r="CE56" i="5"/>
  <c r="BZ56" i="5"/>
  <c r="BU56" i="5"/>
  <c r="BP56" i="5"/>
  <c r="BK56" i="5"/>
  <c r="BF56" i="5"/>
  <c r="BA56" i="5"/>
  <c r="AV56" i="5"/>
  <c r="AQ56" i="5"/>
  <c r="AL56" i="5"/>
  <c r="AG56" i="5"/>
  <c r="AB56" i="5"/>
  <c r="W56" i="5"/>
  <c r="R56" i="5"/>
  <c r="M56" i="5"/>
  <c r="H56" i="5"/>
  <c r="ET55" i="5"/>
  <c r="EM54" i="5"/>
  <c r="ET54" i="5" s="1"/>
  <c r="EH54" i="5"/>
  <c r="EC54" i="5"/>
  <c r="DX54" i="5"/>
  <c r="DS54" i="5"/>
  <c r="DN54" i="5"/>
  <c r="DI54" i="5"/>
  <c r="DD54" i="5"/>
  <c r="CY54" i="5"/>
  <c r="CT54" i="5"/>
  <c r="CO54" i="5"/>
  <c r="CJ54" i="5"/>
  <c r="CE54" i="5"/>
  <c r="BU54" i="5"/>
  <c r="BP54" i="5"/>
  <c r="BK54" i="5"/>
  <c r="BF54" i="5"/>
  <c r="BA54" i="5"/>
  <c r="AV54" i="5"/>
  <c r="AQ54" i="5"/>
  <c r="AL54" i="5"/>
  <c r="AG54" i="5"/>
  <c r="AB54" i="5"/>
  <c r="AB52" i="5" s="1"/>
  <c r="W54" i="5"/>
  <c r="R54" i="5"/>
  <c r="M54" i="5"/>
  <c r="H54" i="5"/>
  <c r="EM53" i="5"/>
  <c r="EH53" i="5"/>
  <c r="EC53" i="5"/>
  <c r="DX53" i="5"/>
  <c r="DS53" i="5"/>
  <c r="DN53" i="5"/>
  <c r="DI53" i="5"/>
  <c r="DD53" i="5"/>
  <c r="CY53" i="5"/>
  <c r="CT53" i="5"/>
  <c r="CO53" i="5"/>
  <c r="CJ53" i="5"/>
  <c r="CE53" i="5"/>
  <c r="BZ53" i="5"/>
  <c r="BU53" i="5"/>
  <c r="BP53" i="5"/>
  <c r="BK53" i="5"/>
  <c r="BF53" i="5"/>
  <c r="BA53" i="5"/>
  <c r="AV53" i="5"/>
  <c r="AQ53" i="5"/>
  <c r="AL53" i="5"/>
  <c r="AG53" i="5"/>
  <c r="AB53" i="5"/>
  <c r="W53" i="5"/>
  <c r="R53" i="5"/>
  <c r="M53" i="5"/>
  <c r="H53" i="5"/>
  <c r="ET51" i="5"/>
  <c r="ET50" i="5"/>
  <c r="EM50" i="5"/>
  <c r="EH50" i="5"/>
  <c r="EC50" i="5"/>
  <c r="DX50" i="5"/>
  <c r="DS50" i="5"/>
  <c r="DN50" i="5"/>
  <c r="DI50" i="5"/>
  <c r="DD50" i="5"/>
  <c r="CY50" i="5"/>
  <c r="CT50" i="5"/>
  <c r="CO50" i="5"/>
  <c r="CJ50" i="5"/>
  <c r="CJ45" i="5" s="1"/>
  <c r="CE50" i="5"/>
  <c r="BZ50" i="5"/>
  <c r="BU50" i="5"/>
  <c r="BP50" i="5"/>
  <c r="BK50" i="5"/>
  <c r="BF50" i="5"/>
  <c r="BA50" i="5"/>
  <c r="AV50" i="5"/>
  <c r="AQ50" i="5"/>
  <c r="AL50" i="5"/>
  <c r="AG50" i="5"/>
  <c r="AB50" i="5"/>
  <c r="W50" i="5"/>
  <c r="R50" i="5"/>
  <c r="M50" i="5"/>
  <c r="H50" i="5"/>
  <c r="EM49" i="5"/>
  <c r="ET49" i="5" s="1"/>
  <c r="EH49" i="5"/>
  <c r="EC49" i="5"/>
  <c r="DX49" i="5"/>
  <c r="DS49" i="5"/>
  <c r="DN49" i="5"/>
  <c r="DI49" i="5"/>
  <c r="DD49" i="5"/>
  <c r="CY49" i="5"/>
  <c r="CT49" i="5"/>
  <c r="CO49" i="5"/>
  <c r="CJ49" i="5"/>
  <c r="CE49" i="5"/>
  <c r="BZ49" i="5"/>
  <c r="BU49" i="5"/>
  <c r="BP49" i="5"/>
  <c r="BK49" i="5"/>
  <c r="BF49" i="5"/>
  <c r="BA49" i="5"/>
  <c r="AV49" i="5"/>
  <c r="AQ49" i="5"/>
  <c r="AL49" i="5"/>
  <c r="AG49" i="5"/>
  <c r="AB49" i="5"/>
  <c r="W49" i="5"/>
  <c r="R49" i="5"/>
  <c r="M49" i="5"/>
  <c r="H49" i="5"/>
  <c r="ET48" i="5"/>
  <c r="EM47" i="5"/>
  <c r="ET47" i="5" s="1"/>
  <c r="EH47" i="5"/>
  <c r="EC47" i="5"/>
  <c r="DX47" i="5"/>
  <c r="DX45" i="5" s="1"/>
  <c r="DS47" i="5"/>
  <c r="DN47" i="5"/>
  <c r="DI47" i="5"/>
  <c r="DI45" i="5" s="1"/>
  <c r="DD47" i="5"/>
  <c r="CY47" i="5"/>
  <c r="CT47" i="5"/>
  <c r="CT45" i="5" s="1"/>
  <c r="CO47" i="5"/>
  <c r="CJ47" i="5"/>
  <c r="CE47" i="5"/>
  <c r="BZ47" i="5"/>
  <c r="BU47" i="5"/>
  <c r="BP47" i="5"/>
  <c r="BP45" i="5" s="1"/>
  <c r="BK47" i="5"/>
  <c r="BF47" i="5"/>
  <c r="BA47" i="5"/>
  <c r="AV47" i="5"/>
  <c r="AQ47" i="5"/>
  <c r="AL47" i="5"/>
  <c r="AL45" i="5" s="1"/>
  <c r="AG47" i="5"/>
  <c r="AB47" i="5"/>
  <c r="W47" i="5"/>
  <c r="W45" i="5" s="1"/>
  <c r="R47" i="5"/>
  <c r="M47" i="5"/>
  <c r="H47" i="5"/>
  <c r="H45" i="5" s="1"/>
  <c r="EM46" i="5"/>
  <c r="EH46" i="5"/>
  <c r="EH45" i="5" s="1"/>
  <c r="EC46" i="5"/>
  <c r="DX46" i="5"/>
  <c r="DS46" i="5"/>
  <c r="DN46" i="5"/>
  <c r="DI46" i="5"/>
  <c r="DD46" i="5"/>
  <c r="DD45" i="5" s="1"/>
  <c r="CY46" i="5"/>
  <c r="CT46" i="5"/>
  <c r="CO46" i="5"/>
  <c r="CJ46" i="5"/>
  <c r="CE46" i="5"/>
  <c r="BZ46" i="5"/>
  <c r="BU46" i="5"/>
  <c r="BP46" i="5"/>
  <c r="BK46" i="5"/>
  <c r="BF46" i="5"/>
  <c r="BF45" i="5" s="1"/>
  <c r="BA46" i="5"/>
  <c r="AV46" i="5"/>
  <c r="AV45" i="5" s="1"/>
  <c r="AQ46" i="5"/>
  <c r="AL46" i="5"/>
  <c r="AG46" i="5"/>
  <c r="AB46" i="5"/>
  <c r="W46" i="5"/>
  <c r="R46" i="5"/>
  <c r="R45" i="5" s="1"/>
  <c r="M46" i="5"/>
  <c r="H46" i="5"/>
  <c r="BZ45" i="5"/>
  <c r="ET43" i="5"/>
  <c r="ET42" i="5"/>
  <c r="ET41" i="5"/>
  <c r="EM40" i="5"/>
  <c r="EM39" i="5" s="1"/>
  <c r="ET39" i="5" s="1"/>
  <c r="EH40" i="5"/>
  <c r="EH39" i="5" s="1"/>
  <c r="EC40" i="5"/>
  <c r="DX40" i="5"/>
  <c r="DS40" i="5"/>
  <c r="DS39" i="5" s="1"/>
  <c r="DN40" i="5"/>
  <c r="DN39" i="5" s="1"/>
  <c r="DI40" i="5"/>
  <c r="DI39" i="5" s="1"/>
  <c r="DD40" i="5"/>
  <c r="DD39" i="5" s="1"/>
  <c r="CY40" i="5"/>
  <c r="CT40" i="5"/>
  <c r="CT39" i="5" s="1"/>
  <c r="CO40" i="5"/>
  <c r="CO39" i="5" s="1"/>
  <c r="CJ40" i="5"/>
  <c r="CJ39" i="5" s="1"/>
  <c r="CE40" i="5"/>
  <c r="CE39" i="5" s="1"/>
  <c r="BU40" i="5"/>
  <c r="BU111" i="5" s="1"/>
  <c r="BP40" i="5"/>
  <c r="BK40" i="5"/>
  <c r="BK111" i="5" s="1"/>
  <c r="BF40" i="5"/>
  <c r="BA40" i="5"/>
  <c r="AV40" i="5"/>
  <c r="AV39" i="5" s="1"/>
  <c r="AV110" i="5" s="1"/>
  <c r="AQ40" i="5"/>
  <c r="AQ39" i="5" s="1"/>
  <c r="AQ110" i="5" s="1"/>
  <c r="AL40" i="5"/>
  <c r="AG40" i="5"/>
  <c r="AG111" i="5" s="1"/>
  <c r="AB40" i="5"/>
  <c r="W40" i="5"/>
  <c r="R40" i="5"/>
  <c r="R39" i="5" s="1"/>
  <c r="R110" i="5" s="1"/>
  <c r="M40" i="5"/>
  <c r="M111" i="5" s="1"/>
  <c r="EC39" i="5"/>
  <c r="DX39" i="5"/>
  <c r="CY39" i="5"/>
  <c r="BU39" i="5"/>
  <c r="BU110" i="5" s="1"/>
  <c r="BP39" i="5"/>
  <c r="AL39" i="5"/>
  <c r="M39" i="5"/>
  <c r="M110" i="5" s="1"/>
  <c r="ET38" i="5"/>
  <c r="EM37" i="5"/>
  <c r="EH37" i="5"/>
  <c r="EC37" i="5"/>
  <c r="DX37" i="5"/>
  <c r="DS37" i="5"/>
  <c r="DN37" i="5"/>
  <c r="AV108" i="5" s="1"/>
  <c r="DI37" i="5"/>
  <c r="DD37" i="5"/>
  <c r="CY37" i="5"/>
  <c r="CT37" i="5"/>
  <c r="CO37" i="5"/>
  <c r="CJ37" i="5"/>
  <c r="R108" i="5" s="1"/>
  <c r="CE37" i="5"/>
  <c r="BZ37" i="5"/>
  <c r="BU37" i="5"/>
  <c r="BP37" i="5"/>
  <c r="BK37" i="5"/>
  <c r="BK108" i="5" s="1"/>
  <c r="BF37" i="5"/>
  <c r="BF108" i="5" s="1"/>
  <c r="BA37" i="5"/>
  <c r="AV37" i="5"/>
  <c r="AQ37" i="5"/>
  <c r="AL37" i="5"/>
  <c r="AG37" i="5"/>
  <c r="AG108" i="5" s="1"/>
  <c r="AB37" i="5"/>
  <c r="AB108" i="5" s="1"/>
  <c r="W37" i="5"/>
  <c r="R37" i="5"/>
  <c r="M37" i="5"/>
  <c r="H37" i="5"/>
  <c r="EM36" i="5"/>
  <c r="BU107" i="5" s="1"/>
  <c r="EH36" i="5"/>
  <c r="EH35" i="5" s="1"/>
  <c r="EC36" i="5"/>
  <c r="DX36" i="5"/>
  <c r="DS36" i="5"/>
  <c r="DN36" i="5"/>
  <c r="DI36" i="5"/>
  <c r="DD36" i="5"/>
  <c r="DD35" i="5" s="1"/>
  <c r="CY36" i="5"/>
  <c r="CT36" i="5"/>
  <c r="CO36" i="5"/>
  <c r="CJ36" i="5"/>
  <c r="CE36" i="5"/>
  <c r="M107" i="5" s="1"/>
  <c r="BZ36" i="5"/>
  <c r="BZ35" i="5" s="1"/>
  <c r="BU36" i="5"/>
  <c r="BP36" i="5"/>
  <c r="BK36" i="5"/>
  <c r="BF36" i="5"/>
  <c r="BF107" i="5" s="1"/>
  <c r="BA36" i="5"/>
  <c r="BA107" i="5" s="1"/>
  <c r="AV36" i="5"/>
  <c r="AQ36" i="5"/>
  <c r="AQ107" i="5" s="1"/>
  <c r="AL36" i="5"/>
  <c r="AG36" i="5"/>
  <c r="AB36" i="5"/>
  <c r="AB107" i="5" s="1"/>
  <c r="W36" i="5"/>
  <c r="W107" i="5" s="1"/>
  <c r="R36" i="5"/>
  <c r="M36" i="5"/>
  <c r="H36" i="5"/>
  <c r="EC35" i="5"/>
  <c r="CY35" i="5"/>
  <c r="CJ35" i="5"/>
  <c r="BU35" i="5"/>
  <c r="AQ35" i="5"/>
  <c r="AB35" i="5"/>
  <c r="M35" i="5"/>
  <c r="ET34" i="5"/>
  <c r="EM33" i="5"/>
  <c r="EH33" i="5"/>
  <c r="EC33" i="5"/>
  <c r="DX33" i="5"/>
  <c r="DS33" i="5"/>
  <c r="DN33" i="5"/>
  <c r="DI33" i="5"/>
  <c r="DD33" i="5"/>
  <c r="CY33" i="5"/>
  <c r="CT33" i="5"/>
  <c r="CO33" i="5"/>
  <c r="CJ33" i="5"/>
  <c r="CE33" i="5"/>
  <c r="BZ33" i="5"/>
  <c r="BU33" i="5"/>
  <c r="BP33" i="5"/>
  <c r="BK33" i="5"/>
  <c r="BF33" i="5"/>
  <c r="BA33" i="5"/>
  <c r="AV33" i="5"/>
  <c r="AQ33" i="5"/>
  <c r="AL33" i="5"/>
  <c r="AG33" i="5"/>
  <c r="AB33" i="5"/>
  <c r="W33" i="5"/>
  <c r="R33" i="5"/>
  <c r="R104" i="5" s="1"/>
  <c r="M33" i="5"/>
  <c r="H33" i="5"/>
  <c r="EM32" i="5"/>
  <c r="EH32" i="5"/>
  <c r="EC32" i="5"/>
  <c r="DX32" i="5"/>
  <c r="DS32" i="5"/>
  <c r="DN32" i="5"/>
  <c r="DI32" i="5"/>
  <c r="DD32" i="5"/>
  <c r="CY32" i="5"/>
  <c r="CT32" i="5"/>
  <c r="CO32" i="5"/>
  <c r="CJ32" i="5"/>
  <c r="CE32" i="5"/>
  <c r="BZ32" i="5"/>
  <c r="BU32" i="5"/>
  <c r="BU103" i="5" s="1"/>
  <c r="BP32" i="5"/>
  <c r="BP103" i="5" s="1"/>
  <c r="BK32" i="5"/>
  <c r="BF32" i="5"/>
  <c r="BA32" i="5"/>
  <c r="AV32" i="5"/>
  <c r="AQ32" i="5"/>
  <c r="AQ103" i="5" s="1"/>
  <c r="AL32" i="5"/>
  <c r="AG32" i="5"/>
  <c r="AB32" i="5"/>
  <c r="W32" i="5"/>
  <c r="R32" i="5"/>
  <c r="M32" i="5"/>
  <c r="M103" i="5" s="1"/>
  <c r="H32" i="5"/>
  <c r="EM31" i="5"/>
  <c r="EH31" i="5"/>
  <c r="EC31" i="5"/>
  <c r="DX31" i="5"/>
  <c r="DS31" i="5"/>
  <c r="DN31" i="5"/>
  <c r="DI31" i="5"/>
  <c r="DD31" i="5"/>
  <c r="DD30" i="5" s="1"/>
  <c r="CY31" i="5"/>
  <c r="CT31" i="5"/>
  <c r="CO31" i="5"/>
  <c r="CJ31" i="5"/>
  <c r="CE31" i="5"/>
  <c r="BZ31" i="5"/>
  <c r="BZ30" i="5" s="1"/>
  <c r="BU31" i="5"/>
  <c r="BP31" i="5"/>
  <c r="BK31" i="5"/>
  <c r="BF31" i="5"/>
  <c r="BA31" i="5"/>
  <c r="AV31" i="5"/>
  <c r="AV102" i="5" s="1"/>
  <c r="AQ31" i="5"/>
  <c r="AL31" i="5"/>
  <c r="AG31" i="5"/>
  <c r="AB31" i="5"/>
  <c r="W31" i="5"/>
  <c r="R31" i="5"/>
  <c r="R102" i="5" s="1"/>
  <c r="M31" i="5"/>
  <c r="H31" i="5"/>
  <c r="AQ30" i="5"/>
  <c r="ET29" i="5"/>
  <c r="EM28" i="5"/>
  <c r="ET28" i="5" s="1"/>
  <c r="EH28" i="5"/>
  <c r="EC28" i="5"/>
  <c r="DX28" i="5"/>
  <c r="DS28" i="5"/>
  <c r="DN28" i="5"/>
  <c r="DI28" i="5"/>
  <c r="DD28" i="5"/>
  <c r="CY28" i="5"/>
  <c r="CT28" i="5"/>
  <c r="CO28" i="5"/>
  <c r="CJ28" i="5"/>
  <c r="CE28" i="5"/>
  <c r="BU28" i="5"/>
  <c r="BP28" i="5"/>
  <c r="BP99" i="5" s="1"/>
  <c r="BK28" i="5"/>
  <c r="BF28" i="5"/>
  <c r="BF99" i="5" s="1"/>
  <c r="BA28" i="5"/>
  <c r="AV28" i="5"/>
  <c r="AV99" i="5" s="1"/>
  <c r="AQ28" i="5"/>
  <c r="AL28" i="5"/>
  <c r="AL99" i="5" s="1"/>
  <c r="AG28" i="5"/>
  <c r="AB28" i="5"/>
  <c r="W28" i="5"/>
  <c r="R28" i="5"/>
  <c r="R99" i="5" s="1"/>
  <c r="M28" i="5"/>
  <c r="H28" i="5"/>
  <c r="EM27" i="5"/>
  <c r="ET27" i="5" s="1"/>
  <c r="EH27" i="5"/>
  <c r="EC27" i="5"/>
  <c r="DX27" i="5"/>
  <c r="DS27" i="5"/>
  <c r="DN27" i="5"/>
  <c r="DI27" i="5"/>
  <c r="DD27" i="5"/>
  <c r="CY27" i="5"/>
  <c r="CT27" i="5"/>
  <c r="CO27" i="5"/>
  <c r="CJ27" i="5"/>
  <c r="CE27" i="5"/>
  <c r="BZ27" i="5"/>
  <c r="BU27" i="5"/>
  <c r="BP27" i="5"/>
  <c r="BK27" i="5"/>
  <c r="BK98" i="5" s="1"/>
  <c r="BF27" i="5"/>
  <c r="BF98" i="5" s="1"/>
  <c r="BA27" i="5"/>
  <c r="BA98" i="5" s="1"/>
  <c r="AV27" i="5"/>
  <c r="AQ27" i="5"/>
  <c r="AL27" i="5"/>
  <c r="AG27" i="5"/>
  <c r="AG98" i="5" s="1"/>
  <c r="AB27" i="5"/>
  <c r="AB98" i="5" s="1"/>
  <c r="W27" i="5"/>
  <c r="W98" i="5" s="1"/>
  <c r="R27" i="5"/>
  <c r="M27" i="5"/>
  <c r="H27" i="5"/>
  <c r="EM26" i="5"/>
  <c r="EM24" i="5" s="1"/>
  <c r="EH26" i="5"/>
  <c r="BP96" i="5" s="1"/>
  <c r="EC26" i="5"/>
  <c r="DX26" i="5"/>
  <c r="DS26" i="5"/>
  <c r="DN26" i="5"/>
  <c r="DI26" i="5"/>
  <c r="DI24" i="5" s="1"/>
  <c r="DD26" i="5"/>
  <c r="DD24" i="5" s="1"/>
  <c r="DD23" i="5" s="1"/>
  <c r="CY26" i="5"/>
  <c r="CT26" i="5"/>
  <c r="CO26" i="5"/>
  <c r="CJ26" i="5"/>
  <c r="CE26" i="5"/>
  <c r="BZ26" i="5"/>
  <c r="BU26" i="5"/>
  <c r="BU96" i="5" s="1"/>
  <c r="BP26" i="5"/>
  <c r="BK26" i="5"/>
  <c r="BK96" i="5" s="1"/>
  <c r="BF26" i="5"/>
  <c r="BF96" i="5" s="1"/>
  <c r="BA26" i="5"/>
  <c r="BA24" i="5" s="1"/>
  <c r="AV26" i="5"/>
  <c r="AQ26" i="5"/>
  <c r="AL26" i="5"/>
  <c r="AG26" i="5"/>
  <c r="AG96" i="5" s="1"/>
  <c r="AB26" i="5"/>
  <c r="AB96" i="5" s="1"/>
  <c r="W26" i="5"/>
  <c r="W24" i="5" s="1"/>
  <c r="R26" i="5"/>
  <c r="R24" i="5" s="1"/>
  <c r="M26" i="5"/>
  <c r="M96" i="5" s="1"/>
  <c r="H26" i="5"/>
  <c r="EM25" i="5"/>
  <c r="EH25" i="5"/>
  <c r="EH24" i="5" s="1"/>
  <c r="EC25" i="5"/>
  <c r="DX25" i="5"/>
  <c r="DS25" i="5"/>
  <c r="DN25" i="5"/>
  <c r="DI25" i="5"/>
  <c r="DD25" i="5"/>
  <c r="CY25" i="5"/>
  <c r="CT25" i="5"/>
  <c r="CO25" i="5"/>
  <c r="CJ25" i="5"/>
  <c r="CE25" i="5"/>
  <c r="BZ25" i="5"/>
  <c r="ET25" i="5" s="1"/>
  <c r="BU25" i="5"/>
  <c r="BP25" i="5"/>
  <c r="BP95" i="5" s="1"/>
  <c r="BK25" i="5"/>
  <c r="BF25" i="5"/>
  <c r="BA25" i="5"/>
  <c r="BA95" i="5" s="1"/>
  <c r="AV25" i="5"/>
  <c r="AV24" i="5" s="1"/>
  <c r="AQ25" i="5"/>
  <c r="AL25" i="5"/>
  <c r="AL95" i="5" s="1"/>
  <c r="AG25" i="5"/>
  <c r="AB25" i="5"/>
  <c r="W25" i="5"/>
  <c r="W95" i="5" s="1"/>
  <c r="R25" i="5"/>
  <c r="M25" i="5"/>
  <c r="H25" i="5"/>
  <c r="CE24" i="5"/>
  <c r="ET22" i="5"/>
  <c r="EM21" i="5"/>
  <c r="ET21" i="5" s="1"/>
  <c r="BU21" i="5"/>
  <c r="BU91" i="5" s="1"/>
  <c r="ET20" i="5"/>
  <c r="EM19" i="5"/>
  <c r="ET19" i="5" s="1"/>
  <c r="BU19" i="5"/>
  <c r="EM18" i="5"/>
  <c r="ET18" i="5" s="1"/>
  <c r="BU18" i="5"/>
  <c r="BU88" i="5" s="1"/>
  <c r="EM17" i="5"/>
  <c r="ET17" i="5" s="1"/>
  <c r="BU17" i="5"/>
  <c r="EM16" i="5"/>
  <c r="ET16" i="5" s="1"/>
  <c r="BU16" i="5"/>
  <c r="EM15" i="5"/>
  <c r="ET15" i="5" s="1"/>
  <c r="BU15" i="5"/>
  <c r="BU85" i="5" s="1"/>
  <c r="EH14" i="5"/>
  <c r="EC14" i="5"/>
  <c r="DX14" i="5"/>
  <c r="DX13" i="5" s="1"/>
  <c r="DS14" i="5"/>
  <c r="DS13" i="5" s="1"/>
  <c r="DN14" i="5"/>
  <c r="DN13" i="5" s="1"/>
  <c r="DI14" i="5"/>
  <c r="DI13" i="5" s="1"/>
  <c r="DD14" i="5"/>
  <c r="DD13" i="5" s="1"/>
  <c r="CY14" i="5"/>
  <c r="CY13" i="5" s="1"/>
  <c r="CT14" i="5"/>
  <c r="CT13" i="5" s="1"/>
  <c r="CO14" i="5"/>
  <c r="CO13" i="5" s="1"/>
  <c r="CJ14" i="5"/>
  <c r="CJ13" i="5" s="1"/>
  <c r="CE14" i="5"/>
  <c r="CE13" i="5" s="1"/>
  <c r="BZ14" i="5"/>
  <c r="BZ13" i="5" s="1"/>
  <c r="BP14" i="5"/>
  <c r="BK14" i="5"/>
  <c r="BK84" i="5" s="1"/>
  <c r="BF14" i="5"/>
  <c r="BA14" i="5"/>
  <c r="AV14" i="5"/>
  <c r="AV84" i="5" s="1"/>
  <c r="AQ14" i="5"/>
  <c r="AQ13" i="5" s="1"/>
  <c r="AL14" i="5"/>
  <c r="AG14" i="5"/>
  <c r="AG13" i="5" s="1"/>
  <c r="AB14" i="5"/>
  <c r="AB13" i="5" s="1"/>
  <c r="W14" i="5"/>
  <c r="R14" i="5"/>
  <c r="R84" i="5" s="1"/>
  <c r="M14" i="5"/>
  <c r="M13" i="5" s="1"/>
  <c r="H14" i="5"/>
  <c r="H13" i="5" s="1"/>
  <c r="EH13" i="5"/>
  <c r="EC13" i="5"/>
  <c r="BK13" i="5"/>
  <c r="AV13" i="5"/>
  <c r="R13" i="5"/>
  <c r="CI11" i="6" l="1"/>
  <c r="CI279" i="6"/>
  <c r="CI278" i="6" s="1"/>
  <c r="CI10" i="6" s="1"/>
  <c r="AA14" i="6"/>
  <c r="EL41" i="6"/>
  <c r="CX52" i="6"/>
  <c r="BO138" i="6"/>
  <c r="DC210" i="6"/>
  <c r="DC9" i="6" s="1"/>
  <c r="V210" i="6"/>
  <c r="V9" i="6" s="1"/>
  <c r="BJ14" i="6"/>
  <c r="BE22" i="6"/>
  <c r="AA52" i="6"/>
  <c r="DW14" i="6"/>
  <c r="DW13" i="6" s="1"/>
  <c r="DW8" i="6" s="1"/>
  <c r="EL110" i="6"/>
  <c r="CS148" i="6"/>
  <c r="AP163" i="6"/>
  <c r="CI163" i="6"/>
  <c r="CD173" i="6"/>
  <c r="EB14" i="6"/>
  <c r="EB13" i="6" s="1"/>
  <c r="EB8" i="6" s="1"/>
  <c r="Q22" i="6"/>
  <c r="EL35" i="6"/>
  <c r="AK52" i="6"/>
  <c r="BJ68" i="6"/>
  <c r="DH148" i="6"/>
  <c r="EL149" i="6"/>
  <c r="AF158" i="6"/>
  <c r="BE163" i="6"/>
  <c r="CX163" i="6"/>
  <c r="DW168" i="6"/>
  <c r="CX14" i="6"/>
  <c r="AA22" i="6"/>
  <c r="EL23" i="6"/>
  <c r="EB52" i="6"/>
  <c r="AA57" i="6"/>
  <c r="BT216" i="6"/>
  <c r="AK22" i="6"/>
  <c r="CD22" i="6"/>
  <c r="BJ28" i="6"/>
  <c r="AU34" i="6"/>
  <c r="BJ40" i="6"/>
  <c r="L52" i="6"/>
  <c r="EL70" i="6"/>
  <c r="AP115" i="6"/>
  <c r="AZ158" i="6"/>
  <c r="EL159" i="6"/>
  <c r="BO163" i="6"/>
  <c r="AP168" i="6"/>
  <c r="EL174" i="6"/>
  <c r="BT201" i="6"/>
  <c r="CD210" i="6"/>
  <c r="CD9" i="6" s="1"/>
  <c r="CX210" i="6"/>
  <c r="CX9" i="6" s="1"/>
  <c r="AU210" i="6"/>
  <c r="AU9" i="6" s="1"/>
  <c r="BJ221" i="6"/>
  <c r="BJ237" i="6"/>
  <c r="EL274" i="6"/>
  <c r="BZ24" i="5"/>
  <c r="AQ96" i="5"/>
  <c r="AB99" i="5"/>
  <c r="R30" i="5"/>
  <c r="R101" i="5" s="1"/>
  <c r="M102" i="5"/>
  <c r="AQ102" i="5"/>
  <c r="BU102" i="5"/>
  <c r="W103" i="5"/>
  <c r="BA103" i="5"/>
  <c r="CE35" i="5"/>
  <c r="CE23" i="5" s="1"/>
  <c r="W108" i="5"/>
  <c r="BA108" i="5"/>
  <c r="ET37" i="5"/>
  <c r="BK39" i="5"/>
  <c r="M52" i="5"/>
  <c r="AQ52" i="5"/>
  <c r="AQ44" i="5" s="1"/>
  <c r="BU52" i="5"/>
  <c r="EC52" i="5"/>
  <c r="CJ52" i="5"/>
  <c r="DN52" i="5"/>
  <c r="BF52" i="5"/>
  <c r="AG52" i="5"/>
  <c r="AG44" i="5" s="1"/>
  <c r="BK52" i="5"/>
  <c r="CO52" i="5"/>
  <c r="DS52" i="5"/>
  <c r="AV111" i="5"/>
  <c r="G37" i="10"/>
  <c r="H44" i="10"/>
  <c r="N44" i="10"/>
  <c r="G49" i="10"/>
  <c r="H58" i="10"/>
  <c r="P92" i="10"/>
  <c r="W90" i="10"/>
  <c r="BK99" i="5"/>
  <c r="AV30" i="5"/>
  <c r="ET31" i="5"/>
  <c r="AB45" i="5"/>
  <c r="DN45" i="5"/>
  <c r="AG59" i="5"/>
  <c r="BK59" i="5"/>
  <c r="BK44" i="5" s="1"/>
  <c r="DX59" i="5"/>
  <c r="ET71" i="5"/>
  <c r="AK18" i="10"/>
  <c r="V37" i="10"/>
  <c r="ET26" i="5"/>
  <c r="M99" i="5"/>
  <c r="AQ99" i="5"/>
  <c r="BU99" i="5"/>
  <c r="BF35" i="5"/>
  <c r="BF106" i="5" s="1"/>
  <c r="DN35" i="5"/>
  <c r="H35" i="5"/>
  <c r="CT35" i="5"/>
  <c r="AB106" i="5" s="1"/>
  <c r="DX35" i="5"/>
  <c r="AG39" i="5"/>
  <c r="AG110" i="5" s="1"/>
  <c r="AL111" i="5"/>
  <c r="BP111" i="5"/>
  <c r="BA45" i="5"/>
  <c r="CE45" i="5"/>
  <c r="ET46" i="5"/>
  <c r="AB59" i="5"/>
  <c r="BF59" i="5"/>
  <c r="CO59" i="5"/>
  <c r="DS59" i="5"/>
  <c r="H96" i="10"/>
  <c r="H88" i="10" s="1"/>
  <c r="H84" i="10" s="1"/>
  <c r="H80" i="10" s="1"/>
  <c r="AB24" i="5"/>
  <c r="CJ24" i="5"/>
  <c r="CJ23" i="5" s="1"/>
  <c r="CT24" i="5"/>
  <c r="DX24" i="5"/>
  <c r="AG30" i="5"/>
  <c r="CO30" i="5"/>
  <c r="DS30" i="5"/>
  <c r="CY30" i="5"/>
  <c r="AG101" i="5" s="1"/>
  <c r="CE30" i="5"/>
  <c r="AQ104" i="5"/>
  <c r="ET33" i="5"/>
  <c r="CO35" i="5"/>
  <c r="DS35" i="5"/>
  <c r="AL110" i="5"/>
  <c r="M45" i="5"/>
  <c r="AQ45" i="5"/>
  <c r="BU45" i="5"/>
  <c r="CY45" i="5"/>
  <c r="EC45" i="5"/>
  <c r="BF67" i="5"/>
  <c r="CJ67" i="5"/>
  <c r="W67" i="5"/>
  <c r="BA67" i="5"/>
  <c r="CE67" i="5"/>
  <c r="DI67" i="5"/>
  <c r="AB67" i="5"/>
  <c r="S58" i="10"/>
  <c r="R91" i="10"/>
  <c r="G96" i="10"/>
  <c r="DN24" i="5"/>
  <c r="AV94" i="5" s="1"/>
  <c r="AG95" i="5"/>
  <c r="BK24" i="5"/>
  <c r="CO24" i="5"/>
  <c r="DS24" i="5"/>
  <c r="AL96" i="5"/>
  <c r="H30" i="5"/>
  <c r="AL30" i="5"/>
  <c r="R103" i="5"/>
  <c r="AV103" i="5"/>
  <c r="AL103" i="5"/>
  <c r="CJ30" i="5"/>
  <c r="DN30" i="5"/>
  <c r="AG45" i="5"/>
  <c r="BK45" i="5"/>
  <c r="CO45" i="5"/>
  <c r="DS45" i="5"/>
  <c r="H52" i="5"/>
  <c r="H44" i="5" s="1"/>
  <c r="AL52" i="5"/>
  <c r="BP52" i="5"/>
  <c r="CT52" i="5"/>
  <c r="DX52" i="5"/>
  <c r="R59" i="5"/>
  <c r="AV59" i="5"/>
  <c r="CE59" i="5"/>
  <c r="DI59" i="5"/>
  <c r="EM59" i="5"/>
  <c r="ET59" i="5" s="1"/>
  <c r="AG67" i="5"/>
  <c r="BK67" i="5"/>
  <c r="CO67" i="5"/>
  <c r="DS67" i="5"/>
  <c r="AL102" i="5"/>
  <c r="G44" i="10"/>
  <c r="J49" i="10"/>
  <c r="G58" i="10"/>
  <c r="N96" i="10"/>
  <c r="U96" i="10"/>
  <c r="AK24" i="10"/>
  <c r="Y56" i="10"/>
  <c r="AK74" i="10"/>
  <c r="AL77" i="10"/>
  <c r="AK54" i="10"/>
  <c r="AL76" i="10"/>
  <c r="AK93" i="10"/>
  <c r="I90" i="10"/>
  <c r="I88" i="10" s="1"/>
  <c r="AL54" i="10"/>
  <c r="G35" i="10"/>
  <c r="AE90" i="10"/>
  <c r="AG80" i="10"/>
  <c r="V65" i="10"/>
  <c r="P96" i="10"/>
  <c r="ET72" i="5"/>
  <c r="R28" i="10"/>
  <c r="X44" i="10"/>
  <c r="AD44" i="10"/>
  <c r="AA49" i="10"/>
  <c r="AG49" i="10"/>
  <c r="AE49" i="10"/>
  <c r="AE35" i="10" s="1"/>
  <c r="X58" i="10"/>
  <c r="X56" i="10" s="1"/>
  <c r="AD58" i="10"/>
  <c r="AD56" i="10" s="1"/>
  <c r="AH67" i="10"/>
  <c r="AL67" i="10" s="1"/>
  <c r="AH82" i="10"/>
  <c r="O91" i="10"/>
  <c r="O90" i="10" s="1"/>
  <c r="J96" i="10"/>
  <c r="AE88" i="10"/>
  <c r="AE84" i="10" s="1"/>
  <c r="W88" i="10"/>
  <c r="W84" i="10" s="1"/>
  <c r="W80" i="10" s="1"/>
  <c r="AC88" i="10"/>
  <c r="AC84" i="10" s="1"/>
  <c r="AC80" i="10" s="1"/>
  <c r="AH97" i="10"/>
  <c r="AH83" i="10"/>
  <c r="X92" i="10"/>
  <c r="Z28" i="10"/>
  <c r="AF28" i="10"/>
  <c r="AE28" i="10"/>
  <c r="G16" i="10"/>
  <c r="G12" i="10" s="1"/>
  <c r="G28" i="10" s="1"/>
  <c r="K37" i="10"/>
  <c r="L49" i="10"/>
  <c r="AH60" i="10"/>
  <c r="AL60" i="10" s="1"/>
  <c r="AE58" i="10"/>
  <c r="AE56" i="10" s="1"/>
  <c r="W58" i="10"/>
  <c r="AC58" i="10"/>
  <c r="AC56" i="10" s="1"/>
  <c r="T66" i="10"/>
  <c r="AE80" i="10"/>
  <c r="P90" i="10"/>
  <c r="G90" i="10"/>
  <c r="G88" i="10" s="1"/>
  <c r="G84" i="10" s="1"/>
  <c r="G80" i="10" s="1"/>
  <c r="Z96" i="10"/>
  <c r="AF96" i="10"/>
  <c r="U88" i="10"/>
  <c r="U84" i="10" s="1"/>
  <c r="U80" i="10" s="1"/>
  <c r="AB90" i="10"/>
  <c r="AB88" i="10" s="1"/>
  <c r="AB84" i="10" s="1"/>
  <c r="V14" i="10"/>
  <c r="Q28" i="10"/>
  <c r="Z37" i="10"/>
  <c r="Z35" i="10" s="1"/>
  <c r="AF37" i="10"/>
  <c r="I44" i="10"/>
  <c r="AF44" i="10"/>
  <c r="O44" i="10"/>
  <c r="AH46" i="10"/>
  <c r="AL46" i="10" s="1"/>
  <c r="W49" i="10"/>
  <c r="AC49" i="10"/>
  <c r="Z58" i="10"/>
  <c r="Z56" i="10" s="1"/>
  <c r="Y90" i="10"/>
  <c r="AD92" i="10"/>
  <c r="AD90" i="10" s="1"/>
  <c r="AD88" i="10" s="1"/>
  <c r="AD84" i="10" s="1"/>
  <c r="AD80" i="10" s="1"/>
  <c r="V28" i="10"/>
  <c r="AB28" i="10"/>
  <c r="AA28" i="10"/>
  <c r="S37" i="10"/>
  <c r="AH66" i="10"/>
  <c r="AL66" i="10" s="1"/>
  <c r="AK47" i="10"/>
  <c r="AL47" i="10"/>
  <c r="AK83" i="10"/>
  <c r="AL83" i="10"/>
  <c r="AK60" i="10"/>
  <c r="AL12" i="10"/>
  <c r="T10" i="10"/>
  <c r="S14" i="10"/>
  <c r="N28" i="10"/>
  <c r="AH38" i="10"/>
  <c r="AL42" i="10"/>
  <c r="AK42" i="10"/>
  <c r="K44" i="10"/>
  <c r="U49" i="10"/>
  <c r="T53" i="10"/>
  <c r="AL70" i="10"/>
  <c r="AK70" i="10"/>
  <c r="O88" i="10"/>
  <c r="T12" i="10"/>
  <c r="M14" i="10"/>
  <c r="N16" i="10"/>
  <c r="AH17" i="10"/>
  <c r="AL18" i="10"/>
  <c r="AK20" i="10"/>
  <c r="AH21" i="10"/>
  <c r="H28" i="10"/>
  <c r="O28" i="10"/>
  <c r="T33" i="10"/>
  <c r="J37" i="10"/>
  <c r="P37" i="10"/>
  <c r="Y44" i="10"/>
  <c r="K58" i="10"/>
  <c r="G65" i="10"/>
  <c r="G56" i="10" s="1"/>
  <c r="AH65" i="10"/>
  <c r="T72" i="10"/>
  <c r="AA80" i="10"/>
  <c r="P28" i="10"/>
  <c r="O14" i="10"/>
  <c r="U16" i="10"/>
  <c r="AG16" i="10"/>
  <c r="AG14" i="10" s="1"/>
  <c r="AH14" i="10" s="1"/>
  <c r="AL20" i="10"/>
  <c r="Q37" i="10"/>
  <c r="AD37" i="10"/>
  <c r="M44" i="10"/>
  <c r="AL82" i="10"/>
  <c r="AK82" i="10"/>
  <c r="P14" i="10"/>
  <c r="I16" i="10"/>
  <c r="J16" i="10"/>
  <c r="K28" i="10"/>
  <c r="Y28" i="10"/>
  <c r="AH33" i="10"/>
  <c r="L37" i="10"/>
  <c r="R37" i="10"/>
  <c r="T39" i="10"/>
  <c r="AH51" i="10"/>
  <c r="R56" i="10"/>
  <c r="L58" i="10"/>
  <c r="U58" i="10"/>
  <c r="AG58" i="10"/>
  <c r="J28" i="10"/>
  <c r="H16" i="10"/>
  <c r="AK19" i="10"/>
  <c r="X37" i="10"/>
  <c r="X35" i="10" s="1"/>
  <c r="H37" i="10"/>
  <c r="T41" i="10"/>
  <c r="S44" i="10"/>
  <c r="O56" i="10"/>
  <c r="W65" i="10"/>
  <c r="W56" i="10" s="1"/>
  <c r="T18" i="10"/>
  <c r="T19" i="10"/>
  <c r="L28" i="10"/>
  <c r="S28" i="10"/>
  <c r="AG28" i="10"/>
  <c r="AH39" i="10"/>
  <c r="AH41" i="10"/>
  <c r="Y49" i="10"/>
  <c r="AA58" i="10"/>
  <c r="AA56" i="10" s="1"/>
  <c r="AL62" i="10"/>
  <c r="AK67" i="10"/>
  <c r="N91" i="10"/>
  <c r="M96" i="10"/>
  <c r="T97" i="10"/>
  <c r="S96" i="10"/>
  <c r="AH10" i="10"/>
  <c r="I28" i="10"/>
  <c r="N37" i="10"/>
  <c r="M58" i="10"/>
  <c r="K14" i="10"/>
  <c r="R14" i="10"/>
  <c r="L16" i="10"/>
  <c r="T17" i="10"/>
  <c r="M28" i="10"/>
  <c r="T38" i="10"/>
  <c r="U37" i="10"/>
  <c r="AA37" i="10"/>
  <c r="AG37" i="10"/>
  <c r="AG35" i="10" s="1"/>
  <c r="Q44" i="10"/>
  <c r="W44" i="10"/>
  <c r="L44" i="10"/>
  <c r="R44" i="10"/>
  <c r="M49" i="10"/>
  <c r="AL53" i="10"/>
  <c r="AK53" i="10"/>
  <c r="N58" i="10"/>
  <c r="T59" i="10"/>
  <c r="T69" i="10"/>
  <c r="H65" i="10"/>
  <c r="AL69" i="10"/>
  <c r="AK69" i="10"/>
  <c r="Y88" i="10"/>
  <c r="Y84" i="10" s="1"/>
  <c r="Y80" i="10" s="1"/>
  <c r="T21" i="10"/>
  <c r="R49" i="10"/>
  <c r="T50" i="10"/>
  <c r="T51" i="10"/>
  <c r="I58" i="10"/>
  <c r="Q58" i="10"/>
  <c r="AH63" i="10"/>
  <c r="T81" i="10"/>
  <c r="L90" i="10"/>
  <c r="AH91" i="10"/>
  <c r="V90" i="10"/>
  <c r="V88" i="10" s="1"/>
  <c r="V84" i="10" s="1"/>
  <c r="V80" i="10" s="1"/>
  <c r="N92" i="10"/>
  <c r="T45" i="10"/>
  <c r="AH50" i="10"/>
  <c r="AK73" i="10"/>
  <c r="AH72" i="10"/>
  <c r="AB80" i="10"/>
  <c r="AH81" i="10"/>
  <c r="T98" i="10"/>
  <c r="I37" i="10"/>
  <c r="O37" i="10"/>
  <c r="T47" i="10"/>
  <c r="K49" i="10"/>
  <c r="Q49" i="10"/>
  <c r="J58" i="10"/>
  <c r="P58" i="10"/>
  <c r="V58" i="10"/>
  <c r="AB58" i="10"/>
  <c r="AB56" i="10" s="1"/>
  <c r="AH59" i="10"/>
  <c r="T60" i="10"/>
  <c r="S65" i="10"/>
  <c r="T70" i="10"/>
  <c r="AL73" i="10"/>
  <c r="R90" i="10"/>
  <c r="J90" i="10"/>
  <c r="J44" i="10"/>
  <c r="P44" i="10"/>
  <c r="V44" i="10"/>
  <c r="V35" i="10" s="1"/>
  <c r="AB44" i="10"/>
  <c r="AH45" i="10"/>
  <c r="T62" i="10"/>
  <c r="T63" i="10"/>
  <c r="AG65" i="10"/>
  <c r="T90" i="10"/>
  <c r="Z90" i="10"/>
  <c r="Z88" i="10" s="1"/>
  <c r="Z84" i="10" s="1"/>
  <c r="Z80" i="10" s="1"/>
  <c r="Z30" i="10" s="1"/>
  <c r="AF90" i="10"/>
  <c r="AF88" i="10" s="1"/>
  <c r="AF84" i="10" s="1"/>
  <c r="AF80" i="10" s="1"/>
  <c r="T46" i="10"/>
  <c r="T82" i="10"/>
  <c r="K91" i="10"/>
  <c r="Q91" i="10"/>
  <c r="M92" i="10"/>
  <c r="S92" i="10"/>
  <c r="AK97" i="10"/>
  <c r="AK98" i="10"/>
  <c r="K92" i="10"/>
  <c r="Q92" i="10"/>
  <c r="AH92" i="10"/>
  <c r="AK92" i="10" s="1"/>
  <c r="M12" i="9"/>
  <c r="M40" i="9" s="1"/>
  <c r="M81" i="9" s="1"/>
  <c r="R58" i="9"/>
  <c r="AV58" i="9"/>
  <c r="BU17" i="9"/>
  <c r="BU58" i="9" s="1"/>
  <c r="AL68" i="9"/>
  <c r="BP68" i="9"/>
  <c r="BU70" i="9"/>
  <c r="BU75" i="9"/>
  <c r="AQ12" i="9"/>
  <c r="AQ40" i="9" s="1"/>
  <c r="AQ81" i="9" s="1"/>
  <c r="EC12" i="9"/>
  <c r="EC40" i="9" s="1"/>
  <c r="DD12" i="9"/>
  <c r="DD40" i="9" s="1"/>
  <c r="EH12" i="9"/>
  <c r="EH40" i="9" s="1"/>
  <c r="EM17" i="9"/>
  <c r="BU13" i="9"/>
  <c r="EM13" i="9"/>
  <c r="BU54" i="9" s="1"/>
  <c r="AB58" i="9"/>
  <c r="BF58" i="9"/>
  <c r="R68" i="9"/>
  <c r="AV68" i="9"/>
  <c r="EM27" i="9"/>
  <c r="W73" i="9"/>
  <c r="BA73" i="9"/>
  <c r="R13" i="9"/>
  <c r="AV13" i="9"/>
  <c r="AV12" i="9" s="1"/>
  <c r="CJ13" i="9"/>
  <c r="CJ12" i="9" s="1"/>
  <c r="CJ40" i="9" s="1"/>
  <c r="DN13" i="9"/>
  <c r="DN12" i="9" s="1"/>
  <c r="DN40" i="9" s="1"/>
  <c r="W68" i="9"/>
  <c r="BA68" i="9"/>
  <c r="AB73" i="9"/>
  <c r="BF73" i="9"/>
  <c r="BU74" i="9"/>
  <c r="AL58" i="9"/>
  <c r="BP58" i="9"/>
  <c r="AB68" i="9"/>
  <c r="BF68" i="9"/>
  <c r="BU69" i="9"/>
  <c r="H40" i="9"/>
  <c r="AB54" i="9"/>
  <c r="AB12" i="9"/>
  <c r="BF54" i="9"/>
  <c r="BF12" i="9"/>
  <c r="W54" i="9"/>
  <c r="W12" i="9"/>
  <c r="BA54" i="9"/>
  <c r="BA12" i="9"/>
  <c r="BU64" i="9"/>
  <c r="M53" i="9"/>
  <c r="DN49" i="9"/>
  <c r="CO52" i="9"/>
  <c r="CO54" i="9"/>
  <c r="R12" i="9"/>
  <c r="R54" i="9"/>
  <c r="AG13" i="9"/>
  <c r="BK13" i="9"/>
  <c r="BU27" i="9"/>
  <c r="AB55" i="9"/>
  <c r="BF55" i="9"/>
  <c r="BU66" i="9"/>
  <c r="AL13" i="9"/>
  <c r="BP13" i="9"/>
  <c r="M54" i="9"/>
  <c r="AQ54" i="9"/>
  <c r="BU59" i="9"/>
  <c r="W56" i="9"/>
  <c r="BA56" i="9"/>
  <c r="BU38" i="9"/>
  <c r="BU79" i="9" s="1"/>
  <c r="BF64" i="9"/>
  <c r="CX12" i="8"/>
  <c r="DR17" i="8"/>
  <c r="DR13" i="8" s="1"/>
  <c r="EL27" i="8"/>
  <c r="BT57" i="8"/>
  <c r="EL63" i="8"/>
  <c r="EL62" i="8" s="1"/>
  <c r="EL14" i="8" s="1"/>
  <c r="EB62" i="8"/>
  <c r="EB14" i="8" s="1"/>
  <c r="BY68" i="8"/>
  <c r="BY63" i="8" s="1"/>
  <c r="CX72" i="8"/>
  <c r="CX15" i="8" s="1"/>
  <c r="EB72" i="8"/>
  <c r="EB15" i="8" s="1"/>
  <c r="DC72" i="8"/>
  <c r="DC15" i="8" s="1"/>
  <c r="EG72" i="8"/>
  <c r="EG15" i="8" s="1"/>
  <c r="EG12" i="8" s="1"/>
  <c r="BT87" i="8"/>
  <c r="CS102" i="8"/>
  <c r="BY127" i="8"/>
  <c r="DM102" i="8"/>
  <c r="BT156" i="8"/>
  <c r="BT155" i="8" s="1"/>
  <c r="BT104" i="8" s="1"/>
  <c r="CN167" i="8"/>
  <c r="CN105" i="8" s="1"/>
  <c r="DR167" i="8"/>
  <c r="DR105" i="8" s="1"/>
  <c r="EB17" i="8"/>
  <c r="EB13" i="8" s="1"/>
  <c r="BY123" i="8"/>
  <c r="BE155" i="8"/>
  <c r="BE104" i="8" s="1"/>
  <c r="BT171" i="8"/>
  <c r="AZ17" i="8"/>
  <c r="CS17" i="8"/>
  <c r="CS13" i="8" s="1"/>
  <c r="CS12" i="8" s="1"/>
  <c r="BT47" i="8"/>
  <c r="BY57" i="8"/>
  <c r="BY79" i="8"/>
  <c r="BY74" i="8" s="1"/>
  <c r="AZ103" i="8"/>
  <c r="AZ102" i="8" s="1"/>
  <c r="BT109" i="8"/>
  <c r="BT131" i="8"/>
  <c r="V155" i="8"/>
  <c r="EL163" i="8"/>
  <c r="CX167" i="8"/>
  <c r="CX105" i="8" s="1"/>
  <c r="EB167" i="8"/>
  <c r="EB105" i="8" s="1"/>
  <c r="BY97" i="8"/>
  <c r="CD107" i="8"/>
  <c r="CD103" i="8" s="1"/>
  <c r="CD102" i="8" s="1"/>
  <c r="DH17" i="8"/>
  <c r="DH13" i="8" s="1"/>
  <c r="BT20" i="8"/>
  <c r="DC17" i="8"/>
  <c r="DC13" i="8" s="1"/>
  <c r="DC12" i="8" s="1"/>
  <c r="BT22" i="8"/>
  <c r="BT42" i="8"/>
  <c r="EL47" i="8"/>
  <c r="AP62" i="8"/>
  <c r="AP14" i="8" s="1"/>
  <c r="CN72" i="8"/>
  <c r="CN15" i="8" s="1"/>
  <c r="DH72" i="8"/>
  <c r="DH15" i="8" s="1"/>
  <c r="EL87" i="8"/>
  <c r="EL97" i="8"/>
  <c r="V107" i="8"/>
  <c r="L167" i="8"/>
  <c r="L105" i="8" s="1"/>
  <c r="AP167" i="8"/>
  <c r="AP105" i="8" s="1"/>
  <c r="DC167" i="8"/>
  <c r="DC105" i="8" s="1"/>
  <c r="DC102" i="8" s="1"/>
  <c r="EG167" i="8"/>
  <c r="EG105" i="8" s="1"/>
  <c r="BT37" i="8"/>
  <c r="DC62" i="8"/>
  <c r="DC14" i="8" s="1"/>
  <c r="EG62" i="8"/>
  <c r="EG14" i="8" s="1"/>
  <c r="BT67" i="8"/>
  <c r="AK107" i="8"/>
  <c r="AK103" i="8" s="1"/>
  <c r="CI155" i="8"/>
  <c r="CI104" i="8" s="1"/>
  <c r="CI102" i="8" s="1"/>
  <c r="BT179" i="8"/>
  <c r="CI12" i="8"/>
  <c r="DR12" i="8"/>
  <c r="BY47" i="8"/>
  <c r="BY64" i="8"/>
  <c r="AA72" i="8"/>
  <c r="BE72" i="8"/>
  <c r="AP103" i="8"/>
  <c r="AF107" i="8"/>
  <c r="BJ107" i="8"/>
  <c r="AF155" i="8"/>
  <c r="BO155" i="8"/>
  <c r="BJ167" i="8"/>
  <c r="EL171" i="8"/>
  <c r="EL168" i="8"/>
  <c r="EL183" i="8"/>
  <c r="AK17" i="8"/>
  <c r="CD17" i="8"/>
  <c r="CD13" i="8" s="1"/>
  <c r="CD12" i="8" s="1"/>
  <c r="BT19" i="8"/>
  <c r="BT52" i="8"/>
  <c r="AK62" i="8"/>
  <c r="AA62" i="8"/>
  <c r="BE62" i="8"/>
  <c r="BT65" i="8"/>
  <c r="BT62" i="8" s="1"/>
  <c r="BT14" i="8" s="1"/>
  <c r="Q72" i="8"/>
  <c r="BY19" i="8"/>
  <c r="BY17" i="8" s="1"/>
  <c r="BY13" i="8" s="1"/>
  <c r="AK104" i="8"/>
  <c r="CX102" i="8"/>
  <c r="EL109" i="8"/>
  <c r="BT108" i="8"/>
  <c r="BT107" i="8" s="1"/>
  <c r="BT103" i="8" s="1"/>
  <c r="EL15" i="8"/>
  <c r="Q107" i="8"/>
  <c r="EL108" i="8"/>
  <c r="EL127" i="8"/>
  <c r="EL135" i="8"/>
  <c r="L17" i="8"/>
  <c r="AU17" i="8"/>
  <c r="Q18" i="8"/>
  <c r="EL22" i="8"/>
  <c r="EL32" i="8"/>
  <c r="EL37" i="8"/>
  <c r="EL57" i="8"/>
  <c r="BY70" i="8"/>
  <c r="AF72" i="8"/>
  <c r="L72" i="8"/>
  <c r="AP72" i="8"/>
  <c r="BT72" i="8"/>
  <c r="BT15" i="8" s="1"/>
  <c r="BY77" i="8"/>
  <c r="BY73" i="8"/>
  <c r="BY88" i="8"/>
  <c r="EL92" i="8"/>
  <c r="AU105" i="8"/>
  <c r="L107" i="8"/>
  <c r="DW102" i="8"/>
  <c r="EL131" i="8"/>
  <c r="EL159" i="8"/>
  <c r="EL156" i="8"/>
  <c r="Q62" i="8"/>
  <c r="AU62" i="8"/>
  <c r="AU107" i="8"/>
  <c r="AZ13" i="8"/>
  <c r="AZ14" i="8"/>
  <c r="V15" i="8"/>
  <c r="V17" i="8"/>
  <c r="EL20" i="8"/>
  <c r="BY52" i="8"/>
  <c r="BO62" i="8"/>
  <c r="AU72" i="8"/>
  <c r="BY82" i="8"/>
  <c r="EB102" i="8"/>
  <c r="AA107" i="8"/>
  <c r="BE107" i="8"/>
  <c r="BT111" i="8"/>
  <c r="L155" i="8"/>
  <c r="AU155" i="8"/>
  <c r="EL179" i="8"/>
  <c r="BE13" i="8"/>
  <c r="V14" i="8"/>
  <c r="BJ15" i="8"/>
  <c r="AA17" i="8"/>
  <c r="BO18" i="8"/>
  <c r="EL42" i="8"/>
  <c r="AF18" i="8"/>
  <c r="BJ18" i="8"/>
  <c r="L62" i="8"/>
  <c r="AF62" i="8"/>
  <c r="BJ62" i="8"/>
  <c r="CN62" i="8"/>
  <c r="CN14" i="8" s="1"/>
  <c r="CN12" i="8" s="1"/>
  <c r="DR62" i="8"/>
  <c r="DR14" i="8" s="1"/>
  <c r="BY67" i="8"/>
  <c r="AZ72" i="8"/>
  <c r="AK72" i="8"/>
  <c r="BO72" i="8"/>
  <c r="EL82" i="8"/>
  <c r="BY92" i="8"/>
  <c r="CN102" i="8"/>
  <c r="EL111" i="8"/>
  <c r="EL147" i="8"/>
  <c r="AF167" i="8"/>
  <c r="EG107" i="8"/>
  <c r="EG103" i="8" s="1"/>
  <c r="EG102" i="8" s="1"/>
  <c r="AA167" i="8"/>
  <c r="BE167" i="8"/>
  <c r="BT183" i="8"/>
  <c r="DM111" i="8"/>
  <c r="DR155" i="8"/>
  <c r="DR104" i="8" s="1"/>
  <c r="EL157" i="8"/>
  <c r="AK167" i="8"/>
  <c r="BO167" i="8"/>
  <c r="EL175" i="8"/>
  <c r="Q167" i="8"/>
  <c r="BJ155" i="8"/>
  <c r="BT168" i="8"/>
  <c r="BT167" i="8" s="1"/>
  <c r="BT105" i="8" s="1"/>
  <c r="DR12" i="7"/>
  <c r="AZ14" i="7"/>
  <c r="BY32" i="7"/>
  <c r="EL50" i="7"/>
  <c r="EL71" i="7"/>
  <c r="EL86" i="7"/>
  <c r="CI12" i="7"/>
  <c r="BY28" i="7"/>
  <c r="BY18" i="7" s="1"/>
  <c r="BY13" i="7" s="1"/>
  <c r="AZ65" i="7"/>
  <c r="EL77" i="7"/>
  <c r="EL95" i="7"/>
  <c r="EL101" i="7"/>
  <c r="BT124" i="7"/>
  <c r="EL35" i="7"/>
  <c r="EL147" i="7"/>
  <c r="DC12" i="7"/>
  <c r="V14" i="7"/>
  <c r="BJ65" i="7"/>
  <c r="BY113" i="7"/>
  <c r="BT119" i="7"/>
  <c r="DW122" i="7"/>
  <c r="DW16" i="7" s="1"/>
  <c r="DW12" i="7" s="1"/>
  <c r="EL142" i="7"/>
  <c r="AA15" i="7"/>
  <c r="EL18" i="7"/>
  <c r="EL31" i="7"/>
  <c r="EL40" i="7"/>
  <c r="V65" i="7"/>
  <c r="V15" i="7" s="1"/>
  <c r="AF122" i="7"/>
  <c r="AF16" i="7" s="1"/>
  <c r="BT123" i="7"/>
  <c r="EG122" i="7"/>
  <c r="EG16" i="7" s="1"/>
  <c r="EG12" i="7" s="1"/>
  <c r="AP14" i="7"/>
  <c r="BT77" i="7"/>
  <c r="BO122" i="7"/>
  <c r="G12" i="7"/>
  <c r="EL30" i="7"/>
  <c r="CN12" i="7"/>
  <c r="DM12" i="7"/>
  <c r="AF13" i="7"/>
  <c r="AF14" i="7"/>
  <c r="BO14" i="7"/>
  <c r="BO16" i="7"/>
  <c r="BT45" i="7"/>
  <c r="AF65" i="7"/>
  <c r="AP65" i="7"/>
  <c r="BT66" i="7"/>
  <c r="EL68" i="7"/>
  <c r="EL66" i="7"/>
  <c r="BT127" i="7"/>
  <c r="AK65" i="7"/>
  <c r="AK14" i="7"/>
  <c r="Q14" i="7"/>
  <c r="AU14" i="7"/>
  <c r="BT32" i="7"/>
  <c r="BT31" i="7"/>
  <c r="BY43" i="7"/>
  <c r="BT83" i="7"/>
  <c r="EL92" i="7"/>
  <c r="EL98" i="7"/>
  <c r="EL104" i="7"/>
  <c r="BT110" i="7"/>
  <c r="L122" i="7"/>
  <c r="AP122" i="7"/>
  <c r="EL124" i="7"/>
  <c r="BO65" i="7"/>
  <c r="AU13" i="7"/>
  <c r="BY36" i="7"/>
  <c r="BY41" i="7"/>
  <c r="AZ15" i="7"/>
  <c r="BJ122" i="7"/>
  <c r="EL132" i="7"/>
  <c r="EL123" i="7"/>
  <c r="Q13" i="7"/>
  <c r="BE30" i="7"/>
  <c r="BT68" i="7"/>
  <c r="BT74" i="7"/>
  <c r="BE15" i="7"/>
  <c r="AP13" i="7"/>
  <c r="BT18" i="7"/>
  <c r="BJ30" i="7"/>
  <c r="BT35" i="7"/>
  <c r="BT33" i="7"/>
  <c r="BT40" i="7"/>
  <c r="EL74" i="7"/>
  <c r="CX122" i="7"/>
  <c r="CX16" i="7" s="1"/>
  <c r="CX12" i="7" s="1"/>
  <c r="EB122" i="7"/>
  <c r="EB16" i="7" s="1"/>
  <c r="EB12" i="7" s="1"/>
  <c r="EL125" i="7"/>
  <c r="EL107" i="7"/>
  <c r="AK122" i="7"/>
  <c r="BT142" i="7"/>
  <c r="BT152" i="7"/>
  <c r="BT89" i="7"/>
  <c r="BT116" i="7"/>
  <c r="Q122" i="7"/>
  <c r="AU122" i="7"/>
  <c r="BT147" i="7"/>
  <c r="EL152" i="7"/>
  <c r="BT95" i="7"/>
  <c r="BT101" i="7"/>
  <c r="V122" i="7"/>
  <c r="BE122" i="7"/>
  <c r="CD122" i="7"/>
  <c r="CD16" i="7" s="1"/>
  <c r="CD12" i="7" s="1"/>
  <c r="DH122" i="7"/>
  <c r="DH16" i="7" s="1"/>
  <c r="DH12" i="7" s="1"/>
  <c r="BT137" i="7"/>
  <c r="Q65" i="7"/>
  <c r="AA122" i="7"/>
  <c r="BT125" i="7"/>
  <c r="DH279" i="6"/>
  <c r="DH278" i="6" s="1"/>
  <c r="DH10" i="6" s="1"/>
  <c r="DH11" i="6"/>
  <c r="CD279" i="6"/>
  <c r="CD278" i="6" s="1"/>
  <c r="CD10" i="6" s="1"/>
  <c r="CD11" i="6"/>
  <c r="EL79" i="6"/>
  <c r="BY199" i="6"/>
  <c r="EL325" i="6"/>
  <c r="CD14" i="6"/>
  <c r="CD13" i="6" s="1"/>
  <c r="CD8" i="6" s="1"/>
  <c r="DH14" i="6"/>
  <c r="DH13" i="6" s="1"/>
  <c r="DH8" i="6" s="1"/>
  <c r="AZ210" i="6"/>
  <c r="AZ9" i="6" s="1"/>
  <c r="EL287" i="6"/>
  <c r="Q210" i="6"/>
  <c r="Q9" i="6" s="1"/>
  <c r="BT319" i="6"/>
  <c r="EL85" i="6"/>
  <c r="CX13" i="6"/>
  <c r="CX8" i="6" s="1"/>
  <c r="CX7" i="6" s="1"/>
  <c r="BE210" i="6"/>
  <c r="BE9" i="6" s="1"/>
  <c r="EB210" i="6"/>
  <c r="EB9" i="6" s="1"/>
  <c r="BT302" i="6"/>
  <c r="EL331" i="6"/>
  <c r="EL17" i="6"/>
  <c r="EG11" i="6"/>
  <c r="EL126" i="6"/>
  <c r="EG210" i="6"/>
  <c r="EG9" i="6" s="1"/>
  <c r="AK308" i="6"/>
  <c r="EB7" i="6"/>
  <c r="AP308" i="6"/>
  <c r="AA210" i="6"/>
  <c r="AA9" i="6" s="1"/>
  <c r="CN210" i="6"/>
  <c r="CN9" i="6" s="1"/>
  <c r="DR210" i="6"/>
  <c r="DR9" i="6" s="1"/>
  <c r="EL22" i="6"/>
  <c r="EL173" i="6"/>
  <c r="AA13" i="6"/>
  <c r="BJ13" i="6"/>
  <c r="L14" i="6"/>
  <c r="AZ14" i="6"/>
  <c r="CI14" i="6"/>
  <c r="CI13" i="6" s="1"/>
  <c r="CI8" i="6" s="1"/>
  <c r="DR14" i="6"/>
  <c r="DR13" i="6" s="1"/>
  <c r="DR8" i="6" s="1"/>
  <c r="BT15" i="6"/>
  <c r="BT17" i="6"/>
  <c r="L22" i="6"/>
  <c r="AP22" i="6"/>
  <c r="L28" i="6"/>
  <c r="EL58" i="6"/>
  <c r="CD57" i="6"/>
  <c r="BY64" i="6"/>
  <c r="BY98" i="6"/>
  <c r="BY112" i="6"/>
  <c r="BT116" i="6"/>
  <c r="AK115" i="6"/>
  <c r="EL120" i="6"/>
  <c r="EL148" i="6"/>
  <c r="DM148" i="6"/>
  <c r="AK158" i="6"/>
  <c r="BO158" i="6"/>
  <c r="EL227" i="6"/>
  <c r="BJ232" i="6"/>
  <c r="BJ211" i="6"/>
  <c r="BT233" i="6"/>
  <c r="EL238" i="6"/>
  <c r="BT243" i="6"/>
  <c r="BJ242" i="6"/>
  <c r="BT328" i="6"/>
  <c r="V14" i="6"/>
  <c r="BE14" i="6"/>
  <c r="CN14" i="6"/>
  <c r="CN13" i="6" s="1"/>
  <c r="CN8" i="6" s="1"/>
  <c r="CN7" i="6" s="1"/>
  <c r="EL28" i="6"/>
  <c r="Q34" i="6"/>
  <c r="BT41" i="6"/>
  <c r="AA46" i="6"/>
  <c r="BT53" i="6"/>
  <c r="DC52" i="6"/>
  <c r="DC14" i="6"/>
  <c r="DC13" i="6" s="1"/>
  <c r="DC8" i="6" s="1"/>
  <c r="DC7" i="6" s="1"/>
  <c r="EL53" i="6"/>
  <c r="V57" i="6"/>
  <c r="AU57" i="6"/>
  <c r="BT69" i="6"/>
  <c r="EL69" i="6"/>
  <c r="BY86" i="6"/>
  <c r="BT85" i="6"/>
  <c r="BY91" i="6"/>
  <c r="EL90" i="6"/>
  <c r="BY96" i="6"/>
  <c r="BY102" i="6"/>
  <c r="BT105" i="6"/>
  <c r="BY121" i="6"/>
  <c r="BT133" i="6"/>
  <c r="BT174" i="6"/>
  <c r="BY189" i="6"/>
  <c r="EL187" i="6"/>
  <c r="BO9" i="6"/>
  <c r="CI211" i="6"/>
  <c r="CI210" i="6" s="1"/>
  <c r="CI9" i="6" s="1"/>
  <c r="DM210" i="6"/>
  <c r="DM9" i="6" s="1"/>
  <c r="EL221" i="6"/>
  <c r="EL233" i="6"/>
  <c r="CI232" i="6"/>
  <c r="EL252" i="6"/>
  <c r="AF278" i="6"/>
  <c r="BT29" i="6"/>
  <c r="BJ46" i="6"/>
  <c r="AU68" i="6"/>
  <c r="AU115" i="6"/>
  <c r="BY230" i="6"/>
  <c r="G8" i="6"/>
  <c r="AF14" i="6"/>
  <c r="BO14" i="6"/>
  <c r="BT16" i="6"/>
  <c r="AZ22" i="6"/>
  <c r="EL34" i="6"/>
  <c r="AA34" i="6"/>
  <c r="AF40" i="6"/>
  <c r="DC40" i="6"/>
  <c r="AK46" i="6"/>
  <c r="BO46" i="6"/>
  <c r="CD52" i="6"/>
  <c r="BT62" i="6"/>
  <c r="AP68" i="6"/>
  <c r="CD68" i="6"/>
  <c r="EL100" i="6"/>
  <c r="CX115" i="6"/>
  <c r="BJ168" i="6"/>
  <c r="AK9" i="6"/>
  <c r="CS210" i="6"/>
  <c r="CS9" i="6" s="1"/>
  <c r="CS7" i="6" s="1"/>
  <c r="DW210" i="6"/>
  <c r="DW9" i="6" s="1"/>
  <c r="DW7" i="6" s="1"/>
  <c r="BT214" i="6"/>
  <c r="BT226" i="6"/>
  <c r="EL212" i="6"/>
  <c r="EL214" i="6"/>
  <c r="BT305" i="6"/>
  <c r="G279" i="6"/>
  <c r="V308" i="6"/>
  <c r="BE308" i="6"/>
  <c r="EL40" i="6"/>
  <c r="EL95" i="6"/>
  <c r="AP210" i="6"/>
  <c r="BY256" i="6"/>
  <c r="AK14" i="6"/>
  <c r="AF22" i="6"/>
  <c r="AZ28" i="6"/>
  <c r="BE34" i="6"/>
  <c r="L40" i="6"/>
  <c r="AF46" i="6"/>
  <c r="EL47" i="6"/>
  <c r="BY65" i="6"/>
  <c r="AZ68" i="6"/>
  <c r="CI68" i="6"/>
  <c r="BT79" i="6"/>
  <c r="BY88" i="6"/>
  <c r="BT90" i="6"/>
  <c r="BT95" i="6"/>
  <c r="BY97" i="6"/>
  <c r="BY101" i="6"/>
  <c r="BT110" i="6"/>
  <c r="BY113" i="6"/>
  <c r="CN115" i="6"/>
  <c r="BO115" i="6"/>
  <c r="L132" i="6"/>
  <c r="DC148" i="6"/>
  <c r="BO153" i="6"/>
  <c r="EL154" i="6"/>
  <c r="CI158" i="6"/>
  <c r="DM163" i="6"/>
  <c r="BY188" i="6"/>
  <c r="BT187" i="6"/>
  <c r="EL201" i="6"/>
  <c r="CI226" i="6"/>
  <c r="CI237" i="6"/>
  <c r="G268" i="6"/>
  <c r="EL337" i="6"/>
  <c r="V22" i="6"/>
  <c r="AP28" i="6"/>
  <c r="AU52" i="6"/>
  <c r="AU14" i="6"/>
  <c r="DH52" i="6"/>
  <c r="EL143" i="6"/>
  <c r="CD163" i="6"/>
  <c r="EL164" i="6"/>
  <c r="L210" i="6"/>
  <c r="AP14" i="6"/>
  <c r="DM14" i="6"/>
  <c r="DM13" i="6" s="1"/>
  <c r="DM8" i="6" s="1"/>
  <c r="DM7" i="6" s="1"/>
  <c r="EL16" i="6"/>
  <c r="EL19" i="6"/>
  <c r="BT23" i="6"/>
  <c r="AA28" i="6"/>
  <c r="BE28" i="6"/>
  <c r="AK34" i="6"/>
  <c r="BO34" i="6"/>
  <c r="AU40" i="6"/>
  <c r="Q46" i="6"/>
  <c r="AZ57" i="6"/>
  <c r="V68" i="6"/>
  <c r="BT74" i="6"/>
  <c r="EL75" i="6"/>
  <c r="BY87" i="6"/>
  <c r="CD115" i="6"/>
  <c r="EL116" i="6"/>
  <c r="BT120" i="6"/>
  <c r="BY124" i="6"/>
  <c r="EL138" i="6"/>
  <c r="BT149" i="6"/>
  <c r="Q148" i="6"/>
  <c r="AA153" i="6"/>
  <c r="EL158" i="6"/>
  <c r="V163" i="6"/>
  <c r="BT164" i="6"/>
  <c r="EL169" i="6"/>
  <c r="AK173" i="6"/>
  <c r="AA173" i="6"/>
  <c r="BE173" i="6"/>
  <c r="G211" i="6"/>
  <c r="EL247" i="6"/>
  <c r="BT252" i="6"/>
  <c r="BY281" i="6"/>
  <c r="BY279" i="6"/>
  <c r="BY278" i="6" s="1"/>
  <c r="BY10" i="6" s="1"/>
  <c r="BT139" i="6"/>
  <c r="AZ138" i="6"/>
  <c r="DR148" i="6"/>
  <c r="L153" i="6"/>
  <c r="AP153" i="6"/>
  <c r="BT154" i="6"/>
  <c r="V158" i="6"/>
  <c r="AU168" i="6"/>
  <c r="CI168" i="6"/>
  <c r="AZ173" i="6"/>
  <c r="AF173" i="6"/>
  <c r="BJ173" i="6"/>
  <c r="AF210" i="6"/>
  <c r="EL217" i="6"/>
  <c r="CI221" i="6"/>
  <c r="G263" i="6"/>
  <c r="EL281" i="6"/>
  <c r="BT331" i="6"/>
  <c r="Q52" i="6"/>
  <c r="Q14" i="6"/>
  <c r="AF57" i="6"/>
  <c r="BJ57" i="6"/>
  <c r="EL15" i="6"/>
  <c r="AK168" i="6"/>
  <c r="BY198" i="6"/>
  <c r="BT259" i="6"/>
  <c r="EL263" i="6"/>
  <c r="BT269" i="6"/>
  <c r="AK279" i="6"/>
  <c r="AA308" i="6"/>
  <c r="BJ308" i="6"/>
  <c r="EL328" i="6"/>
  <c r="BT247" i="6"/>
  <c r="EL284" i="6"/>
  <c r="BT287" i="6"/>
  <c r="AP40" i="6"/>
  <c r="BT58" i="6"/>
  <c r="EG68" i="6"/>
  <c r="EG14" i="6"/>
  <c r="EG13" i="6" s="1"/>
  <c r="EG8" i="6" s="1"/>
  <c r="EL105" i="6"/>
  <c r="BY108" i="6"/>
  <c r="AZ163" i="6"/>
  <c r="BT213" i="6"/>
  <c r="G237" i="6"/>
  <c r="EL242" i="6"/>
  <c r="CI252" i="6"/>
  <c r="BT273" i="6"/>
  <c r="BT293" i="6"/>
  <c r="AU279" i="6"/>
  <c r="EL309" i="6"/>
  <c r="BT322" i="6"/>
  <c r="BT159" i="6"/>
  <c r="BT263" i="6"/>
  <c r="BT309" i="6"/>
  <c r="L308" i="6"/>
  <c r="BT312" i="6"/>
  <c r="BT35" i="6"/>
  <c r="BT47" i="6"/>
  <c r="BY123" i="6"/>
  <c r="BT126" i="6"/>
  <c r="EL132" i="6"/>
  <c r="BT143" i="6"/>
  <c r="Q153" i="6"/>
  <c r="AU153" i="6"/>
  <c r="L158" i="6"/>
  <c r="AP158" i="6"/>
  <c r="BO168" i="6"/>
  <c r="BT169" i="6"/>
  <c r="EL213" i="6"/>
  <c r="BT222" i="6"/>
  <c r="BT238" i="6"/>
  <c r="EL259" i="6"/>
  <c r="CI258" i="6"/>
  <c r="EL269" i="6"/>
  <c r="CI268" i="6"/>
  <c r="EL273" i="6"/>
  <c r="Q279" i="6"/>
  <c r="AZ279" i="6"/>
  <c r="EL290" i="6"/>
  <c r="BT296" i="6"/>
  <c r="EL302" i="6"/>
  <c r="BO279" i="6"/>
  <c r="EL319" i="6"/>
  <c r="BT340" i="6"/>
  <c r="BT299" i="6"/>
  <c r="BT325" i="6"/>
  <c r="BT334" i="6"/>
  <c r="AL44" i="5"/>
  <c r="DX44" i="5"/>
  <c r="BU44" i="5"/>
  <c r="EC44" i="5"/>
  <c r="AG84" i="5"/>
  <c r="BZ23" i="5"/>
  <c r="AB84" i="5"/>
  <c r="BP110" i="5"/>
  <c r="BF84" i="5"/>
  <c r="BW85" i="5"/>
  <c r="W84" i="5"/>
  <c r="W13" i="5"/>
  <c r="BA84" i="5"/>
  <c r="BA13" i="5"/>
  <c r="BK102" i="5"/>
  <c r="BK30" i="5"/>
  <c r="W104" i="5"/>
  <c r="W30" i="5"/>
  <c r="W101" i="5" s="1"/>
  <c r="BA104" i="5"/>
  <c r="BA30" i="5"/>
  <c r="BA101" i="5" s="1"/>
  <c r="M83" i="5"/>
  <c r="AB83" i="5"/>
  <c r="W94" i="5"/>
  <c r="AL101" i="5"/>
  <c r="BP30" i="5"/>
  <c r="BP102" i="5"/>
  <c r="CT30" i="5"/>
  <c r="AB102" i="5"/>
  <c r="BF102" i="5"/>
  <c r="DX30" i="5"/>
  <c r="AB104" i="5"/>
  <c r="AB30" i="5"/>
  <c r="BF104" i="5"/>
  <c r="BF30" i="5"/>
  <c r="AB44" i="5"/>
  <c r="DN44" i="5"/>
  <c r="AV104" i="5"/>
  <c r="R83" i="5"/>
  <c r="BU14" i="5"/>
  <c r="BU86" i="5"/>
  <c r="BF95" i="5"/>
  <c r="BF24" i="5"/>
  <c r="DN23" i="5"/>
  <c r="DN77" i="5" s="1"/>
  <c r="H24" i="5"/>
  <c r="H23" i="5" s="1"/>
  <c r="AL98" i="5"/>
  <c r="AL24" i="5"/>
  <c r="BP98" i="5"/>
  <c r="BP24" i="5"/>
  <c r="DX23" i="5"/>
  <c r="BU30" i="5"/>
  <c r="EC30" i="5"/>
  <c r="BA94" i="5"/>
  <c r="ET24" i="5"/>
  <c r="CO23" i="5"/>
  <c r="DS23" i="5"/>
  <c r="BF44" i="5"/>
  <c r="BP44" i="5"/>
  <c r="CT44" i="5"/>
  <c r="M44" i="5"/>
  <c r="CY44" i="5"/>
  <c r="AB94" i="5"/>
  <c r="AG102" i="5"/>
  <c r="M30" i="5"/>
  <c r="M101" i="5" s="1"/>
  <c r="M104" i="5"/>
  <c r="BU104" i="5"/>
  <c r="R35" i="5"/>
  <c r="R106" i="5" s="1"/>
  <c r="R107" i="5"/>
  <c r="AV107" i="5"/>
  <c r="AV35" i="5"/>
  <c r="AV106" i="5" s="1"/>
  <c r="AB111" i="5"/>
  <c r="AB39" i="5"/>
  <c r="AB110" i="5" s="1"/>
  <c r="BF111" i="5"/>
  <c r="BF39" i="5"/>
  <c r="BF110" i="5" s="1"/>
  <c r="CO44" i="5"/>
  <c r="DS44" i="5"/>
  <c r="AV83" i="5"/>
  <c r="EM14" i="5"/>
  <c r="CY24" i="5"/>
  <c r="EC24" i="5"/>
  <c r="AG99" i="5"/>
  <c r="W35" i="5"/>
  <c r="W106" i="5" s="1"/>
  <c r="DI35" i="5"/>
  <c r="AQ106" i="5" s="1"/>
  <c r="M67" i="5"/>
  <c r="AQ67" i="5"/>
  <c r="BU67" i="5"/>
  <c r="CY67" i="5"/>
  <c r="EC67" i="5"/>
  <c r="AQ83" i="5"/>
  <c r="AB95" i="5"/>
  <c r="M98" i="5"/>
  <c r="AQ98" i="5"/>
  <c r="BU98" i="5"/>
  <c r="DI30" i="5"/>
  <c r="AQ101" i="5" s="1"/>
  <c r="ET32" i="5"/>
  <c r="EM30" i="5"/>
  <c r="ET30" i="5" s="1"/>
  <c r="AG104" i="5"/>
  <c r="BK104" i="5"/>
  <c r="R52" i="5"/>
  <c r="R44" i="5" s="1"/>
  <c r="AV52" i="5"/>
  <c r="BZ52" i="5"/>
  <c r="BZ44" i="5" s="1"/>
  <c r="DD52" i="5"/>
  <c r="DD44" i="5" s="1"/>
  <c r="EH52" i="5"/>
  <c r="EH44" i="5" s="1"/>
  <c r="BK95" i="5"/>
  <c r="BF13" i="5"/>
  <c r="BU87" i="5"/>
  <c r="BU89" i="5"/>
  <c r="AG24" i="5"/>
  <c r="R98" i="5"/>
  <c r="AV98" i="5"/>
  <c r="W99" i="5"/>
  <c r="BA99" i="5"/>
  <c r="EH30" i="5"/>
  <c r="EH23" i="5" s="1"/>
  <c r="AB103" i="5"/>
  <c r="BF103" i="5"/>
  <c r="AL104" i="5"/>
  <c r="BP104" i="5"/>
  <c r="BA35" i="5"/>
  <c r="BA106" i="5" s="1"/>
  <c r="EM35" i="5"/>
  <c r="ET36" i="5"/>
  <c r="W52" i="5"/>
  <c r="W44" i="5" s="1"/>
  <c r="BA52" i="5"/>
  <c r="BA44" i="5" s="1"/>
  <c r="CE52" i="5"/>
  <c r="DI52" i="5"/>
  <c r="DI44" i="5" s="1"/>
  <c r="ET53" i="5"/>
  <c r="ET60" i="5"/>
  <c r="EM67" i="5"/>
  <c r="ET75" i="5"/>
  <c r="BW122" i="5"/>
  <c r="AG83" i="5"/>
  <c r="BK83" i="5"/>
  <c r="AL84" i="5"/>
  <c r="BW84" i="5" s="1"/>
  <c r="BP84" i="5"/>
  <c r="M95" i="5"/>
  <c r="AQ95" i="5"/>
  <c r="BU95" i="5"/>
  <c r="R96" i="5"/>
  <c r="AV96" i="5"/>
  <c r="W102" i="5"/>
  <c r="BA102" i="5"/>
  <c r="AG103" i="5"/>
  <c r="BK103" i="5"/>
  <c r="AG35" i="5"/>
  <c r="AG106" i="5" s="1"/>
  <c r="AG107" i="5"/>
  <c r="BK35" i="5"/>
  <c r="BK106" i="5" s="1"/>
  <c r="BK107" i="5"/>
  <c r="AL108" i="5"/>
  <c r="AL35" i="5"/>
  <c r="AL106" i="5" s="1"/>
  <c r="BP108" i="5"/>
  <c r="BP35" i="5"/>
  <c r="BP106" i="5" s="1"/>
  <c r="BK110" i="5"/>
  <c r="CJ44" i="5"/>
  <c r="R111" i="5"/>
  <c r="AL13" i="5"/>
  <c r="BP13" i="5"/>
  <c r="M84" i="5"/>
  <c r="AQ84" i="5"/>
  <c r="M24" i="5"/>
  <c r="AQ24" i="5"/>
  <c r="BU24" i="5"/>
  <c r="R95" i="5"/>
  <c r="AV95" i="5"/>
  <c r="W96" i="5"/>
  <c r="BA96" i="5"/>
  <c r="AL107" i="5"/>
  <c r="BP107" i="5"/>
  <c r="M108" i="5"/>
  <c r="AQ108" i="5"/>
  <c r="BU108" i="5"/>
  <c r="W111" i="5"/>
  <c r="W39" i="5"/>
  <c r="W110" i="5" s="1"/>
  <c r="BA111" i="5"/>
  <c r="BA39" i="5"/>
  <c r="BA110" i="5" s="1"/>
  <c r="ET40" i="5"/>
  <c r="EM45" i="5"/>
  <c r="H67" i="5"/>
  <c r="AL67" i="5"/>
  <c r="BP67" i="5"/>
  <c r="CT67" i="5"/>
  <c r="DX67" i="5"/>
  <c r="DX77" i="5" s="1"/>
  <c r="R67" i="5"/>
  <c r="AV67" i="5"/>
  <c r="BZ67" i="5"/>
  <c r="DD67" i="5"/>
  <c r="EH67" i="5"/>
  <c r="BW114" i="5"/>
  <c r="BW113" i="5" s="1"/>
  <c r="EM52" i="5"/>
  <c r="ET52" i="5" s="1"/>
  <c r="CD7" i="6" l="1"/>
  <c r="BT211" i="6"/>
  <c r="DH7" i="6"/>
  <c r="CO77" i="5"/>
  <c r="M106" i="5"/>
  <c r="CY23" i="5"/>
  <c r="CT23" i="5"/>
  <c r="K35" i="10"/>
  <c r="CJ77" i="5"/>
  <c r="AV44" i="5"/>
  <c r="R94" i="5"/>
  <c r="CE44" i="5"/>
  <c r="CE77" i="5" s="1"/>
  <c r="AV101" i="5"/>
  <c r="AA35" i="10"/>
  <c r="AA30" i="10" s="1"/>
  <c r="AK46" i="10"/>
  <c r="AD35" i="10"/>
  <c r="AD30" i="10" s="1"/>
  <c r="AC35" i="10"/>
  <c r="W35" i="10"/>
  <c r="P88" i="10"/>
  <c r="J14" i="10"/>
  <c r="AE30" i="10"/>
  <c r="AK66" i="10"/>
  <c r="V56" i="10"/>
  <c r="V30" i="10" s="1"/>
  <c r="G30" i="10"/>
  <c r="AH96" i="10"/>
  <c r="Y35" i="10"/>
  <c r="N14" i="10"/>
  <c r="AF35" i="10"/>
  <c r="AF30" i="10" s="1"/>
  <c r="X90" i="10"/>
  <c r="X88" i="10" s="1"/>
  <c r="X84" i="10" s="1"/>
  <c r="X80" i="10" s="1"/>
  <c r="X30" i="10" s="1"/>
  <c r="CT77" i="5"/>
  <c r="DD77" i="5"/>
  <c r="AC30" i="10"/>
  <c r="AL14" i="10"/>
  <c r="AK14" i="10"/>
  <c r="O35" i="10"/>
  <c r="I56" i="10"/>
  <c r="T65" i="10"/>
  <c r="N35" i="10"/>
  <c r="AK41" i="10"/>
  <c r="AL41" i="10"/>
  <c r="S35" i="10"/>
  <c r="AL33" i="10"/>
  <c r="AK33" i="10"/>
  <c r="Q35" i="10"/>
  <c r="U12" i="10"/>
  <c r="AK65" i="10"/>
  <c r="AL65" i="10"/>
  <c r="K56" i="10"/>
  <c r="AL21" i="10"/>
  <c r="AK21" i="10"/>
  <c r="AB35" i="10"/>
  <c r="AB30" i="10" s="1"/>
  <c r="S90" i="10"/>
  <c r="J56" i="10"/>
  <c r="I35" i="10"/>
  <c r="AL81" i="10"/>
  <c r="AK81" i="10"/>
  <c r="AL50" i="10"/>
  <c r="AK50" i="10"/>
  <c r="AH49" i="10"/>
  <c r="AH90" i="10"/>
  <c r="AK91" i="10"/>
  <c r="AK63" i="10"/>
  <c r="AL63" i="10"/>
  <c r="AL39" i="10"/>
  <c r="AK39" i="10"/>
  <c r="AG56" i="10"/>
  <c r="R35" i="10"/>
  <c r="J35" i="10"/>
  <c r="AH58" i="10"/>
  <c r="AK59" i="10"/>
  <c r="AL59" i="10"/>
  <c r="AK72" i="10"/>
  <c r="AL72" i="10"/>
  <c r="AG30" i="10"/>
  <c r="M56" i="10"/>
  <c r="T96" i="10"/>
  <c r="W30" i="10"/>
  <c r="AL51" i="10"/>
  <c r="AK51" i="10"/>
  <c r="I14" i="10"/>
  <c r="Q90" i="10"/>
  <c r="I84" i="10"/>
  <c r="J88" i="10"/>
  <c r="T44" i="10"/>
  <c r="T16" i="10"/>
  <c r="AH28" i="10"/>
  <c r="AL10" i="10"/>
  <c r="AK10" i="10"/>
  <c r="H35" i="10"/>
  <c r="U56" i="10"/>
  <c r="L35" i="10"/>
  <c r="M35" i="10"/>
  <c r="Y30" i="10"/>
  <c r="AH16" i="10"/>
  <c r="AL17" i="10"/>
  <c r="AK17" i="10"/>
  <c r="P84" i="10"/>
  <c r="T28" i="10"/>
  <c r="K90" i="10"/>
  <c r="S56" i="10"/>
  <c r="L88" i="10"/>
  <c r="T49" i="10"/>
  <c r="T58" i="10"/>
  <c r="U35" i="10"/>
  <c r="L14" i="10"/>
  <c r="M90" i="10"/>
  <c r="L56" i="10"/>
  <c r="P35" i="10"/>
  <c r="H14" i="10"/>
  <c r="AH44" i="10"/>
  <c r="AL45" i="10"/>
  <c r="AK45" i="10"/>
  <c r="R88" i="10"/>
  <c r="P56" i="10"/>
  <c r="Q56" i="10"/>
  <c r="N56" i="10"/>
  <c r="T37" i="10"/>
  <c r="N90" i="10"/>
  <c r="O84" i="10"/>
  <c r="H56" i="10"/>
  <c r="AH37" i="10"/>
  <c r="AK38" i="10"/>
  <c r="AL38" i="10"/>
  <c r="AV54" i="9"/>
  <c r="EM12" i="9"/>
  <c r="EM40" i="9" s="1"/>
  <c r="BU68" i="9"/>
  <c r="AQ53" i="9"/>
  <c r="BU12" i="9"/>
  <c r="BU40" i="9" s="1"/>
  <c r="BU81" i="9" s="1"/>
  <c r="BK12" i="9"/>
  <c r="BK54" i="9"/>
  <c r="AV53" i="9"/>
  <c r="AV40" i="9"/>
  <c r="AV81" i="9" s="1"/>
  <c r="BU53" i="9"/>
  <c r="BF53" i="9"/>
  <c r="BF40" i="9"/>
  <c r="BF81" i="9" s="1"/>
  <c r="AL12" i="9"/>
  <c r="AL54" i="9"/>
  <c r="AG54" i="9"/>
  <c r="AG12" i="9"/>
  <c r="R53" i="9"/>
  <c r="R40" i="9"/>
  <c r="R81" i="9" s="1"/>
  <c r="BA53" i="9"/>
  <c r="BA40" i="9"/>
  <c r="BA81" i="9" s="1"/>
  <c r="AB53" i="9"/>
  <c r="AB40" i="9"/>
  <c r="AB81" i="9" s="1"/>
  <c r="BP12" i="9"/>
  <c r="BP54" i="9"/>
  <c r="W53" i="9"/>
  <c r="W40" i="9"/>
  <c r="W81" i="9" s="1"/>
  <c r="V103" i="8"/>
  <c r="BT17" i="8"/>
  <c r="BT13" i="8" s="1"/>
  <c r="DH12" i="8"/>
  <c r="EL18" i="8"/>
  <c r="V104" i="8"/>
  <c r="EB12" i="8"/>
  <c r="BT12" i="8"/>
  <c r="AF105" i="8"/>
  <c r="L14" i="8"/>
  <c r="V13" i="8"/>
  <c r="AU14" i="8"/>
  <c r="BY65" i="8"/>
  <c r="AU13" i="8"/>
  <c r="DR102" i="8"/>
  <c r="BE14" i="8"/>
  <c r="Q105" i="8"/>
  <c r="AA105" i="8"/>
  <c r="AK15" i="8"/>
  <c r="BJ17" i="8"/>
  <c r="BE103" i="8"/>
  <c r="BO14" i="8"/>
  <c r="AP15" i="8"/>
  <c r="L13" i="8"/>
  <c r="BO104" i="8"/>
  <c r="AF103" i="8"/>
  <c r="AA15" i="8"/>
  <c r="BO105" i="8"/>
  <c r="BJ14" i="8"/>
  <c r="AU104" i="8"/>
  <c r="AU103" i="8"/>
  <c r="Q14" i="8"/>
  <c r="BY87" i="8"/>
  <c r="Q15" i="8"/>
  <c r="AA14" i="8"/>
  <c r="EL167" i="8"/>
  <c r="BJ104" i="8"/>
  <c r="AZ15" i="8"/>
  <c r="AF17" i="8"/>
  <c r="EL17" i="8"/>
  <c r="L104" i="8"/>
  <c r="AA103" i="8"/>
  <c r="EL155" i="8"/>
  <c r="L103" i="8"/>
  <c r="BY72" i="8"/>
  <c r="L15" i="8"/>
  <c r="EL107" i="8"/>
  <c r="AK13" i="8"/>
  <c r="AF104" i="8"/>
  <c r="AP102" i="8"/>
  <c r="AK105" i="8"/>
  <c r="AF14" i="8"/>
  <c r="BO17" i="8"/>
  <c r="AZ12" i="8"/>
  <c r="Q103" i="8"/>
  <c r="BT102" i="8"/>
  <c r="AK14" i="8"/>
  <c r="BE105" i="8"/>
  <c r="BO15" i="8"/>
  <c r="AA13" i="8"/>
  <c r="AU15" i="8"/>
  <c r="AF15" i="8"/>
  <c r="Q17" i="8"/>
  <c r="BJ105" i="8"/>
  <c r="BJ103" i="8"/>
  <c r="BE15" i="8"/>
  <c r="EL13" i="7"/>
  <c r="BJ15" i="7"/>
  <c r="AU16" i="7"/>
  <c r="EL122" i="7"/>
  <c r="AZ12" i="7"/>
  <c r="BO15" i="7"/>
  <c r="EL65" i="7"/>
  <c r="AF15" i="7"/>
  <c r="BE16" i="7"/>
  <c r="BJ14" i="7"/>
  <c r="L16" i="7"/>
  <c r="BT30" i="7"/>
  <c r="V16" i="7"/>
  <c r="Q16" i="7"/>
  <c r="AK16" i="7"/>
  <c r="BY40" i="7"/>
  <c r="BY33" i="7"/>
  <c r="Q15" i="7"/>
  <c r="BJ16" i="7"/>
  <c r="AK15" i="7"/>
  <c r="BT65" i="7"/>
  <c r="BT122" i="7"/>
  <c r="V12" i="7"/>
  <c r="BT13" i="7"/>
  <c r="BE14" i="7"/>
  <c r="AP15" i="7"/>
  <c r="AA16" i="7"/>
  <c r="BY35" i="7"/>
  <c r="BY31" i="7"/>
  <c r="AP16" i="7"/>
  <c r="EL14" i="7"/>
  <c r="AP279" i="6"/>
  <c r="AP11" i="6"/>
  <c r="EL14" i="6"/>
  <c r="EL13" i="6" s="1"/>
  <c r="EL8" i="6" s="1"/>
  <c r="EG7" i="6"/>
  <c r="DR7" i="6"/>
  <c r="BT210" i="6"/>
  <c r="EL115" i="6"/>
  <c r="BT22" i="6"/>
  <c r="L9" i="6"/>
  <c r="BY100" i="6"/>
  <c r="G278" i="6"/>
  <c r="BY214" i="6"/>
  <c r="BY226" i="6"/>
  <c r="BT28" i="6"/>
  <c r="V13" i="6"/>
  <c r="BJ210" i="6"/>
  <c r="BO278" i="6"/>
  <c r="BT46" i="6"/>
  <c r="BT34" i="6"/>
  <c r="BJ279" i="6"/>
  <c r="BJ11" i="6"/>
  <c r="AP13" i="6"/>
  <c r="BY85" i="6"/>
  <c r="EL52" i="6"/>
  <c r="BT242" i="6"/>
  <c r="CI7" i="6"/>
  <c r="EL258" i="6"/>
  <c r="BT153" i="6"/>
  <c r="BT237" i="6"/>
  <c r="L11" i="6"/>
  <c r="L279" i="6"/>
  <c r="BT158" i="6"/>
  <c r="BT57" i="6"/>
  <c r="Q13" i="6"/>
  <c r="G210" i="6"/>
  <c r="EL168" i="6"/>
  <c r="EL163" i="6"/>
  <c r="AU13" i="6"/>
  <c r="BY187" i="6"/>
  <c r="EL153" i="6"/>
  <c r="AK13" i="6"/>
  <c r="BE279" i="6"/>
  <c r="BE11" i="6"/>
  <c r="BO13" i="6"/>
  <c r="AF10" i="6"/>
  <c r="BT173" i="6"/>
  <c r="BY15" i="6"/>
  <c r="AZ13" i="6"/>
  <c r="AP9" i="6"/>
  <c r="AZ278" i="6"/>
  <c r="BT221" i="6"/>
  <c r="BT308" i="6"/>
  <c r="EL308" i="6"/>
  <c r="AA279" i="6"/>
  <c r="AA11" i="6"/>
  <c r="BT258" i="6"/>
  <c r="AF9" i="6"/>
  <c r="AF13" i="6"/>
  <c r="BY120" i="6"/>
  <c r="EL237" i="6"/>
  <c r="EL211" i="6"/>
  <c r="EL226" i="6"/>
  <c r="L13" i="6"/>
  <c r="Q278" i="6"/>
  <c r="BT168" i="6"/>
  <c r="AU278" i="6"/>
  <c r="EL216" i="6"/>
  <c r="BT138" i="6"/>
  <c r="BT163" i="6"/>
  <c r="BT148" i="6"/>
  <c r="BY110" i="6"/>
  <c r="EL74" i="6"/>
  <c r="EL46" i="6"/>
  <c r="BY252" i="6"/>
  <c r="V279" i="6"/>
  <c r="V11" i="6"/>
  <c r="EL232" i="6"/>
  <c r="BT132" i="6"/>
  <c r="BY90" i="6"/>
  <c r="EL68" i="6"/>
  <c r="BT14" i="6"/>
  <c r="BT52" i="6"/>
  <c r="BJ8" i="6"/>
  <c r="BY95" i="6"/>
  <c r="EL268" i="6"/>
  <c r="AK278" i="6"/>
  <c r="BT268" i="6"/>
  <c r="BY17" i="6"/>
  <c r="BY105" i="6"/>
  <c r="BY16" i="6"/>
  <c r="BY62" i="6"/>
  <c r="BT68" i="6"/>
  <c r="BT40" i="6"/>
  <c r="BE13" i="6"/>
  <c r="BT232" i="6"/>
  <c r="BT115" i="6"/>
  <c r="EL57" i="6"/>
  <c r="AA8" i="6"/>
  <c r="H77" i="5"/>
  <c r="BZ77" i="5"/>
  <c r="R23" i="5"/>
  <c r="R93" i="5" s="1"/>
  <c r="AV23" i="5"/>
  <c r="AV93" i="5" s="1"/>
  <c r="CY77" i="5"/>
  <c r="EC23" i="5"/>
  <c r="EC77" i="5" s="1"/>
  <c r="DS77" i="5"/>
  <c r="BF101" i="5"/>
  <c r="BK101" i="5"/>
  <c r="EH77" i="5"/>
  <c r="BF83" i="5"/>
  <c r="W23" i="5"/>
  <c r="W93" i="5" s="1"/>
  <c r="BA83" i="5"/>
  <c r="AL77" i="5"/>
  <c r="AL83" i="5"/>
  <c r="EM44" i="5"/>
  <c r="ET44" i="5" s="1"/>
  <c r="ET45" i="5"/>
  <c r="ET35" i="5"/>
  <c r="BU106" i="5"/>
  <c r="EM23" i="5"/>
  <c r="ET23" i="5" s="1"/>
  <c r="BU84" i="5"/>
  <c r="BU13" i="5"/>
  <c r="DI23" i="5"/>
  <c r="DI77" i="5" s="1"/>
  <c r="BF94" i="5"/>
  <c r="BF23" i="5"/>
  <c r="BF93" i="5" s="1"/>
  <c r="BP83" i="5"/>
  <c r="ET14" i="5"/>
  <c r="EM13" i="5"/>
  <c r="BA23" i="5"/>
  <c r="BA93" i="5" s="1"/>
  <c r="BP94" i="5"/>
  <c r="BP23" i="5"/>
  <c r="BP93" i="5" s="1"/>
  <c r="BU94" i="5"/>
  <c r="BU23" i="5"/>
  <c r="AQ94" i="5"/>
  <c r="AQ23" i="5"/>
  <c r="ET67" i="5"/>
  <c r="AV77" i="5"/>
  <c r="BK94" i="5"/>
  <c r="AL94" i="5"/>
  <c r="AL23" i="5"/>
  <c r="AL93" i="5" s="1"/>
  <c r="AB23" i="5"/>
  <c r="AB101" i="5"/>
  <c r="W83" i="5"/>
  <c r="W77" i="5"/>
  <c r="M94" i="5"/>
  <c r="M23" i="5"/>
  <c r="AG23" i="5"/>
  <c r="AG94" i="5"/>
  <c r="BZ83" i="5"/>
  <c r="BK23" i="5"/>
  <c r="BU101" i="5"/>
  <c r="BP101" i="5"/>
  <c r="BY14" i="6" l="1"/>
  <c r="T88" i="10"/>
  <c r="T84" i="10" s="1"/>
  <c r="AK96" i="10"/>
  <c r="M88" i="10"/>
  <c r="AL16" i="10"/>
  <c r="AK16" i="10"/>
  <c r="J84" i="10"/>
  <c r="AH88" i="10"/>
  <c r="AK90" i="10"/>
  <c r="L84" i="10"/>
  <c r="AL28" i="10"/>
  <c r="AK49" i="10"/>
  <c r="AL49" i="10"/>
  <c r="S88" i="10"/>
  <c r="AH35" i="10"/>
  <c r="AL37" i="10"/>
  <c r="AK37" i="10"/>
  <c r="T35" i="10"/>
  <c r="U30" i="10"/>
  <c r="P80" i="10"/>
  <c r="H30" i="10"/>
  <c r="I80" i="10"/>
  <c r="AK44" i="10"/>
  <c r="AL44" i="10"/>
  <c r="T56" i="10"/>
  <c r="Q88" i="10"/>
  <c r="AL58" i="10"/>
  <c r="AK58" i="10"/>
  <c r="AH56" i="10"/>
  <c r="U28" i="10"/>
  <c r="AK28" i="10" s="1"/>
  <c r="AK12" i="10"/>
  <c r="R84" i="10"/>
  <c r="T14" i="10"/>
  <c r="O80" i="10"/>
  <c r="N88" i="10"/>
  <c r="K88" i="10"/>
  <c r="AJ12" i="10"/>
  <c r="BP40" i="9"/>
  <c r="BP81" i="9" s="1"/>
  <c r="BP53" i="9"/>
  <c r="AG53" i="9"/>
  <c r="AG40" i="9"/>
  <c r="AG81" i="9" s="1"/>
  <c r="AL40" i="9"/>
  <c r="AL81" i="9" s="1"/>
  <c r="AL53" i="9"/>
  <c r="BK40" i="9"/>
  <c r="BK81" i="9" s="1"/>
  <c r="BK53" i="9"/>
  <c r="V102" i="8"/>
  <c r="Q13" i="8"/>
  <c r="EL103" i="8"/>
  <c r="L12" i="8"/>
  <c r="BE102" i="8"/>
  <c r="BY62" i="8"/>
  <c r="Q102" i="8"/>
  <c r="EL104" i="8"/>
  <c r="AU102" i="8"/>
  <c r="AF102" i="8"/>
  <c r="BJ102" i="8"/>
  <c r="EL13" i="8"/>
  <c r="AP12" i="8"/>
  <c r="AK102" i="8"/>
  <c r="AK12" i="8"/>
  <c r="AA102" i="8"/>
  <c r="AF13" i="8"/>
  <c r="EL105" i="8"/>
  <c r="BO102" i="8"/>
  <c r="BJ13" i="8"/>
  <c r="AU12" i="8"/>
  <c r="V12" i="8"/>
  <c r="AA12" i="8"/>
  <c r="BO13" i="8"/>
  <c r="L102" i="8"/>
  <c r="BE12" i="8"/>
  <c r="Q12" i="7"/>
  <c r="AP12" i="7"/>
  <c r="BT14" i="7"/>
  <c r="EL16" i="7"/>
  <c r="BE12" i="7"/>
  <c r="BT16" i="7"/>
  <c r="L12" i="7"/>
  <c r="AA12" i="7"/>
  <c r="BT15" i="7"/>
  <c r="BO12" i="7"/>
  <c r="BY30" i="7"/>
  <c r="AU12" i="7"/>
  <c r="AF12" i="7"/>
  <c r="BT12" i="7"/>
  <c r="AK12" i="7"/>
  <c r="BJ12" i="7"/>
  <c r="EL15" i="7"/>
  <c r="AP278" i="6"/>
  <c r="V8" i="6"/>
  <c r="BE8" i="6"/>
  <c r="BT13" i="6"/>
  <c r="AF8" i="6"/>
  <c r="BJ9" i="6"/>
  <c r="EL279" i="6"/>
  <c r="Q10" i="6"/>
  <c r="L278" i="6"/>
  <c r="L8" i="6"/>
  <c r="BE278" i="6"/>
  <c r="G9" i="6"/>
  <c r="AP8" i="6"/>
  <c r="G10" i="6"/>
  <c r="AK10" i="6"/>
  <c r="AU10" i="6"/>
  <c r="AU8" i="6"/>
  <c r="BY210" i="6"/>
  <c r="BY9" i="6" s="1"/>
  <c r="EL210" i="6"/>
  <c r="BY13" i="6"/>
  <c r="BO10" i="6"/>
  <c r="BJ278" i="6"/>
  <c r="BO8" i="6"/>
  <c r="V278" i="6"/>
  <c r="BT9" i="6"/>
  <c r="AA278" i="6"/>
  <c r="BT279" i="6"/>
  <c r="AZ10" i="6"/>
  <c r="AZ8" i="6"/>
  <c r="AK8" i="6"/>
  <c r="Q8" i="6"/>
  <c r="BU93" i="5"/>
  <c r="BW83" i="5"/>
  <c r="BW82" i="5" s="1"/>
  <c r="BW81" i="5" s="1"/>
  <c r="BW147" i="5" s="1"/>
  <c r="R77" i="5"/>
  <c r="BF77" i="5"/>
  <c r="AG93" i="5"/>
  <c r="AG77" i="5"/>
  <c r="AB93" i="5"/>
  <c r="AB77" i="5"/>
  <c r="AQ93" i="5"/>
  <c r="AQ77" i="5"/>
  <c r="M93" i="5"/>
  <c r="M77" i="5"/>
  <c r="ET13" i="5"/>
  <c r="EM77" i="5"/>
  <c r="ET77" i="5" s="1"/>
  <c r="BA77" i="5"/>
  <c r="BU77" i="5"/>
  <c r="BU83" i="5"/>
  <c r="BK93" i="5"/>
  <c r="BK77" i="5"/>
  <c r="BP77" i="5"/>
  <c r="O30" i="10" l="1"/>
  <c r="P30" i="10"/>
  <c r="K84" i="10"/>
  <c r="J80" i="10"/>
  <c r="AL35" i="10"/>
  <c r="AK35" i="10"/>
  <c r="AL56" i="10"/>
  <c r="AK56" i="10"/>
  <c r="T80" i="10"/>
  <c r="T30" i="10" s="1"/>
  <c r="R80" i="10"/>
  <c r="I30" i="10"/>
  <c r="AL88" i="10"/>
  <c r="AH84" i="10"/>
  <c r="AK88" i="10"/>
  <c r="M84" i="10"/>
  <c r="N84" i="10"/>
  <c r="AN30" i="10"/>
  <c r="Q84" i="10"/>
  <c r="S84" i="10"/>
  <c r="L80" i="10"/>
  <c r="BJ12" i="8"/>
  <c r="BO12" i="8"/>
  <c r="EL12" i="8"/>
  <c r="EL102" i="8"/>
  <c r="BY14" i="8"/>
  <c r="Q12" i="8"/>
  <c r="AF12" i="8"/>
  <c r="BY14" i="7"/>
  <c r="EL12" i="7"/>
  <c r="AP10" i="6"/>
  <c r="AP7" i="6" s="1"/>
  <c r="Q7" i="6"/>
  <c r="AA10" i="6"/>
  <c r="BO7" i="6"/>
  <c r="BJ10" i="6"/>
  <c r="EL9" i="6"/>
  <c r="AF7" i="6"/>
  <c r="BT8" i="6"/>
  <c r="AZ7" i="6"/>
  <c r="BE7" i="6"/>
  <c r="AK7" i="6"/>
  <c r="BT278" i="6"/>
  <c r="G7" i="6"/>
  <c r="BE10" i="6"/>
  <c r="L10" i="6"/>
  <c r="EL278" i="6"/>
  <c r="V10" i="6"/>
  <c r="BY8" i="6"/>
  <c r="AU7" i="6"/>
  <c r="L30" i="10" l="1"/>
  <c r="R30" i="10"/>
  <c r="M80" i="10"/>
  <c r="S80" i="10"/>
  <c r="J30" i="10"/>
  <c r="AL84" i="10"/>
  <c r="AK84" i="10"/>
  <c r="AH80" i="10"/>
  <c r="K80" i="10"/>
  <c r="Q80" i="10"/>
  <c r="N80" i="10"/>
  <c r="BY12" i="8"/>
  <c r="BY12" i="7"/>
  <c r="EL10" i="6"/>
  <c r="AA7" i="6"/>
  <c r="L7" i="6"/>
  <c r="BY7" i="6"/>
  <c r="BT10" i="6"/>
  <c r="V7" i="6"/>
  <c r="BJ7" i="6"/>
  <c r="EL7" i="6" l="1"/>
  <c r="N30" i="10"/>
  <c r="AL80" i="10"/>
  <c r="AK80" i="10"/>
  <c r="AH30" i="10"/>
  <c r="K30" i="10"/>
  <c r="M30" i="10"/>
  <c r="Q30" i="10"/>
  <c r="S30" i="10"/>
  <c r="BT7" i="6"/>
  <c r="AL30" i="10" l="1"/>
  <c r="AK30" i="10"/>
</calcChain>
</file>

<file path=xl/sharedStrings.xml><?xml version="1.0" encoding="utf-8"?>
<sst xmlns="http://schemas.openxmlformats.org/spreadsheetml/2006/main" count="1668" uniqueCount="625">
  <si>
    <t>2020/21</t>
  </si>
  <si>
    <t>2019/20</t>
  </si>
  <si>
    <t>Revised</t>
  </si>
  <si>
    <t>April</t>
  </si>
  <si>
    <t>May</t>
  </si>
  <si>
    <t>June</t>
  </si>
  <si>
    <t>July</t>
  </si>
  <si>
    <t>August</t>
  </si>
  <si>
    <t>September</t>
  </si>
  <si>
    <t>October</t>
  </si>
  <si>
    <t>November</t>
  </si>
  <si>
    <t>December</t>
  </si>
  <si>
    <t>January</t>
  </si>
  <si>
    <t>February</t>
  </si>
  <si>
    <t>March</t>
  </si>
  <si>
    <t>Year to date</t>
  </si>
  <si>
    <t>Audited</t>
  </si>
  <si>
    <t>R thousand</t>
  </si>
  <si>
    <t>Table</t>
  </si>
  <si>
    <t>estimate</t>
  </si>
  <si>
    <t>Direct charges against the NRF</t>
  </si>
  <si>
    <t>Debt-service costs</t>
  </si>
  <si>
    <t>Provincial equitable share</t>
  </si>
  <si>
    <t>General fuel levy sharing with metropolitan municipalities</t>
  </si>
  <si>
    <t>South African Airways</t>
  </si>
  <si>
    <t>SABC</t>
  </si>
  <si>
    <t>Other costs</t>
  </si>
  <si>
    <t>National government projected underspending</t>
  </si>
  <si>
    <t>Main budget balance</t>
  </si>
  <si>
    <t>Domestic short-term loans (net)</t>
  </si>
  <si>
    <t>Domestic long-term loans (net)</t>
  </si>
  <si>
    <t>1) A negative value indicates an increase in cash and other balances. A positive value indicates that cash is used to finance part of the borrowing requirement.</t>
  </si>
  <si>
    <t>Table 1 Revenue*</t>
  </si>
  <si>
    <t xml:space="preserve">June </t>
  </si>
  <si>
    <t>outcome</t>
  </si>
  <si>
    <t xml:space="preserve">Taxes on income and profits </t>
  </si>
  <si>
    <t>Personal income tax</t>
  </si>
  <si>
    <t>Provisional tax, assessment payments and penalties</t>
  </si>
  <si>
    <t>Employees tax</t>
  </si>
  <si>
    <t>ETI credit - refunds granted against PAYE payment</t>
  </si>
  <si>
    <t>ETI credit - refunds</t>
  </si>
  <si>
    <t>PIT refunds</t>
  </si>
  <si>
    <t>Tax on corporate income</t>
  </si>
  <si>
    <t>Corporate income tax</t>
  </si>
  <si>
    <t>Secondary tax on companies</t>
  </si>
  <si>
    <t>Withholding tax on dividends</t>
  </si>
  <si>
    <t>Withholding tax on Interest</t>
  </si>
  <si>
    <t>Other</t>
  </si>
  <si>
    <t>Interest on overdue income tax</t>
  </si>
  <si>
    <t>Small business tax amnesty</t>
  </si>
  <si>
    <t>Taxes on payroll and workforce</t>
  </si>
  <si>
    <t xml:space="preserve">Skills development levy  </t>
  </si>
  <si>
    <t>Taxes on property</t>
  </si>
  <si>
    <t>Estate, inheritance and gift taxes</t>
  </si>
  <si>
    <t>Donations tax</t>
  </si>
  <si>
    <t xml:space="preserve">Estate duty </t>
  </si>
  <si>
    <t>Taxes on financial and capital transactions</t>
  </si>
  <si>
    <t>Securities transfer tax</t>
  </si>
  <si>
    <t>Transfer duties</t>
  </si>
  <si>
    <t>Taxes on goods and services</t>
  </si>
  <si>
    <t xml:space="preserve">Value-added tax </t>
  </si>
  <si>
    <t>Domestic VAT</t>
  </si>
  <si>
    <t>Import VAT</t>
  </si>
  <si>
    <t>Refunds</t>
  </si>
  <si>
    <t>Turnover tax for small businesses</t>
  </si>
  <si>
    <t>Specific excise duties</t>
  </si>
  <si>
    <t>Beer</t>
  </si>
  <si>
    <t>Sorghum beer and sorghum flour</t>
  </si>
  <si>
    <t>Wine and other fermented beverages</t>
  </si>
  <si>
    <t>Spirits</t>
  </si>
  <si>
    <t>Cigarettes and cigarette tobacco</t>
  </si>
  <si>
    <t>Pipe tobacco and cigars</t>
  </si>
  <si>
    <t>Petroleum products</t>
  </si>
  <si>
    <t>1)</t>
  </si>
  <si>
    <t>Revenue from neighbouring countries</t>
  </si>
  <si>
    <t>2)</t>
  </si>
  <si>
    <t>Ad valorem excise duties</t>
  </si>
  <si>
    <t>Health promotion levy</t>
  </si>
  <si>
    <t>General fuel levy</t>
  </si>
  <si>
    <t>Of which:</t>
  </si>
  <si>
    <t xml:space="preserve">    Carbon fuel levy</t>
  </si>
  <si>
    <t xml:space="preserve">      CFL Domestic</t>
  </si>
  <si>
    <t xml:space="preserve">      CFL Imported</t>
  </si>
  <si>
    <t>Taxes on use of goods and on permission to use goods or perform activities</t>
  </si>
  <si>
    <t>Air departure tax</t>
  </si>
  <si>
    <t>Plastic bag levy</t>
  </si>
  <si>
    <t>Electricity levy</t>
  </si>
  <si>
    <t>Incandescent light bulb levy</t>
  </si>
  <si>
    <t>CO₂ tax - motor vehicle emissions</t>
  </si>
  <si>
    <t>Tyre levy</t>
  </si>
  <si>
    <t>International Oil Pollution Compensation Fund</t>
  </si>
  <si>
    <t>Carbon tax</t>
  </si>
  <si>
    <t>Universal Service Fund</t>
  </si>
  <si>
    <t>Taxes on international trade and transactions</t>
  </si>
  <si>
    <t>Import duties</t>
  </si>
  <si>
    <t>Customs duties</t>
  </si>
  <si>
    <t xml:space="preserve">Specific excise duties on imports </t>
  </si>
  <si>
    <t>Health promotion levy on imports</t>
  </si>
  <si>
    <t>Miscellaneous customs and excise receipts</t>
  </si>
  <si>
    <t>Diamond export duties</t>
  </si>
  <si>
    <t>Other taxes</t>
  </si>
  <si>
    <t>Stamp duties and fees</t>
  </si>
  <si>
    <t>State miscellaneous revenue</t>
  </si>
  <si>
    <t>3)</t>
  </si>
  <si>
    <t>Total tax revenue (gross)</t>
  </si>
  <si>
    <t>Less: SACU payments</t>
  </si>
  <si>
    <t>4)</t>
  </si>
  <si>
    <t>Total tax revenue (net of SACU payments)</t>
  </si>
  <si>
    <t>Departmental revenue</t>
  </si>
  <si>
    <t>Sales of goods and services other than capital assets</t>
  </si>
  <si>
    <t>Sales by market establishments</t>
  </si>
  <si>
    <t>Non-tax receipts</t>
  </si>
  <si>
    <t>Administrative fees</t>
  </si>
  <si>
    <t>Other sales</t>
  </si>
  <si>
    <t>Selling of scrap or waste and other used current goods</t>
  </si>
  <si>
    <t>Transfers received</t>
  </si>
  <si>
    <t>Fines penalties and forfeits</t>
  </si>
  <si>
    <t>Interest, dividends and rent on land</t>
  </si>
  <si>
    <t>Interest</t>
  </si>
  <si>
    <t>Dividends</t>
  </si>
  <si>
    <t>Rent on land</t>
  </si>
  <si>
    <t xml:space="preserve">  Of which:</t>
  </si>
  <si>
    <t xml:space="preserve"> Mineral and petroleum royalties</t>
  </si>
  <si>
    <t>Sales of capital assets</t>
  </si>
  <si>
    <t>Financial transactions in assets and liabilities</t>
  </si>
  <si>
    <t>Recoveries of accrued revenue</t>
  </si>
  <si>
    <t>Recovery of loans</t>
  </si>
  <si>
    <t>Accounts receivable</t>
  </si>
  <si>
    <t>Other receipts</t>
  </si>
  <si>
    <t>Forex gains</t>
  </si>
  <si>
    <t>Arrear wages income</t>
  </si>
  <si>
    <t>Cash surpluses</t>
  </si>
  <si>
    <t>Deposits on accommodation</t>
  </si>
  <si>
    <t>Deposits abroad</t>
  </si>
  <si>
    <t>Breach of contracts</t>
  </si>
  <si>
    <t>Recovery of payments made</t>
  </si>
  <si>
    <t>Recovery of previous years' expenditure</t>
  </si>
  <si>
    <t>Stale cheques</t>
  </si>
  <si>
    <t>Unallocated credits</t>
  </si>
  <si>
    <t>Unclaimed security deposits</t>
  </si>
  <si>
    <t>NRF receipts</t>
  </si>
  <si>
    <t>5)</t>
  </si>
  <si>
    <t>Total national government revenue</t>
  </si>
  <si>
    <t>Reconciliation to total net revenue and revenue collected on Table 4</t>
  </si>
  <si>
    <t>Departmental revenue received but not yet paid to NRF</t>
  </si>
  <si>
    <t>Departmental revenue collected</t>
  </si>
  <si>
    <t>Departmental revenue received by the NRF</t>
  </si>
  <si>
    <t>Other revenue received by the NRF</t>
  </si>
  <si>
    <t>6)</t>
  </si>
  <si>
    <t xml:space="preserve">  ICASA</t>
  </si>
  <si>
    <t xml:space="preserve">  Financial Intelligence Centre Act</t>
  </si>
  <si>
    <t xml:space="preserve">  SARB Discovery</t>
  </si>
  <si>
    <t xml:space="preserve">  SARB Deutsche Bank</t>
  </si>
  <si>
    <t xml:space="preserve">  SARB Brightrock life penalty</t>
  </si>
  <si>
    <t xml:space="preserve">  Proceeds of organised Crime Act</t>
  </si>
  <si>
    <t xml:space="preserve">  Asset Forfeiture Unit</t>
  </si>
  <si>
    <t xml:space="preserve">  National Library</t>
  </si>
  <si>
    <t xml:space="preserve">  DTI Various entities</t>
  </si>
  <si>
    <t xml:space="preserve">  Competition Commission</t>
  </si>
  <si>
    <t xml:space="preserve">  Refund Police</t>
  </si>
  <si>
    <t xml:space="preserve">  Refund Correctional Services</t>
  </si>
  <si>
    <t>Revenue collected on behalf of the Provincial Authorities</t>
  </si>
  <si>
    <t>Revenue collected on behalf of the RAF</t>
  </si>
  <si>
    <t>Revenue collected on behalf of the UIF</t>
  </si>
  <si>
    <t>Total net revenue</t>
  </si>
  <si>
    <t>Cash balance NRF</t>
  </si>
  <si>
    <t>Provincial revenue collected by SARS and transferred by NRF</t>
  </si>
  <si>
    <t>Direct transfer from NRF to the RAF</t>
  </si>
  <si>
    <t>Direct transfer from NRF to the UIF</t>
  </si>
  <si>
    <t>CARA added as part of cash revenue in Table 4</t>
  </si>
  <si>
    <t>Revenue collected according to Table 4</t>
  </si>
  <si>
    <t>1) Specific excise duties on petrol, distillate fuel, residual fuel and base oil.</t>
  </si>
  <si>
    <t>2) Excise duties collected by Botswana, Lesotho, Namibia and Eswatini.</t>
  </si>
  <si>
    <t>3) Revenue received by SARS in respect of taxation that could not be allocated to specific revenue types.</t>
  </si>
  <si>
    <t>4) Payments in terms of SACU agreements.</t>
  </si>
  <si>
    <t>5) NRF receipts (previously classified as extra ordinary receipts), for more details see Table 5.</t>
  </si>
  <si>
    <t>6) Other revenue received by the NRF that is not classified as Departmental Revenue.</t>
  </si>
  <si>
    <t>*) Any negative amounts reflect refunds and reclassification of previous recorded amounts. Reclassification will be reflected on the database.</t>
  </si>
  <si>
    <t>Table 2 Expenditure by national vote*</t>
  </si>
  <si>
    <t xml:space="preserve">                                                                                                                                                                                                       </t>
  </si>
  <si>
    <t>Revised estimate</t>
  </si>
  <si>
    <t>Current</t>
  </si>
  <si>
    <t>Transfers and</t>
  </si>
  <si>
    <t>Payments for</t>
  </si>
  <si>
    <t xml:space="preserve">Payments for </t>
  </si>
  <si>
    <t>Total</t>
  </si>
  <si>
    <t xml:space="preserve">Payments  for </t>
  </si>
  <si>
    <t>payments</t>
  </si>
  <si>
    <t>subsidies</t>
  </si>
  <si>
    <t>capital assets</t>
  </si>
  <si>
    <t>financial assets</t>
  </si>
  <si>
    <t>Vulindlela</t>
  </si>
  <si>
    <t>difference</t>
  </si>
  <si>
    <t>The Presidency</t>
  </si>
  <si>
    <t>Parliament</t>
  </si>
  <si>
    <t xml:space="preserve">Cooperative Governance </t>
  </si>
  <si>
    <t>Government Communication and Information System</t>
  </si>
  <si>
    <t>Home Affairs</t>
  </si>
  <si>
    <t>International Relations and Cooperation</t>
  </si>
  <si>
    <t>National School of Government</t>
  </si>
  <si>
    <t xml:space="preserve">National Treasury                                               </t>
  </si>
  <si>
    <t>Planning, Monitoring and Evaluation</t>
  </si>
  <si>
    <t>Public Enterprises</t>
  </si>
  <si>
    <t>Public Service and Administration</t>
  </si>
  <si>
    <t>Public Service Commission</t>
  </si>
  <si>
    <t>Public Works and Infrastructure</t>
  </si>
  <si>
    <t>Statistics South Africa</t>
  </si>
  <si>
    <t>Traditional Affairs</t>
  </si>
  <si>
    <t>Basic Education</t>
  </si>
  <si>
    <t>Higher Education and Training</t>
  </si>
  <si>
    <t>Health</t>
  </si>
  <si>
    <t>Social Development</t>
  </si>
  <si>
    <t>Women,Youth and persons with Disabilities</t>
  </si>
  <si>
    <t>Civilian secretariat for the Police Services</t>
  </si>
  <si>
    <t>Correctional Services</t>
  </si>
  <si>
    <t xml:space="preserve">Defence </t>
  </si>
  <si>
    <t>Independent Police Investigative Directorate</t>
  </si>
  <si>
    <t>Justice and Constitutional Development</t>
  </si>
  <si>
    <t>Military Veterans</t>
  </si>
  <si>
    <t xml:space="preserve">Office of the Chief Justice </t>
  </si>
  <si>
    <t>Police</t>
  </si>
  <si>
    <t>Agriculture, Land Reform and Rural Development</t>
  </si>
  <si>
    <t>Communications and Digital Technologies</t>
  </si>
  <si>
    <t>Employment and Labour</t>
  </si>
  <si>
    <t>Environment, Forestry and Fisheries</t>
  </si>
  <si>
    <t>Human Settlements</t>
  </si>
  <si>
    <t>Mineral Resources and Energy</t>
  </si>
  <si>
    <t>Science and Innovation</t>
  </si>
  <si>
    <t>Small Business Development</t>
  </si>
  <si>
    <t>Sports, Arts and Culture</t>
  </si>
  <si>
    <t>Tourism</t>
  </si>
  <si>
    <t>Trade, Industry and Competition</t>
  </si>
  <si>
    <t>Transport</t>
  </si>
  <si>
    <t>Water and Sanitation</t>
  </si>
  <si>
    <t>Total appropriation by vote</t>
  </si>
  <si>
    <t>Plus:</t>
  </si>
  <si>
    <t>President and Deputy President salaries (The Presidency)</t>
  </si>
  <si>
    <t>Members' remuneration (Parliament)</t>
  </si>
  <si>
    <t>Debt-service costs (National Treasury)</t>
  </si>
  <si>
    <t>Other cost</t>
  </si>
  <si>
    <t>Provincial equitable share (National Treasury)</t>
  </si>
  <si>
    <t>General fuel levy sharing with metropolitan municipalities (National Treasury)</t>
  </si>
  <si>
    <t>NRF payments (National Treasury)</t>
  </si>
  <si>
    <t>Auditor-General of South Africa</t>
  </si>
  <si>
    <t>Other payments</t>
  </si>
  <si>
    <t>Payments in terms of section 70 of the PFMA</t>
  </si>
  <si>
    <t xml:space="preserve">South African Express Airways </t>
  </si>
  <si>
    <t>Land and Agricultural Development Bank of SA</t>
  </si>
  <si>
    <t>Payments in terms of Section 6(1)(b) of the Appropriation act 2020</t>
  </si>
  <si>
    <t>Skills levy and sector education and training authorities (Higher Education and Training)</t>
  </si>
  <si>
    <t>Magistrates' salaries (Justice and Constitutional Development)</t>
  </si>
  <si>
    <t>Judges' salaries (Office of the Chief Justice and Judicial Administration)</t>
  </si>
  <si>
    <t>International Oil Pollution Compensation Fund (Transport)</t>
  </si>
  <si>
    <t>Total direct charges against the NRF</t>
  </si>
  <si>
    <t>Main budget expenditure</t>
  </si>
  <si>
    <t>1) Reflects monthly requested funds.</t>
  </si>
  <si>
    <t>2) In terms of Disaster Management Act as declared by the President, social grant payments for April 2020 were paid in March 2020.</t>
  </si>
  <si>
    <t>3) NRF payments (previously classified as extra ordinary payments), for more details see Table 5.</t>
  </si>
  <si>
    <t>4) The Minister of Finance approved these payments in terms of Section 70 of the PFMA. For SA Express Airways the payment was made by the Department of Public Enterprise and for Land Bank by the National Treasury.</t>
  </si>
  <si>
    <t>5) The payment has been allocated to the Department of Public Enterprise as per the the Second Adjustment Appropriation Act..</t>
  </si>
  <si>
    <t>*) Any negative amounts reflected against the votes indicate the reallocation of spending to the correct economic classification.</t>
  </si>
  <si>
    <t>Audited outcome</t>
  </si>
  <si>
    <t>Communications</t>
  </si>
  <si>
    <t>Cooperative Governance and Traditional Affairs</t>
  </si>
  <si>
    <t>Public Works</t>
  </si>
  <si>
    <t>Women</t>
  </si>
  <si>
    <t>Defence and Military Veterans</t>
  </si>
  <si>
    <t>Office of the Chief Justice and Judicial Administration</t>
  </si>
  <si>
    <t>Agriculture, Forestry and Fisheries</t>
  </si>
  <si>
    <t>Economic Development</t>
  </si>
  <si>
    <t>Energy</t>
  </si>
  <si>
    <t>Environmental Affairs</t>
  </si>
  <si>
    <t>Labour</t>
  </si>
  <si>
    <t>Mineral Resources</t>
  </si>
  <si>
    <t>Science and Technology</t>
  </si>
  <si>
    <t>Telecommunications and Postal Services</t>
  </si>
  <si>
    <t>Trade and Industry</t>
  </si>
  <si>
    <t>Arts and Culture</t>
  </si>
  <si>
    <t>Rural Development and Land Reform</t>
  </si>
  <si>
    <t>Sport and Recreation South Africa</t>
  </si>
  <si>
    <t>Eskom - payment in terms of Section 16(1) of the PFMA</t>
  </si>
  <si>
    <t>Payments in terms of Section 6(1)(b) of the Appropriation act 2019</t>
  </si>
  <si>
    <t xml:space="preserve">South African Airways </t>
  </si>
  <si>
    <t>South African Express Airways</t>
  </si>
  <si>
    <t xml:space="preserve">Denel </t>
  </si>
  <si>
    <t>Provisional allocation for contingencies not assigned to votes</t>
  </si>
  <si>
    <t>Infrastructure fund not assigned to votes</t>
  </si>
  <si>
    <t xml:space="preserve">Provisional allocation for Eskom restructuring </t>
  </si>
  <si>
    <t>Compensation of employess and other baseline adjustments</t>
  </si>
  <si>
    <t>2) NRF payments (previously classified as extra ordinary payments), for more details see Table 5.</t>
  </si>
  <si>
    <t>3) Payment has been allocated to Public Enterprise (Vote 9).</t>
  </si>
  <si>
    <t>3) The Minister of Finance approved South African Airways, South African Express Airways Denel and SABC payments in terms of Section 6(1)(b) of the Appropriation act 2019. These payments are made by Public Enterprise.</t>
  </si>
  <si>
    <t>Table 3  Summary table of borrowing</t>
  </si>
  <si>
    <t xml:space="preserve">  Treasury bills</t>
  </si>
  <si>
    <t>Shorter than 91 days</t>
  </si>
  <si>
    <t>91 days</t>
  </si>
  <si>
    <t>182 days</t>
  </si>
  <si>
    <t xml:space="preserve">                   -  </t>
  </si>
  <si>
    <t>273 days</t>
  </si>
  <si>
    <t>364 days</t>
  </si>
  <si>
    <t>Corporation for Public Deposits</t>
  </si>
  <si>
    <t xml:space="preserve">   Loans issued for financing (net)</t>
  </si>
  <si>
    <t xml:space="preserve">      Loans issued (gross)</t>
  </si>
  <si>
    <t>4.1</t>
  </si>
  <si>
    <t xml:space="preserve">      Discount</t>
  </si>
  <si>
    <t xml:space="preserve">      Scheduled redemptions</t>
  </si>
  <si>
    <t>4.2</t>
  </si>
  <si>
    <t xml:space="preserve">      Buy-backs (excluding book profit)</t>
  </si>
  <si>
    <t xml:space="preserve">   Loans issued for switches (net)</t>
  </si>
  <si>
    <t xml:space="preserve">     Loans issued (gross)</t>
  </si>
  <si>
    <t xml:space="preserve">     Discount</t>
  </si>
  <si>
    <t xml:space="preserve">     Loans switched (excluding book profit)</t>
  </si>
  <si>
    <t xml:space="preserve">   Loans issued for repo's (net)</t>
  </si>
  <si>
    <t xml:space="preserve">     Repo out</t>
  </si>
  <si>
    <t xml:space="preserve">     Repo in</t>
  </si>
  <si>
    <t xml:space="preserve">   Loans issued for extraordinary purposes (net)                                   </t>
  </si>
  <si>
    <t>Foreign long-term loans (net)</t>
  </si>
  <si>
    <t>4.3</t>
  </si>
  <si>
    <t xml:space="preserve">      Rand value at date of issue</t>
  </si>
  <si>
    <t xml:space="preserve">      Revaluation</t>
  </si>
  <si>
    <t xml:space="preserve">      Loans switched (excluding book profit)</t>
  </si>
  <si>
    <t xml:space="preserve">       Rand value at date of issue</t>
  </si>
  <si>
    <t xml:space="preserve">       Revaluation</t>
  </si>
  <si>
    <t xml:space="preserve">   Loans issued for buy-backs (net)</t>
  </si>
  <si>
    <t>Change in cash and other balances</t>
  </si>
  <si>
    <t>4.4</t>
  </si>
  <si>
    <t xml:space="preserve">    Change in cash balances</t>
  </si>
  <si>
    <t xml:space="preserve">    Outstanding transfers from the Exchequer to PMG Accounts</t>
  </si>
  <si>
    <t>Cash flow adjustment</t>
  </si>
  <si>
    <t xml:space="preserve">    Surrenders</t>
  </si>
  <si>
    <t xml:space="preserve">    Late requests</t>
  </si>
  <si>
    <t xml:space="preserve">    Reconciliation between actual revenue and actual expenditure against NRF flows</t>
  </si>
  <si>
    <t>Total borrowing</t>
  </si>
  <si>
    <t xml:space="preserve">Table 3.1 Issuance of domestic long-term loans </t>
  </si>
  <si>
    <t>Domestic long-term loans (gross)</t>
  </si>
  <si>
    <t xml:space="preserve">  Loans issued for financing</t>
  </si>
  <si>
    <t xml:space="preserve">  Loans issued for switches</t>
  </si>
  <si>
    <t xml:space="preserve">  Loans issued for repo's (Repo out)</t>
  </si>
  <si>
    <t xml:space="preserve">  Loans issued for extraordinary purposes</t>
  </si>
  <si>
    <t>Loans issued for financing (gross)</t>
  </si>
  <si>
    <t xml:space="preserve">      Cash value</t>
  </si>
  <si>
    <t xml:space="preserve">      Premium                                                          </t>
  </si>
  <si>
    <t xml:space="preserve">      Revaluation                                                      </t>
  </si>
  <si>
    <t xml:space="preserve">  Retail Bonds</t>
  </si>
  <si>
    <t xml:space="preserve">        Cash value</t>
  </si>
  <si>
    <t xml:space="preserve">  I2025 (2.00%  2025/01/31)                                                                          </t>
  </si>
  <si>
    <t xml:space="preserve">        Discount</t>
  </si>
  <si>
    <t xml:space="preserve">        Premium  </t>
  </si>
  <si>
    <t xml:space="preserve">        Revaluation</t>
  </si>
  <si>
    <t xml:space="preserve">  I2038 (2.25%  2038/01/31)                                                                          </t>
  </si>
  <si>
    <t xml:space="preserve">  I2046 (2.50%  2046/03/31)                                                                           </t>
  </si>
  <si>
    <t xml:space="preserve">  I2033 (1.875%  2033/02/28)                                                                        </t>
  </si>
  <si>
    <t xml:space="preserve">  I2050 (2.50%  2049-50-51/12/31)                                                               </t>
  </si>
  <si>
    <t xml:space="preserve">  R2035 (8.875%  2035/02/28)</t>
  </si>
  <si>
    <t xml:space="preserve">        Premium</t>
  </si>
  <si>
    <t xml:space="preserve">  R186 (10.50%  2025-26-27/12/21)</t>
  </si>
  <si>
    <t xml:space="preserve">  R189  (6.25%  2013/03/31)</t>
  </si>
  <si>
    <t xml:space="preserve">  I2029 (1.875%  2029/03/31)</t>
  </si>
  <si>
    <t xml:space="preserve">  R209  (6.25%  2036/03/31)</t>
  </si>
  <si>
    <t xml:space="preserve">  R197 (5.50%  2023/12/07)</t>
  </si>
  <si>
    <t xml:space="preserve">  R203 (8.25%  2017/09/15)</t>
  </si>
  <si>
    <t xml:space="preserve">  R204 (8.00%  2018/12/21)</t>
  </si>
  <si>
    <t xml:space="preserve">  R205  (6.88%  2012/03/31)</t>
  </si>
  <si>
    <t xml:space="preserve">  R206  (7.50%  2014/01/15)</t>
  </si>
  <si>
    <t xml:space="preserve">  R207 (7.25%  2020/01/15)</t>
  </si>
  <si>
    <t xml:space="preserve">  R208 (6.75%  2021/03/31)</t>
  </si>
  <si>
    <t xml:space="preserve">  R2040 (9.00%  2040/09/11)</t>
  </si>
  <si>
    <t xml:space="preserve">  R210 (2.60%  2028/03/31)                                                                          1)</t>
  </si>
  <si>
    <t xml:space="preserve">  R202 (3.45%  2033/12/07)</t>
  </si>
  <si>
    <t xml:space="preserve">  R212 (2.75%  2022/01/31)</t>
  </si>
  <si>
    <t xml:space="preserve">  R213 (7.00%  2031/02/28)</t>
  </si>
  <si>
    <t xml:space="preserve">  R214 (6.50%  2041/02/28)</t>
  </si>
  <si>
    <t xml:space="preserve">  R2023 (7.75%  2023/02/28)</t>
  </si>
  <si>
    <t xml:space="preserve">  R2030 (7.75%  2030/01/31)</t>
  </si>
  <si>
    <t xml:space="preserve">  R2032 (8.25%  2032/03/31)</t>
  </si>
  <si>
    <t xml:space="preserve">  R2037 (8.50%  2037/01/31)</t>
  </si>
  <si>
    <t xml:space="preserve">  R2044 (8.75%  2043-44-45/01/31)</t>
  </si>
  <si>
    <t xml:space="preserve">  R2048 (8.75%  2047-48-49/02/28)</t>
  </si>
  <si>
    <t>Table 3.1 Issuance of domestic long-term loans (continued)</t>
  </si>
  <si>
    <t xml:space="preserve">  Amortised interest on Zero Coupon Bonds (cash value)</t>
  </si>
  <si>
    <t xml:space="preserve">       Z006 (13.91%  2013/08/31)</t>
  </si>
  <si>
    <t xml:space="preserve">       Z009 (12.15%  2013/11/30)</t>
  </si>
  <si>
    <t xml:space="preserve">       Z014 (12.60%  2015/06/30)</t>
  </si>
  <si>
    <t xml:space="preserve">       Z018 (13.35%  2014/03/31)</t>
  </si>
  <si>
    <t xml:space="preserve">       Z019 (13.30%  2014/06/30)</t>
  </si>
  <si>
    <t xml:space="preserve">       Z020 (13.20%  2015/10/19)</t>
  </si>
  <si>
    <t xml:space="preserve">       Z021  (12.60%  2009/04/30)</t>
  </si>
  <si>
    <t xml:space="preserve">       Z025 (13.00%  2014/11/30)</t>
  </si>
  <si>
    <t xml:space="preserve">       Z071 (15.64%  2015/07/01)</t>
  </si>
  <si>
    <t xml:space="preserve">       Z083 (15.25%  2019/09/30)</t>
  </si>
  <si>
    <t xml:space="preserve">       Z089  (15.25%  2019/09/30)</t>
  </si>
  <si>
    <t xml:space="preserve">       Z109 (15.25%  2016/09/15)</t>
  </si>
  <si>
    <t xml:space="preserve">  Capitalised interest on Retail Bonds (cash value) </t>
  </si>
  <si>
    <t xml:space="preserve">       Corporate Retail Bond</t>
  </si>
  <si>
    <t xml:space="preserve">       RB01</t>
  </si>
  <si>
    <t xml:space="preserve">       RB02</t>
  </si>
  <si>
    <t xml:space="preserve">       RB03</t>
  </si>
  <si>
    <t xml:space="preserve">       RB04</t>
  </si>
  <si>
    <t xml:space="preserve">       RB05</t>
  </si>
  <si>
    <t xml:space="preserve">       RB06</t>
  </si>
  <si>
    <t xml:space="preserve">  R2044 (8.75%  2043-44-45/07/18)</t>
  </si>
  <si>
    <t xml:space="preserve">  R2030 (8.00%  2030/01/31)</t>
  </si>
  <si>
    <t xml:space="preserve">  R2032 (7.00%  2031/02/28)</t>
  </si>
  <si>
    <t xml:space="preserve">  R209 (6.25%  2036/03/31)</t>
  </si>
  <si>
    <t xml:space="preserve">  Margin call payable</t>
  </si>
  <si>
    <t xml:space="preserve">  R2044 (8.75%  2044-45-46/01/31)</t>
  </si>
  <si>
    <t xml:space="preserve">  R210 (2.60%  2028/03/31)</t>
  </si>
  <si>
    <t xml:space="preserve">  R2037  (8.50%  2037/01/31)</t>
  </si>
  <si>
    <t xml:space="preserve">  R2040 (9.00%  2040/01/31)</t>
  </si>
  <si>
    <t xml:space="preserve">  R204  (8.00%  2018/12/21)</t>
  </si>
  <si>
    <t xml:space="preserve">  R2030 (8.00%  2030/01/30)</t>
  </si>
  <si>
    <t xml:space="preserve">Table 3.2  Redemption of domestic long-term loans </t>
  </si>
  <si>
    <t>Redemption of domestic long-term loans</t>
  </si>
  <si>
    <t xml:space="preserve">  Scheduled </t>
  </si>
  <si>
    <t xml:space="preserve">  Due to switches</t>
  </si>
  <si>
    <t xml:space="preserve">  Due to repo's (Repo in)</t>
  </si>
  <si>
    <t xml:space="preserve">  Due to buy-backs</t>
  </si>
  <si>
    <t xml:space="preserve">Scheduled redemptions </t>
  </si>
  <si>
    <t xml:space="preserve">  R208 (6.75% 2021/03/31)</t>
  </si>
  <si>
    <t xml:space="preserve">  R158 (13.50% 2015/09/15)</t>
  </si>
  <si>
    <t xml:space="preserve">  R158P (13.50% 2015/09/15)</t>
  </si>
  <si>
    <t xml:space="preserve">  Z083 (15,25% 2019/09/30)</t>
  </si>
  <si>
    <t xml:space="preserve">  Bonus debenture</t>
  </si>
  <si>
    <t xml:space="preserve">  Former regional authorities' debt</t>
  </si>
  <si>
    <t xml:space="preserve">  Former SARB Namibian loan facility</t>
  </si>
  <si>
    <t>Redemptions due to switches</t>
  </si>
  <si>
    <t xml:space="preserve">        Book profit </t>
  </si>
  <si>
    <t xml:space="preserve">        Book loss </t>
  </si>
  <si>
    <t xml:space="preserve">  R157 (13.50%  2014-15-16/09/15)</t>
  </si>
  <si>
    <t xml:space="preserve">  R201 (8.75%  2014/12/21)</t>
  </si>
  <si>
    <t>Due to repo's (Repo in)</t>
  </si>
  <si>
    <t xml:space="preserve">   Due to buy-backs</t>
  </si>
  <si>
    <t xml:space="preserve">        Book profit</t>
  </si>
  <si>
    <t xml:space="preserve">        Book loss</t>
  </si>
  <si>
    <t xml:space="preserve">  R001  (4.50%  PERP)</t>
  </si>
  <si>
    <t xml:space="preserve">  R002  (5.00%  PERP)</t>
  </si>
  <si>
    <t xml:space="preserve">  TR31  (9.75%  PERP)</t>
  </si>
  <si>
    <t xml:space="preserve">  TR32  (10.00%  PERP)</t>
  </si>
  <si>
    <t xml:space="preserve">  TR30  (10.00%  PERP)</t>
  </si>
  <si>
    <t xml:space="preserve">  Z071  (0.00%  2015/07/01)</t>
  </si>
  <si>
    <t>Table 3.3  Issuance and redemption of foreign loans</t>
  </si>
  <si>
    <t xml:space="preserve"> Foreign loans issued (gross)</t>
  </si>
  <si>
    <t xml:space="preserve">        Loans issued for financing</t>
  </si>
  <si>
    <t xml:space="preserve">        Loans issued for switches</t>
  </si>
  <si>
    <t xml:space="preserve">        Loans issued for buy-backs</t>
  </si>
  <si>
    <t xml:space="preserve"> Loans issued for financing (gross)</t>
  </si>
  <si>
    <t xml:space="preserve">  TY2/101  4.85% US Dollar Notes due 2029/09/30</t>
  </si>
  <si>
    <t xml:space="preserve">  TY2/102  5.75% US Dollar Notes due 2049/09/30</t>
  </si>
  <si>
    <t xml:space="preserve">  TY2/94  4.875% US Dollar Notes due 2026/04/14</t>
  </si>
  <si>
    <t xml:space="preserve">  TY2/103  LIBOR plus 1.25% US Dollar Notes due 2050/07/20</t>
  </si>
  <si>
    <t xml:space="preserve">  TY2/105 SDR rate plus a % margin US Dollar Promissory Notes due 2025/07/29</t>
  </si>
  <si>
    <t xml:space="preserve">  TY2/97  4.85% US Dollar Notes due 2027/09/27</t>
  </si>
  <si>
    <t xml:space="preserve">  TY2/98  5.65% US Dollar Notes due 2047/09/27</t>
  </si>
  <si>
    <t xml:space="preserve">  TY2/104 3M JIBAR + lending margin + funding cost margin Notes due 2040/06/16</t>
  </si>
  <si>
    <t xml:space="preserve"> Loans issued for switches</t>
  </si>
  <si>
    <t xml:space="preserve">  TY2/95  4.30% US Dollar Notes due 2028/10/12</t>
  </si>
  <si>
    <t xml:space="preserve"> Loans issued for buy-backs</t>
  </si>
  <si>
    <t xml:space="preserve">  TY2-93  3.903% Sukuk note due 2020/09/24</t>
  </si>
  <si>
    <t xml:space="preserve">  TY2/92  3.750% Euro Notes due 2026/07/24</t>
  </si>
  <si>
    <t xml:space="preserve">  TY2/88 6.250% US Dollar Notes due 2041/03/08</t>
  </si>
  <si>
    <t xml:space="preserve">  TY2/89 4.665% US Dollar Notes due 2024/01/17</t>
  </si>
  <si>
    <t>Redemption of foreign long-term loans</t>
  </si>
  <si>
    <t xml:space="preserve">    Scheduled</t>
  </si>
  <si>
    <t xml:space="preserve">    Due to switches</t>
  </si>
  <si>
    <t xml:space="preserve">    Due to buy-backs</t>
  </si>
  <si>
    <t>Scheduled redemptions</t>
  </si>
  <si>
    <t xml:space="preserve">         Rand value at date of issue</t>
  </si>
  <si>
    <t xml:space="preserve">         Revaluation</t>
  </si>
  <si>
    <t xml:space="preserve">  TY2/64 2.50% Kwandebele Water Augmentation Project due 2021/05/20</t>
  </si>
  <si>
    <t xml:space="preserve">  TY2/86 6.875% RSA Notes due 2019/05/27</t>
  </si>
  <si>
    <t xml:space="preserve">  TY2/87 5.50% RSA Notes due 2020/03/09</t>
  </si>
  <si>
    <t xml:space="preserve">  TY2/68 8.50% YANKEE BOND due 2017/06/23</t>
  </si>
  <si>
    <t xml:space="preserve">  TY2/73C Société Générale/Paribas due 2015/05/28</t>
  </si>
  <si>
    <t xml:space="preserve">  TY2/73E 5.50% Barclays Bank PLC due 2020/04/15 </t>
  </si>
  <si>
    <t xml:space="preserve">  TY2/75 Japanese Yen Loan due 2020/06/01</t>
  </si>
  <si>
    <t xml:space="preserve">  TY2/93 3.903% US Dollar Notes due 2020/06/24</t>
  </si>
  <si>
    <t xml:space="preserve">  TY2/64 2.50% Kwandebele Water Augmentation Project due 2020/11/20</t>
  </si>
  <si>
    <t xml:space="preserve">  TY2/78 Japanese Yen Loan due 2007/07/18</t>
  </si>
  <si>
    <t xml:space="preserve">  TY2/82 World Bank: ( Municipal Financial Assistance)  2011/02/15</t>
  </si>
  <si>
    <t xml:space="preserve"> Due to switches</t>
  </si>
  <si>
    <t xml:space="preserve">  TY2/86  6.875% RSA Notes due 2019/05/27</t>
  </si>
  <si>
    <t xml:space="preserve">  TY2/87  5.50% RSA Notes due 2020/09/03</t>
  </si>
  <si>
    <t>Due to buy-backs</t>
  </si>
  <si>
    <t xml:space="preserve">  TY2/73E Barclays Bank PLC due 2020/10/15 </t>
  </si>
  <si>
    <t xml:space="preserve">  TY2/71  9.125% US Dollar Notes due 2009/05/19 </t>
  </si>
  <si>
    <t xml:space="preserve">  TY2/74A  9.125% US Dollar Notes due 2009/05/19 </t>
  </si>
  <si>
    <t xml:space="preserve">  TY2/76  7.00% Euro Notes due 2008/04/10</t>
  </si>
  <si>
    <t>Table 3.4  Change in cash and other balances</t>
  </si>
  <si>
    <t xml:space="preserve">Change in cash balances                                           </t>
  </si>
  <si>
    <t xml:space="preserve">   Opening balance</t>
  </si>
  <si>
    <t xml:space="preserve">       SARB accounts</t>
  </si>
  <si>
    <t xml:space="preserve">       Commercial Banks - Tax and Loan accounts</t>
  </si>
  <si>
    <t xml:space="preserve">   Closing balance</t>
  </si>
  <si>
    <t>Outstanding transfers from the Exchequer to the PMG Accounts</t>
  </si>
  <si>
    <t>Cash-flow adjustment</t>
  </si>
  <si>
    <t xml:space="preserve">Surrenders by National Departments                       </t>
  </si>
  <si>
    <t xml:space="preserve">     2019/20 and prior</t>
  </si>
  <si>
    <t xml:space="preserve">      2012/2013</t>
  </si>
  <si>
    <t xml:space="preserve">Late requests by National Departments                 </t>
  </si>
  <si>
    <t xml:space="preserve">     2019/20 and prior </t>
  </si>
  <si>
    <t>Reconciliation between actual revenue and actual expenditure against NRF flows</t>
  </si>
  <si>
    <t>Total change in cash and other balances</t>
  </si>
  <si>
    <t>2) Includes R33.9 billion in respect of delayed interest and loan redemption payment scheduled for Sunday, 31 March 2013</t>
  </si>
  <si>
    <t xml:space="preserve">    but paid on 2 April 2013. In the Budget Review 2014 this balance was shown net of delayed payment</t>
  </si>
  <si>
    <t>2) The closing balance for 31 March 2015 excludes an amount of R3.8 billion of tax revenue received</t>
  </si>
  <si>
    <t xml:space="preserve">    in the account of the South African Revenue Services but not yet rolled-up into tax and loan account</t>
  </si>
  <si>
    <t>2) Surrenders by National Departments are unspent funds requested in previous financial years.</t>
  </si>
  <si>
    <t>3) Late requests are requisitions with regard to expenditure committed in previous years.</t>
  </si>
  <si>
    <t>Table 4  Summary of cash flow</t>
  </si>
  <si>
    <t xml:space="preserve">Audited </t>
  </si>
  <si>
    <t xml:space="preserve">Exchequer revenue                                                                                           </t>
  </si>
  <si>
    <t xml:space="preserve">   1)</t>
  </si>
  <si>
    <t xml:space="preserve">Departmental requisitions                                                                                    </t>
  </si>
  <si>
    <t xml:space="preserve">   2)</t>
  </si>
  <si>
    <t>Voted amounts</t>
  </si>
  <si>
    <t xml:space="preserve">   3)</t>
  </si>
  <si>
    <t xml:space="preserve">Direct charges against the NRF                                     </t>
  </si>
  <si>
    <t>Skills levy and SETAs</t>
  </si>
  <si>
    <t>Total financing</t>
  </si>
  <si>
    <t>Loans issued for financing (net)</t>
  </si>
  <si>
    <t>Loans issued (gross)</t>
  </si>
  <si>
    <t>Discount</t>
  </si>
  <si>
    <t>Redemptions</t>
  </si>
  <si>
    <t xml:space="preserve">   Buy-backs (excluding book profit)</t>
  </si>
  <si>
    <t>Loans issued for switches (net)</t>
  </si>
  <si>
    <t>Loans switched (net of book profit)</t>
  </si>
  <si>
    <t>Loans issued for repo's (net)</t>
  </si>
  <si>
    <t>Repo out</t>
  </si>
  <si>
    <t>Repo in</t>
  </si>
  <si>
    <t>Loans issued for extraordinary purposes (net)</t>
  </si>
  <si>
    <t xml:space="preserve">   Rand value at date of issue</t>
  </si>
  <si>
    <t xml:space="preserve">   Revaluation   </t>
  </si>
  <si>
    <t>Loans switched (excluding book profit)</t>
  </si>
  <si>
    <t>Loans issued for buy-backs (net)</t>
  </si>
  <si>
    <t>Buy-backs (excluding book profit)</t>
  </si>
  <si>
    <t>Other movements</t>
  </si>
  <si>
    <t xml:space="preserve">   4)</t>
  </si>
  <si>
    <t>Surrenders/Late requests</t>
  </si>
  <si>
    <t>Outstanding transfers from the Exchequer to PMG Accounts</t>
  </si>
  <si>
    <t>Changes in cash balances</t>
  </si>
  <si>
    <t xml:space="preserve">Change in cash balances                                                                                      </t>
  </si>
  <si>
    <t>Opening balance</t>
  </si>
  <si>
    <t xml:space="preserve">   </t>
  </si>
  <si>
    <t>SARB accounts</t>
  </si>
  <si>
    <t>Commercial Banks - Tax and Loan accounts</t>
  </si>
  <si>
    <t>SARB deposit account</t>
  </si>
  <si>
    <t>Closing balance</t>
  </si>
  <si>
    <t xml:space="preserve">Commercial Banks - Tax and Loan accounts                                                       </t>
  </si>
  <si>
    <t>1) Revenue received into the Exchequer Account.</t>
  </si>
  <si>
    <t>2) Fund requisitions by departments.</t>
  </si>
  <si>
    <t>3) Includes payment in terms of Section 58 of the Finance and Financial Adjustments Acts Consolidation Act no 11 of 1997.</t>
  </si>
  <si>
    <t>4) A negative value indicates an increase in cash and other balances. A positive value indicates that cash is used to finance part of the borrowing requirement.</t>
  </si>
  <si>
    <t>Table 5 Additional information on National Revenue Fund receipts and payments1</t>
  </si>
  <si>
    <t>NRF receipts (excludes book profit)</t>
  </si>
  <si>
    <t xml:space="preserve">Agricultural Debt Account surrender                     </t>
  </si>
  <si>
    <t>Double payment of R150 settlement on 21/07/00</t>
  </si>
  <si>
    <t>Excess of roadshow advance iro USD750 million</t>
  </si>
  <si>
    <t xml:space="preserve">Foreign exchange amnesty proceeds                         </t>
  </si>
  <si>
    <t>Incorrect deposit into the Exchequer</t>
  </si>
  <si>
    <t>Incorrect transfer from CPD</t>
  </si>
  <si>
    <t>Profit on buy back</t>
  </si>
  <si>
    <t>Saambou Bank liability</t>
  </si>
  <si>
    <t>Equalisation Fund account transfer</t>
  </si>
  <si>
    <t>Interest earned on Defence Procurement Export Credit Facilities</t>
  </si>
  <si>
    <t xml:space="preserve">Lebowa Minerals Trust abolition              </t>
  </si>
  <si>
    <t xml:space="preserve">Penalties on retail bonds                      </t>
  </si>
  <si>
    <t>Penalties and forfeits from SARB</t>
  </si>
  <si>
    <t xml:space="preserve">Surplus cash from ICASA                      </t>
  </si>
  <si>
    <t xml:space="preserve">Premium on debt portfolio restructuring                              </t>
  </si>
  <si>
    <t xml:space="preserve">Premiums on loan transactions            </t>
  </si>
  <si>
    <t>Refund on Hermes fees</t>
  </si>
  <si>
    <t>Proceeds from the restructuring of Aventura</t>
  </si>
  <si>
    <t>Proceeds from the sale of Telkom 's share in Vodacom</t>
  </si>
  <si>
    <t>Revaluation profits on foreign currency transactions</t>
  </si>
  <si>
    <t>Winding down of Diabo Share Trust</t>
  </si>
  <si>
    <t xml:space="preserve">Profits on GFECRA                     </t>
  </si>
  <si>
    <t>Special  restructuring proceeds from Telkom</t>
  </si>
  <si>
    <t xml:space="preserve">SASSA FNB indemnity </t>
  </si>
  <si>
    <t xml:space="preserve">Special dividends from Eskom                       </t>
  </si>
  <si>
    <t xml:space="preserve">Special dividends from Telkom                       </t>
  </si>
  <si>
    <t>Special restructuring proceeds from Airwing</t>
  </si>
  <si>
    <t>Profit on script lending</t>
  </si>
  <si>
    <t>Special restructuring proceeds from ICASA</t>
  </si>
  <si>
    <t>Liquidation of SASRIA investment</t>
  </si>
  <si>
    <t>IMF revaluation profits</t>
  </si>
  <si>
    <t xml:space="preserve">NRF payments </t>
  </si>
  <si>
    <t>Incorrect transfer from PMG</t>
  </si>
  <si>
    <t>Revaluation losses on foreign currency transactions</t>
  </si>
  <si>
    <t xml:space="preserve">Losses on GFECRA                                                                </t>
  </si>
  <si>
    <t>Revaluation loss on foreign currency transactions</t>
  </si>
  <si>
    <t xml:space="preserve">Premium on debt portfolio restructuring                                </t>
  </si>
  <si>
    <t xml:space="preserve">Premium on foreign portfolio debt portfolio restructuring                                </t>
  </si>
  <si>
    <t>Takeover of former Regional Authorities debt</t>
  </si>
  <si>
    <t>Loss on switches</t>
  </si>
  <si>
    <t>Loss on script lending</t>
  </si>
  <si>
    <t>Book profit</t>
  </si>
  <si>
    <t>1) NRF receipts and payments form part of departmental revenue (Table 1) and direct charges (Table 2) respectively.</t>
  </si>
  <si>
    <t>2) Realised profits/losses on the Gold and Foreign Exchange Contingency Reserve Account.</t>
  </si>
  <si>
    <t xml:space="preserve">1)  Book profits made on debt portfolio restructuring, previously included in Revenue, are now added to extraordinary receipts.  In the 2001/02 fiscal year the following amounts:  </t>
  </si>
  <si>
    <t xml:space="preserve">     June (R498,641 million), July (R405,987 million), August (R22,497 million) and October (R15 thousand).</t>
  </si>
  <si>
    <t xml:space="preserve">     Adjustments were also made to the 2000/01 fiscal year, November (R71,087 million), December (R188,070 million), February (R42,439 million) and March (R166,509 million). </t>
  </si>
  <si>
    <t xml:space="preserve">     Detail on book profits are shown on Schedule 4.2.</t>
  </si>
  <si>
    <t xml:space="preserve">3)  Premiums paid on debt portfolio restructuring, previously included as state debt cost expenditure,  are now added to extraordinary payments.  </t>
  </si>
  <si>
    <t xml:space="preserve">      In the 2001/02 fiscal year the following amounts:  May (R599,981 million), July (R49,630 million), August (R185,755 million),  September (R325,210 million) and</t>
  </si>
  <si>
    <t xml:space="preserve">     October (R753,327 million).  Adjustments were also made to the 2000/01 fiscal year,  February (R12,745 million) and March (R3,438 million).  </t>
  </si>
  <si>
    <t>The statement of actual revenue, expenditure and borrowings with regard to the National Revenue Fund as at the end of March 2020/2021 fiscal year is hereby published in terms of section 32 (1) of the Public Finance Management Act, 1999.</t>
  </si>
  <si>
    <t>Detailed information is available on the website of the National Treasury at www.treasury.gov.za click the Communications &amp; Media link - Press Releases - Monthly Press Releases</t>
  </si>
  <si>
    <t>Summary table of national revenue, expenditure and borrowing for the month ended 31 March 2021</t>
  </si>
  <si>
    <t xml:space="preserve">                  outcome </t>
  </si>
  <si>
    <t>Revenue</t>
  </si>
  <si>
    <t xml:space="preserve">Expenditure </t>
  </si>
  <si>
    <t>Appropriation by vote</t>
  </si>
  <si>
    <t>Payments in terms of Section 70 of the PFMA</t>
  </si>
  <si>
    <t xml:space="preserve">Payments in terms of Section 6(1)(b) of the Appropriation act3 </t>
  </si>
  <si>
    <t>Skill Levy and SETAs</t>
  </si>
  <si>
    <t>Financing of the net borrowing requirement</t>
  </si>
  <si>
    <t>Foreign loans (net)</t>
  </si>
  <si>
    <t>Change in cash and other balances1</t>
  </si>
  <si>
    <t>Total financing (net)</t>
  </si>
  <si>
    <t>3) Payment has been allocated to Appropriation by vote.</t>
  </si>
  <si>
    <t>COMPILED BY: Phindile Dhlame</t>
  </si>
  <si>
    <t xml:space="preserve">REVIEWED: Suzan Molokwane </t>
  </si>
  <si>
    <t>APPROVED: Lizette Labuschagne</t>
  </si>
  <si>
    <t>DATE:</t>
  </si>
  <si>
    <t xml:space="preserve">South African  Airways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</si>
</sst>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9">
    <numFmt numFmtId="5" formatCode="&quot;$&quot;#,##0_);\(&quot;$&quot;#,##0\)"/>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_ &quot;R&quot;\ * #,##0.00_ ;_ &quot;R&quot;\ * \-#,##0.00_ ;_ &quot;R&quot;\ * &quot;-&quot;??_ ;_ @_ "/>
    <numFmt numFmtId="168" formatCode="_ * #,##0.00_ ;_ * \-#,##0.00_ ;_ * &quot;-&quot;??_ ;_ @_ "/>
    <numFmt numFmtId="169" formatCode="_ * #,##0_ ;_ * \-#,##0_ ;_ * &quot;-&quot;??_ ;_ @_ "/>
    <numFmt numFmtId="170" formatCode="0.00000000"/>
    <numFmt numFmtId="171" formatCode="0.00000"/>
    <numFmt numFmtId="172" formatCode="0.000000"/>
    <numFmt numFmtId="173" formatCode="0.0000000"/>
    <numFmt numFmtId="174" formatCode="dd\-mmm\-yy_)"/>
    <numFmt numFmtId="175" formatCode="General_)"/>
    <numFmt numFmtId="176" formatCode="0.0%;\(0.0%\)"/>
    <numFmt numFmtId="177" formatCode="&quot;$&quot;#,##0.0"/>
    <numFmt numFmtId="178" formatCode="&quot;$&quot;#,##0,;\(&quot;$&quot;#,##0,\)"/>
    <numFmt numFmtId="179" formatCode="d/m/yy"/>
    <numFmt numFmtId="180" formatCode="d/m/yy\ h:mm"/>
    <numFmt numFmtId="181" formatCode="_-&quot;£&quot;* #,##0_-;\-&quot;£&quot;* #,##0_-;_-&quot;£&quot;* &quot;-&quot;_-;_-@_-"/>
    <numFmt numFmtId="182" formatCode="_-&quot;£&quot;* #,##0.00_-;\-&quot;£&quot;* #,##0.00_-;_-&quot;£&quot;* &quot;-&quot;??_-;_-@_-"/>
    <numFmt numFmtId="183" formatCode="_ * #,##0.00_)\ _R_ ;_ * \(#,##0.00\)\ _R_ ;_ * &quot;-&quot;??_)\ _R_ ;_ @_ "/>
    <numFmt numFmtId="184" formatCode="#,##0;\-#,##0;&quot;-&quot;"/>
    <numFmt numFmtId="185" formatCode="#,##0.00;\-#,##0.00;&quot;-&quot;"/>
    <numFmt numFmtId="186" formatCode="#,##0%;\-#,##0%;&quot;- &quot;"/>
    <numFmt numFmtId="187" formatCode="#,##0.0%;\-#,##0.0%;&quot;- &quot;"/>
    <numFmt numFmtId="188" formatCode="#,##0.00%;\-#,##0.00%;&quot;- &quot;"/>
    <numFmt numFmtId="189" formatCode="#,##0.0;\-#,##0.0;&quot;-&quot;"/>
    <numFmt numFmtId="190" formatCode="[Red]0%;[Red]\(0%\)"/>
    <numFmt numFmtId="191" formatCode="0%;\(0%\)"/>
    <numFmt numFmtId="192" formatCode="\ \ @"/>
    <numFmt numFmtId="193" formatCode="\ \ \ \ @"/>
    <numFmt numFmtId="194" formatCode="\$#,##0\ ;\(\$#,##0\)"/>
    <numFmt numFmtId="195" formatCode="_(* #,##0.0_);_(* \(#,##0.0\);_(* &quot;-&quot;??_);_(@_)"/>
    <numFmt numFmtId="196" formatCode=";;;"/>
    <numFmt numFmtId="197" formatCode="_(* #,##0.000000000000000000000000000_);_(* \(#,##0.000000000000000000000000000\);_(* &quot;-&quot;??_);_(@_)"/>
    <numFmt numFmtId="198" formatCode="_(* #,##0.000000000000000000_);_(* \(#,##0.000000000000000000\);_(* &quot;-&quot;??_);_(@_)"/>
    <numFmt numFmtId="199" formatCode="_(* #,##0.0000000_);_(* \(#,##0.0000000\);_(* &quot;-&quot;??_);_(@_)"/>
    <numFmt numFmtId="200" formatCode="_(* #,##0.0000_);_(* \(#,##0.0000\);_(* &quot;-&quot;??_);_(@_)"/>
    <numFmt numFmtId="201" formatCode="_(* #,##0.00000_);_(* \(#,##0.00000\);_(* &quot;-&quot;??_);_(@_)"/>
    <numFmt numFmtId="202" formatCode="_(* #,##0.0000000000000000000000000000_);_(* \(#,##0.0000000000000000000000000000\);_(* &quot;-&quot;??_);_(@_)"/>
    <numFmt numFmtId="203" formatCode="_(* #,##0.000000000000000000000000000000000_);_(* \(#,##0.000000000000000000000000000000000\);_(* &quot;-&quot;??_);_(@_)"/>
    <numFmt numFmtId="204" formatCode="_(* #,##0.0000000000000000000000000000000000_);_(* \(#,##0.0000000000000000000000000000000000\);_(* &quot;-&quot;??_);_(@_)"/>
    <numFmt numFmtId="205" formatCode="_-* #,##0_-;\-* #,##0_-;_-* &quot;-&quot;??_-;_-@_-"/>
    <numFmt numFmtId="206" formatCode="_(* #,##0.000_);_(* \(#,##0.000\);_(* &quot;-&quot;??_);_(@_)"/>
    <numFmt numFmtId="207" formatCode="_(* #,##0.000000_);_(* \(#,##0.000000\);_(* &quot;-&quot;??_);_(@_)"/>
    <numFmt numFmtId="208" formatCode="_-* #,##0.0_-;\-* #,##0.0_-;_-* &quot;-&quot;??_-;_-@_-"/>
  </numFmts>
  <fonts count="7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8"/>
      <name val="Arial Narrow"/>
      <family val="2"/>
    </font>
    <font>
      <sz val="10"/>
      <name val="Arial"/>
      <family val="2"/>
    </font>
    <font>
      <b/>
      <sz val="12"/>
      <name val="Arial Narrow"/>
      <family val="2"/>
    </font>
    <font>
      <b/>
      <sz val="10"/>
      <name val="Arial Narrow"/>
      <family val="2"/>
    </font>
    <font>
      <b/>
      <sz val="8"/>
      <name val="Arial Narrow"/>
      <family val="2"/>
    </font>
    <font>
      <sz val="10"/>
      <name val="Arial Narrow"/>
      <family val="2"/>
    </font>
    <font>
      <b/>
      <i/>
      <sz val="10"/>
      <name val="Arial Narrow"/>
      <family val="2"/>
    </font>
    <font>
      <i/>
      <sz val="10"/>
      <name val="Arial Narrow"/>
      <family val="2"/>
    </font>
    <font>
      <sz val="10"/>
      <color indexed="8"/>
      <name val="Arial Narrow"/>
      <family val="2"/>
    </font>
    <font>
      <i/>
      <sz val="10"/>
      <color indexed="8"/>
      <name val="Arial Narrow"/>
      <family val="2"/>
    </font>
    <font>
      <i/>
      <sz val="9"/>
      <name val="Arial Narrow"/>
      <family val="2"/>
    </font>
    <font>
      <sz val="10"/>
      <name val="Arial"/>
    </font>
    <font>
      <sz val="11"/>
      <color indexed="8"/>
      <name val="Calibri"/>
      <family val="2"/>
    </font>
    <font>
      <b/>
      <i/>
      <sz val="10"/>
      <color indexed="8"/>
      <name val="Arial Narrow"/>
      <family val="2"/>
    </font>
    <font>
      <b/>
      <sz val="10"/>
      <color indexed="8"/>
      <name val="Arial Narrow"/>
      <family val="2"/>
    </font>
    <font>
      <sz val="8"/>
      <name val="Arial"/>
      <family val="2"/>
    </font>
    <font>
      <b/>
      <sz val="12"/>
      <name val="Arial"/>
      <family val="2"/>
    </font>
    <font>
      <sz val="10"/>
      <name val="MS Sans Serif"/>
      <family val="2"/>
    </font>
    <font>
      <sz val="10"/>
      <color indexed="10"/>
      <name val="Arial"/>
      <family val="2"/>
    </font>
    <font>
      <sz val="12"/>
      <name val="Arial"/>
      <family val="2"/>
    </font>
    <font>
      <sz val="10"/>
      <color indexed="8"/>
      <name val="Arial"/>
      <family val="2"/>
    </font>
    <font>
      <sz val="10"/>
      <color indexed="39"/>
      <name val="Arial"/>
      <family val="2"/>
    </font>
    <font>
      <b/>
      <sz val="10"/>
      <color indexed="8"/>
      <name val="Arial"/>
      <family val="2"/>
    </font>
    <font>
      <b/>
      <sz val="10"/>
      <color indexed="39"/>
      <name val="Arial"/>
      <family val="2"/>
    </font>
    <font>
      <b/>
      <sz val="12"/>
      <color indexed="8"/>
      <name val="Arial"/>
      <family val="2"/>
    </font>
    <font>
      <sz val="19"/>
      <color indexed="48"/>
      <name val="Arial"/>
      <family val="2"/>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sz val="10"/>
      <name val="Courier"/>
      <family val="3"/>
    </font>
    <font>
      <sz val="10"/>
      <color indexed="10"/>
      <name val="Arial Narrow"/>
      <family val="2"/>
    </font>
    <font>
      <u/>
      <sz val="10"/>
      <color indexed="12"/>
      <name val="Arial"/>
      <family val="2"/>
    </font>
    <font>
      <sz val="10"/>
      <color indexed="9"/>
      <name val="Arial Narrow"/>
      <family val="2"/>
    </font>
    <font>
      <sz val="10"/>
      <color indexed="20"/>
      <name val="Arial Narrow"/>
      <family val="2"/>
    </font>
    <font>
      <b/>
      <sz val="10"/>
      <color indexed="52"/>
      <name val="Arial Narrow"/>
      <family val="2"/>
    </font>
    <font>
      <b/>
      <sz val="10"/>
      <color indexed="9"/>
      <name val="Arial Narrow"/>
      <family val="2"/>
    </font>
    <font>
      <sz val="10"/>
      <color indexed="12"/>
      <name val="Arial"/>
      <family val="2"/>
    </font>
    <font>
      <i/>
      <sz val="10"/>
      <color indexed="23"/>
      <name val="Arial Narrow"/>
      <family val="2"/>
    </font>
    <font>
      <sz val="10"/>
      <color indexed="17"/>
      <name val="Arial Narrow"/>
      <family val="2"/>
    </font>
    <font>
      <b/>
      <sz val="11"/>
      <color indexed="62"/>
      <name val="Arial Narrow"/>
      <family val="2"/>
    </font>
    <font>
      <sz val="10"/>
      <color indexed="62"/>
      <name val="Arial Narrow"/>
      <family val="2"/>
    </font>
    <font>
      <sz val="10"/>
      <color indexed="14"/>
      <name val="Arial"/>
      <family val="2"/>
    </font>
    <font>
      <sz val="10"/>
      <color indexed="52"/>
      <name val="Arial Narrow"/>
      <family val="2"/>
    </font>
    <font>
      <sz val="10"/>
      <color indexed="60"/>
      <name val="Arial Narrow"/>
      <family val="2"/>
    </font>
    <font>
      <b/>
      <sz val="10"/>
      <color indexed="63"/>
      <name val="Arial Narrow"/>
      <family val="2"/>
    </font>
    <font>
      <b/>
      <sz val="18"/>
      <color indexed="62"/>
      <name val="Cambria"/>
      <family val="2"/>
    </font>
    <font>
      <sz val="11"/>
      <name val="Arial"/>
      <family val="2"/>
    </font>
    <font>
      <sz val="10"/>
      <color theme="1"/>
      <name val="Arial Narrow"/>
      <family val="2"/>
    </font>
    <font>
      <i/>
      <sz val="10"/>
      <color theme="1"/>
      <name val="Arial Narrow"/>
      <family val="2"/>
    </font>
    <font>
      <sz val="11"/>
      <color rgb="FF9C6500"/>
      <name val="Calibri"/>
      <family val="2"/>
      <scheme val="minor"/>
    </font>
    <font>
      <b/>
      <sz val="14"/>
      <name val="Arial"/>
      <family val="2"/>
    </font>
    <font>
      <u/>
      <sz val="10"/>
      <color indexed="12"/>
      <name val="MS Sans Serif"/>
      <family val="2"/>
    </font>
    <font>
      <sz val="8"/>
      <color theme="1"/>
      <name val="Arial Narrow"/>
      <family val="2"/>
    </font>
    <font>
      <u/>
      <sz val="10"/>
      <color indexed="8"/>
      <name val="Arial Narrow"/>
      <family val="2"/>
    </font>
    <font>
      <b/>
      <u/>
      <sz val="10"/>
      <color indexed="8"/>
      <name val="Arial Narrow"/>
      <family val="2"/>
    </font>
    <font>
      <i/>
      <sz val="10"/>
      <name val="Arial"/>
      <family val="2"/>
    </font>
    <font>
      <i/>
      <sz val="8"/>
      <name val="Arial"/>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6"/>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5"/>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9"/>
        <bgColor indexed="8"/>
      </patternFill>
    </fill>
    <fill>
      <patternFill patternType="solid">
        <fgColor indexed="26"/>
        <bgColor indexed="64"/>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58"/>
        <bgColor indexed="64"/>
      </patternFill>
    </fill>
    <fill>
      <patternFill patternType="solid">
        <fgColor rgb="FFFFFF00"/>
        <bgColor indexed="64"/>
      </patternFill>
    </fill>
    <fill>
      <patternFill patternType="solid">
        <fgColor theme="0"/>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style="hair">
        <color indexed="64"/>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style="hair">
        <color indexed="64"/>
      </left>
      <right/>
      <top style="hair">
        <color indexed="64"/>
      </top>
      <bottom/>
      <diagonal/>
    </border>
    <border>
      <left style="hair">
        <color indexed="64"/>
      </left>
      <right style="hair">
        <color indexed="64"/>
      </right>
      <top/>
      <bottom/>
      <diagonal/>
    </border>
    <border>
      <left/>
      <right style="hair">
        <color indexed="64"/>
      </right>
      <top/>
      <bottom/>
      <diagonal/>
    </border>
    <border>
      <left/>
      <right/>
      <top style="medium">
        <color indexed="64"/>
      </top>
      <bottom style="medium">
        <color indexed="64"/>
      </bottom>
      <diagonal/>
    </border>
    <border>
      <left/>
      <right style="thin">
        <color indexed="64"/>
      </right>
      <top/>
      <bottom/>
      <diagonal/>
    </border>
    <border>
      <left style="hair">
        <color indexed="64"/>
      </left>
      <right style="thin">
        <color indexed="64"/>
      </right>
      <top/>
      <bottom/>
      <diagonal/>
    </border>
    <border>
      <left style="thin">
        <color indexed="64"/>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right/>
      <top/>
      <bottom style="medium">
        <color indexed="36"/>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double">
        <color indexed="8"/>
      </top>
      <bottom/>
      <diagonal/>
    </border>
    <border>
      <left/>
      <right/>
      <top style="double">
        <color indexed="0"/>
      </top>
      <bottom/>
      <diagonal/>
    </border>
    <border>
      <left style="thin">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double">
        <color indexed="64"/>
      </bottom>
      <diagonal/>
    </border>
    <border>
      <left style="hair">
        <color indexed="64"/>
      </left>
      <right style="thin">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style="hair">
        <color indexed="64"/>
      </left>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8"/>
      </top>
      <bottom style="double">
        <color indexed="8"/>
      </bottom>
      <diagonal/>
    </border>
    <border>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hair">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style="thin">
        <color indexed="64"/>
      </bottom>
      <diagonal/>
    </border>
  </borders>
  <cellStyleXfs count="17466">
    <xf numFmtId="0" fontId="0" fillId="0" borderId="0"/>
    <xf numFmtId="165" fontId="1"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0" borderId="0"/>
    <xf numFmtId="0" fontId="29" fillId="0" borderId="0"/>
    <xf numFmtId="0" fontId="26" fillId="33"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5" borderId="0" applyNumberFormat="0" applyBorder="0" applyAlignment="0" applyProtection="0"/>
    <xf numFmtId="0" fontId="26" fillId="33" borderId="0" applyNumberFormat="0" applyBorder="0" applyAlignment="0" applyProtection="0"/>
    <xf numFmtId="0" fontId="26" fillId="38" borderId="0" applyNumberFormat="0" applyBorder="0" applyAlignment="0" applyProtection="0"/>
    <xf numFmtId="0" fontId="26" fillId="40"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5" borderId="0" applyNumberFormat="0" applyBorder="0" applyAlignment="0" applyProtection="0"/>
    <xf numFmtId="0" fontId="54" fillId="33" borderId="0" applyNumberFormat="0" applyBorder="0" applyAlignment="0" applyProtection="0"/>
    <xf numFmtId="0" fontId="54" fillId="38" borderId="0" applyNumberFormat="0" applyBorder="0" applyAlignment="0" applyProtection="0"/>
    <xf numFmtId="0" fontId="54" fillId="40" borderId="0" applyNumberFormat="0" applyBorder="0" applyAlignment="0" applyProtection="0"/>
    <xf numFmtId="0" fontId="54" fillId="42" borderId="0" applyNumberFormat="0" applyBorder="0" applyAlignment="0" applyProtection="0"/>
    <xf numFmtId="0" fontId="54" fillId="33" borderId="0" applyNumberFormat="0" applyBorder="0" applyAlignment="0" applyProtection="0"/>
    <xf numFmtId="0" fontId="54" fillId="35" borderId="0" applyNumberFormat="0" applyBorder="0" applyAlignment="0" applyProtection="0"/>
    <xf numFmtId="0" fontId="54" fillId="43" borderId="0" applyNumberFormat="0" applyBorder="0" applyAlignment="0" applyProtection="0"/>
    <xf numFmtId="0" fontId="54" fillId="45"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43" borderId="0" applyNumberFormat="0" applyBorder="0" applyAlignment="0" applyProtection="0"/>
    <xf numFmtId="0" fontId="54" fillId="48" borderId="0" applyNumberFormat="0" applyBorder="0" applyAlignment="0" applyProtection="0"/>
    <xf numFmtId="0" fontId="55" fillId="34" borderId="0" applyNumberFormat="0" applyBorder="0" applyAlignment="0" applyProtection="0"/>
    <xf numFmtId="174" fontId="19" fillId="0" borderId="0" applyFill="0" applyBorder="0" applyAlignment="0"/>
    <xf numFmtId="184" fontId="38" fillId="0" borderId="0" applyFill="0" applyBorder="0" applyAlignment="0"/>
    <xf numFmtId="175" fontId="19" fillId="0" borderId="0" applyFill="0" applyBorder="0" applyAlignment="0"/>
    <xf numFmtId="185" fontId="38" fillId="0" borderId="0" applyFill="0" applyBorder="0" applyAlignment="0"/>
    <xf numFmtId="176" fontId="19" fillId="0" borderId="0" applyFill="0" applyBorder="0" applyAlignment="0"/>
    <xf numFmtId="186" fontId="38" fillId="0" borderId="0" applyFill="0" applyBorder="0" applyAlignment="0"/>
    <xf numFmtId="177" fontId="19" fillId="0" borderId="0" applyFill="0" applyBorder="0" applyAlignment="0"/>
    <xf numFmtId="187" fontId="38" fillId="0" borderId="0" applyFill="0" applyBorder="0" applyAlignment="0"/>
    <xf numFmtId="172" fontId="19" fillId="0" borderId="0" applyFill="0" applyBorder="0" applyAlignment="0"/>
    <xf numFmtId="188" fontId="38" fillId="0" borderId="0" applyFill="0" applyBorder="0" applyAlignment="0"/>
    <xf numFmtId="174" fontId="19" fillId="0" borderId="0" applyFill="0" applyBorder="0" applyAlignment="0"/>
    <xf numFmtId="184" fontId="38" fillId="0" borderId="0" applyFill="0" applyBorder="0" applyAlignment="0"/>
    <xf numFmtId="171" fontId="19" fillId="0" borderId="0" applyFill="0" applyBorder="0" applyAlignment="0"/>
    <xf numFmtId="189" fontId="38" fillId="0" borderId="0" applyFill="0" applyBorder="0" applyAlignment="0"/>
    <xf numFmtId="175" fontId="19" fillId="0" borderId="0" applyFill="0" applyBorder="0" applyAlignment="0"/>
    <xf numFmtId="185" fontId="38" fillId="0" borderId="0" applyFill="0" applyBorder="0" applyAlignment="0"/>
    <xf numFmtId="0" fontId="56" fillId="49" borderId="38" applyNumberFormat="0" applyAlignment="0" applyProtection="0"/>
    <xf numFmtId="0" fontId="57" fillId="50" borderId="39" applyNumberFormat="0" applyAlignment="0" applyProtection="0"/>
    <xf numFmtId="165" fontId="19" fillId="0" borderId="0" applyFont="0" applyFill="0" applyBorder="0" applyAlignment="0" applyProtection="0"/>
    <xf numFmtId="174" fontId="19" fillId="0" borderId="0" applyFont="0" applyFill="0" applyBorder="0" applyAlignment="0" applyProtection="0"/>
    <xf numFmtId="184"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2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2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2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5"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23" fillId="0" borderId="0" applyFont="0" applyFill="0" applyBorder="0" applyAlignment="0" applyProtection="0"/>
    <xf numFmtId="168" fontId="19" fillId="0" borderId="0" applyFont="0" applyFill="0" applyBorder="0" applyAlignment="0" applyProtection="0"/>
    <xf numFmtId="168" fontId="37"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68" fillId="0" borderId="0" applyFont="0" applyFill="0" applyBorder="0" applyAlignment="0" applyProtection="0"/>
    <xf numFmtId="165" fontId="6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23"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9" fontId="19" fillId="0" borderId="0" applyFont="0" applyFill="0" applyBorder="0" applyAlignment="0" applyProtection="0"/>
    <xf numFmtId="165"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30" fillId="0" borderId="0" applyFont="0" applyFill="0" applyBorder="0" applyAlignment="0" applyProtection="0"/>
    <xf numFmtId="165" fontId="19" fillId="0" borderId="0" applyFont="0" applyFill="0" applyBorder="0" applyAlignment="0" applyProtection="0"/>
    <xf numFmtId="168" fontId="30" fillId="0" borderId="0" applyFont="0" applyFill="0" applyBorder="0" applyAlignment="0" applyProtection="0"/>
    <xf numFmtId="165" fontId="19" fillId="0" borderId="0" applyFont="0" applyFill="0" applyBorder="0" applyAlignment="0" applyProtection="0"/>
    <xf numFmtId="165" fontId="23" fillId="0" borderId="0" applyFont="0" applyFill="0" applyBorder="0" applyAlignment="0" applyProtection="0"/>
    <xf numFmtId="168" fontId="30" fillId="0" borderId="0" applyFont="0" applyFill="0" applyBorder="0" applyAlignment="0" applyProtection="0"/>
    <xf numFmtId="168" fontId="30" fillId="0" borderId="0" applyFont="0" applyFill="0" applyBorder="0" applyAlignment="0" applyProtection="0"/>
    <xf numFmtId="18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23"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19" fillId="0" borderId="0" applyFont="0" applyFill="0" applyBorder="0" applyAlignment="0" applyProtection="0"/>
    <xf numFmtId="165" fontId="23"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5" fontId="23" fillId="0" borderId="0" applyFont="0" applyFill="0" applyBorder="0" applyAlignment="0" applyProtection="0"/>
    <xf numFmtId="3" fontId="19" fillId="0" borderId="0" applyFont="0" applyFill="0" applyBorder="0" applyAlignment="0" applyProtection="0"/>
    <xf numFmtId="178" fontId="19" fillId="0" borderId="0" applyFont="0" applyFill="0" applyBorder="0" applyAlignment="0" applyProtection="0"/>
    <xf numFmtId="175" fontId="19" fillId="0" borderId="0" applyFont="0" applyFill="0" applyBorder="0" applyAlignment="0" applyProtection="0"/>
    <xf numFmtId="185" fontId="19" fillId="0" borderId="0" applyFont="0" applyFill="0" applyBorder="0" applyAlignment="0" applyProtection="0"/>
    <xf numFmtId="167" fontId="19" fillId="0" borderId="0" applyFont="0" applyFill="0" applyBorder="0" applyAlignment="0" applyProtection="0"/>
    <xf numFmtId="4" fontId="19" fillId="0" borderId="0" applyFont="0" applyFill="0" applyBorder="0" applyAlignment="0" applyProtection="0"/>
    <xf numFmtId="39" fontId="19" fillId="0" borderId="0" applyFont="0" applyFill="0" applyBorder="0" applyAlignment="0" applyProtection="0"/>
    <xf numFmtId="3" fontId="19" fillId="0" borderId="0" applyFont="0" applyFill="0" applyBorder="0" applyAlignment="0" applyProtection="0"/>
    <xf numFmtId="5" fontId="19" fillId="0" borderId="0" applyFont="0" applyFill="0" applyBorder="0" applyAlignment="0" applyProtection="0"/>
    <xf numFmtId="0" fontId="19" fillId="0" borderId="0" applyFont="0" applyFill="0" applyBorder="0" applyAlignment="0" applyProtection="0"/>
    <xf numFmtId="14" fontId="38" fillId="0" borderId="0" applyFill="0" applyBorder="0" applyAlignment="0"/>
    <xf numFmtId="0" fontId="19" fillId="0" borderId="0" applyFont="0" applyFill="0" applyBorder="0" applyAlignment="0" applyProtection="0"/>
    <xf numFmtId="164" fontId="19" fillId="0" borderId="0" applyFont="0" applyFill="0" applyBorder="0" applyAlignment="0" applyProtection="0"/>
    <xf numFmtId="165" fontId="19" fillId="0" borderId="0" applyFont="0" applyFill="0" applyBorder="0" applyAlignment="0" applyProtection="0"/>
    <xf numFmtId="174" fontId="19" fillId="0" borderId="0" applyFill="0" applyBorder="0" applyAlignment="0"/>
    <xf numFmtId="184" fontId="58" fillId="0" borderId="0" applyFill="0" applyBorder="0" applyAlignment="0"/>
    <xf numFmtId="175" fontId="19" fillId="0" borderId="0" applyFill="0" applyBorder="0" applyAlignment="0"/>
    <xf numFmtId="185" fontId="58" fillId="0" borderId="0" applyFill="0" applyBorder="0" applyAlignment="0"/>
    <xf numFmtId="174" fontId="19" fillId="0" borderId="0" applyFill="0" applyBorder="0" applyAlignment="0"/>
    <xf numFmtId="184" fontId="58" fillId="0" borderId="0" applyFill="0" applyBorder="0" applyAlignment="0"/>
    <xf numFmtId="171" fontId="19" fillId="0" borderId="0" applyFill="0" applyBorder="0" applyAlignment="0"/>
    <xf numFmtId="189" fontId="58" fillId="0" borderId="0" applyFill="0" applyBorder="0" applyAlignment="0"/>
    <xf numFmtId="175" fontId="19" fillId="0" borderId="0" applyFill="0" applyBorder="0" applyAlignment="0"/>
    <xf numFmtId="185" fontId="58" fillId="0" borderId="0" applyFill="0" applyBorder="0" applyAlignment="0"/>
    <xf numFmtId="0" fontId="59" fillId="0" borderId="0" applyNumberFormat="0" applyFill="0" applyBorder="0" applyAlignment="0" applyProtection="0"/>
    <xf numFmtId="0" fontId="44" fillId="0" borderId="0" applyProtection="0"/>
    <xf numFmtId="0" fontId="33" fillId="0" borderId="0" applyProtection="0"/>
    <xf numFmtId="0" fontId="45" fillId="0" borderId="0" applyProtection="0"/>
    <xf numFmtId="0" fontId="46" fillId="0" borderId="0" applyProtection="0"/>
    <xf numFmtId="0" fontId="47" fillId="0" borderId="0" applyProtection="0"/>
    <xf numFmtId="0" fontId="48" fillId="0" borderId="0" applyProtection="0"/>
    <xf numFmtId="0" fontId="49" fillId="0" borderId="0" applyProtection="0"/>
    <xf numFmtId="2" fontId="19" fillId="0" borderId="0" applyFont="0" applyFill="0" applyBorder="0" applyAlignment="0" applyProtection="0"/>
    <xf numFmtId="0" fontId="60" fillId="36" borderId="0" applyNumberFormat="0" applyBorder="0" applyAlignment="0" applyProtection="0"/>
    <xf numFmtId="38" fontId="33" fillId="51" borderId="0" applyNumberFormat="0" applyBorder="0" applyAlignment="0" applyProtection="0"/>
    <xf numFmtId="38" fontId="33" fillId="51" borderId="0" applyNumberFormat="0" applyBorder="0" applyAlignment="0" applyProtection="0"/>
    <xf numFmtId="38" fontId="33" fillId="51" borderId="0" applyNumberFormat="0" applyBorder="0" applyAlignment="0" applyProtection="0"/>
    <xf numFmtId="0" fontId="34" fillId="0" borderId="31" applyNumberFormat="0" applyAlignment="0" applyProtection="0">
      <alignment horizontal="left" vertical="center"/>
    </xf>
    <xf numFmtId="0" fontId="34" fillId="0" borderId="40">
      <alignment horizontal="left" vertical="center"/>
    </xf>
    <xf numFmtId="0" fontId="50" fillId="0" borderId="0" applyNumberFormat="0" applyFill="0" applyBorder="0" applyAlignment="0" applyProtection="0"/>
    <xf numFmtId="0" fontId="50" fillId="0" borderId="0" applyNumberFormat="0" applyFont="0" applyFill="0" applyAlignment="0" applyProtection="0"/>
    <xf numFmtId="0" fontId="34" fillId="0" borderId="0" applyNumberFormat="0" applyFill="0" applyBorder="0" applyAlignment="0" applyProtection="0"/>
    <xf numFmtId="0" fontId="34" fillId="0" borderId="0" applyNumberFormat="0" applyFont="0" applyFill="0" applyAlignment="0" applyProtection="0"/>
    <xf numFmtId="0" fontId="61" fillId="0" borderId="41" applyNumberFormat="0" applyFill="0" applyAlignment="0" applyProtection="0"/>
    <xf numFmtId="0" fontId="61" fillId="0" borderId="0" applyNumberFormat="0" applyFill="0" applyBorder="0" applyAlignment="0" applyProtection="0"/>
    <xf numFmtId="0" fontId="50" fillId="52" borderId="0" applyNumberFormat="0" applyFill="0" applyBorder="0" applyAlignment="0" applyProtection="0"/>
    <xf numFmtId="0" fontId="34" fillId="52" borderId="0" applyNumberFormat="0" applyFill="0" applyBorder="0" applyAlignment="0" applyProtection="0"/>
    <xf numFmtId="0" fontId="34" fillId="52" borderId="0" applyNumberFormat="0" applyFill="0" applyBorder="0" applyAlignment="0" applyProtection="0"/>
    <xf numFmtId="0" fontId="34" fillId="52" borderId="0" applyNumberFormat="0" applyFill="0" applyBorder="0" applyAlignment="0" applyProtection="0"/>
    <xf numFmtId="0" fontId="53" fillId="0" borderId="0" applyNumberFormat="0" applyFill="0" applyBorder="0" applyAlignment="0" applyProtection="0">
      <alignment vertical="top"/>
      <protection locked="0"/>
    </xf>
    <xf numFmtId="10" fontId="33" fillId="53" borderId="42" applyNumberFormat="0" applyBorder="0" applyAlignment="0" applyProtection="0"/>
    <xf numFmtId="10" fontId="33" fillId="53" borderId="42" applyNumberFormat="0" applyBorder="0" applyAlignment="0" applyProtection="0"/>
    <xf numFmtId="10" fontId="33" fillId="53" borderId="42" applyNumberFormat="0" applyBorder="0" applyAlignment="0" applyProtection="0"/>
    <xf numFmtId="0" fontId="62" fillId="35" borderId="38" applyNumberFormat="0" applyAlignment="0" applyProtection="0"/>
    <xf numFmtId="0" fontId="62" fillId="35" borderId="38" applyNumberFormat="0" applyAlignment="0" applyProtection="0"/>
    <xf numFmtId="0" fontId="62" fillId="35" borderId="38" applyNumberFormat="0" applyAlignment="0" applyProtection="0"/>
    <xf numFmtId="174" fontId="19" fillId="0" borderId="0" applyFill="0" applyBorder="0" applyAlignment="0"/>
    <xf numFmtId="184" fontId="63" fillId="0" borderId="0" applyFill="0" applyBorder="0" applyAlignment="0"/>
    <xf numFmtId="175" fontId="19" fillId="0" borderId="0" applyFill="0" applyBorder="0" applyAlignment="0"/>
    <xf numFmtId="185" fontId="63" fillId="0" borderId="0" applyFill="0" applyBorder="0" applyAlignment="0"/>
    <xf numFmtId="174" fontId="19" fillId="0" borderId="0" applyFill="0" applyBorder="0" applyAlignment="0"/>
    <xf numFmtId="184" fontId="63" fillId="0" borderId="0" applyFill="0" applyBorder="0" applyAlignment="0"/>
    <xf numFmtId="171" fontId="19" fillId="0" borderId="0" applyFill="0" applyBorder="0" applyAlignment="0"/>
    <xf numFmtId="189" fontId="63" fillId="0" borderId="0" applyFill="0" applyBorder="0" applyAlignment="0"/>
    <xf numFmtId="175" fontId="19" fillId="0" borderId="0" applyFill="0" applyBorder="0" applyAlignment="0"/>
    <xf numFmtId="185" fontId="63" fillId="0" borderId="0" applyFill="0" applyBorder="0" applyAlignment="0"/>
    <xf numFmtId="0" fontId="64" fillId="0" borderId="43" applyNumberFormat="0" applyFill="0" applyAlignment="0" applyProtection="0"/>
    <xf numFmtId="0" fontId="19" fillId="0" borderId="0" applyFont="0" applyFill="0" applyBorder="0" applyAlignment="0" applyProtection="0"/>
    <xf numFmtId="44" fontId="19" fillId="0" borderId="0" applyFont="0" applyFill="0" applyBorder="0" applyAlignment="0" applyProtection="0"/>
    <xf numFmtId="0" fontId="65" fillId="40" borderId="0" applyNumberFormat="0" applyBorder="0" applyAlignment="0" applyProtection="0"/>
    <xf numFmtId="179" fontId="19" fillId="0" borderId="0"/>
    <xf numFmtId="190" fontId="18"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23" fillId="0" borderId="0"/>
    <xf numFmtId="0" fontId="19" fillId="0" borderId="0"/>
    <xf numFmtId="0" fontId="19" fillId="0" borderId="0"/>
    <xf numFmtId="0" fontId="19" fillId="0" borderId="0"/>
    <xf numFmtId="0" fontId="1" fillId="0" borderId="0"/>
    <xf numFmtId="0" fontId="1" fillId="0" borderId="0"/>
    <xf numFmtId="0" fontId="1" fillId="0" borderId="0"/>
    <xf numFmtId="0" fontId="23" fillId="0" borderId="0" applyFont="0"/>
    <xf numFmtId="0" fontId="23" fillId="0" borderId="0" applyFont="0"/>
    <xf numFmtId="0" fontId="1" fillId="0" borderId="0"/>
    <xf numFmtId="0" fontId="1" fillId="0" borderId="0"/>
    <xf numFmtId="0" fontId="1" fillId="0" borderId="0"/>
    <xf numFmtId="0" fontId="51" fillId="0" borderId="0"/>
    <xf numFmtId="0" fontId="5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9"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9" fillId="0" borderId="0"/>
    <xf numFmtId="0" fontId="19"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35"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3" fillId="0" borderId="0"/>
    <xf numFmtId="0" fontId="19" fillId="37" borderId="44" applyNumberFormat="0" applyFont="0" applyAlignment="0" applyProtection="0"/>
    <xf numFmtId="0" fontId="66" fillId="49" borderId="45" applyNumberFormat="0" applyAlignment="0" applyProtection="0"/>
    <xf numFmtId="172" fontId="19" fillId="0" borderId="0" applyFont="0" applyFill="0" applyBorder="0" applyAlignment="0" applyProtection="0"/>
    <xf numFmtId="188" fontId="19" fillId="0" borderId="0" applyFont="0" applyFill="0" applyBorder="0" applyAlignment="0" applyProtection="0"/>
    <xf numFmtId="180" fontId="19" fillId="0" borderId="0" applyFont="0" applyFill="0" applyBorder="0" applyAlignment="0" applyProtection="0"/>
    <xf numFmtId="191" fontId="19" fillId="0" borderId="0" applyFont="0" applyFill="0" applyBorder="0" applyAlignment="0" applyProtection="0"/>
    <xf numFmtId="10" fontId="1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6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19" fillId="0" borderId="0" applyFill="0" applyBorder="0" applyAlignment="0"/>
    <xf numFmtId="184" fontId="36" fillId="0" borderId="0" applyFill="0" applyBorder="0" applyAlignment="0"/>
    <xf numFmtId="175" fontId="19" fillId="0" borderId="0" applyFill="0" applyBorder="0" applyAlignment="0"/>
    <xf numFmtId="185" fontId="36" fillId="0" borderId="0" applyFill="0" applyBorder="0" applyAlignment="0"/>
    <xf numFmtId="174" fontId="19" fillId="0" borderId="0" applyFill="0" applyBorder="0" applyAlignment="0"/>
    <xf numFmtId="184" fontId="36" fillId="0" borderId="0" applyFill="0" applyBorder="0" applyAlignment="0"/>
    <xf numFmtId="171" fontId="19" fillId="0" borderId="0" applyFill="0" applyBorder="0" applyAlignment="0"/>
    <xf numFmtId="189" fontId="36" fillId="0" borderId="0" applyFill="0" applyBorder="0" applyAlignment="0"/>
    <xf numFmtId="175" fontId="19" fillId="0" borderId="0" applyFill="0" applyBorder="0" applyAlignment="0"/>
    <xf numFmtId="185" fontId="36" fillId="0" borderId="0" applyFill="0" applyBorder="0" applyAlignment="0"/>
    <xf numFmtId="4" fontId="40" fillId="40" borderId="46" applyNumberFormat="0" applyProtection="0">
      <alignment vertical="center"/>
    </xf>
    <xf numFmtId="4" fontId="41" fillId="54" borderId="46" applyNumberFormat="0" applyProtection="0">
      <alignment vertical="center"/>
    </xf>
    <xf numFmtId="4" fontId="40" fillId="54" borderId="46" applyNumberFormat="0" applyProtection="0">
      <alignment horizontal="left" vertical="center" indent="1"/>
    </xf>
    <xf numFmtId="0" fontId="40" fillId="54" borderId="46" applyNumberFormat="0" applyProtection="0">
      <alignment horizontal="left" vertical="top" indent="1"/>
    </xf>
    <xf numFmtId="4" fontId="40" fillId="55" borderId="0" applyNumberFormat="0" applyProtection="0">
      <alignment horizontal="left" vertical="center" indent="1"/>
    </xf>
    <xf numFmtId="4" fontId="38" fillId="34" borderId="46" applyNumberFormat="0" applyProtection="0">
      <alignment horizontal="right" vertical="center"/>
    </xf>
    <xf numFmtId="4" fontId="38" fillId="38" borderId="46" applyNumberFormat="0" applyProtection="0">
      <alignment horizontal="right" vertical="center"/>
    </xf>
    <xf numFmtId="4" fontId="38" fillId="45" borderId="46" applyNumberFormat="0" applyProtection="0">
      <alignment horizontal="right" vertical="center"/>
    </xf>
    <xf numFmtId="4" fontId="38" fillId="41" borderId="46" applyNumberFormat="0" applyProtection="0">
      <alignment horizontal="right" vertical="center"/>
    </xf>
    <xf numFmtId="4" fontId="38" fillId="44" borderId="46" applyNumberFormat="0" applyProtection="0">
      <alignment horizontal="right" vertical="center"/>
    </xf>
    <xf numFmtId="4" fontId="38" fillId="48" borderId="46" applyNumberFormat="0" applyProtection="0">
      <alignment horizontal="right" vertical="center"/>
    </xf>
    <xf numFmtId="4" fontId="38" fillId="46" borderId="46" applyNumberFormat="0" applyProtection="0">
      <alignment horizontal="right" vertical="center"/>
    </xf>
    <xf numFmtId="4" fontId="38" fillId="56" borderId="46" applyNumberFormat="0" applyProtection="0">
      <alignment horizontal="right" vertical="center"/>
    </xf>
    <xf numFmtId="4" fontId="38" fillId="39" borderId="46" applyNumberFormat="0" applyProtection="0">
      <alignment horizontal="right" vertical="center"/>
    </xf>
    <xf numFmtId="4" fontId="40" fillId="57" borderId="47" applyNumberFormat="0" applyProtection="0">
      <alignment horizontal="left" vertical="center" indent="1"/>
    </xf>
    <xf numFmtId="4" fontId="38" fillId="58" borderId="0" applyNumberFormat="0" applyProtection="0">
      <alignment horizontal="left" vertical="center" indent="1"/>
    </xf>
    <xf numFmtId="4" fontId="42" fillId="59" borderId="0" applyNumberFormat="0" applyProtection="0">
      <alignment horizontal="left" vertical="center" indent="1"/>
    </xf>
    <xf numFmtId="4" fontId="38" fillId="60" borderId="46" applyNumberFormat="0" applyProtection="0">
      <alignment horizontal="right" vertical="center"/>
    </xf>
    <xf numFmtId="4" fontId="38" fillId="58" borderId="0" applyNumberFormat="0" applyProtection="0">
      <alignment horizontal="left" vertical="center" indent="1"/>
    </xf>
    <xf numFmtId="4" fontId="38" fillId="55" borderId="0" applyNumberFormat="0" applyProtection="0">
      <alignment horizontal="left" vertical="center" indent="1"/>
    </xf>
    <xf numFmtId="0" fontId="19" fillId="59" borderId="46" applyNumberFormat="0" applyProtection="0">
      <alignment horizontal="left" vertical="center" indent="1"/>
    </xf>
    <xf numFmtId="0" fontId="19" fillId="59" borderId="46" applyNumberFormat="0" applyProtection="0">
      <alignment horizontal="left" vertical="center" indent="1"/>
    </xf>
    <xf numFmtId="0" fontId="19" fillId="59" borderId="46" applyNumberFormat="0" applyProtection="0">
      <alignment horizontal="left" vertical="top" indent="1"/>
    </xf>
    <xf numFmtId="0" fontId="19" fillId="59" borderId="46" applyNumberFormat="0" applyProtection="0">
      <alignment horizontal="left" vertical="top" indent="1"/>
    </xf>
    <xf numFmtId="0" fontId="19" fillId="55" borderId="46" applyNumberFormat="0" applyProtection="0">
      <alignment horizontal="left" vertical="center" indent="1"/>
    </xf>
    <xf numFmtId="0" fontId="19" fillId="55" borderId="46" applyNumberFormat="0" applyProtection="0">
      <alignment horizontal="left" vertical="center" indent="1"/>
    </xf>
    <xf numFmtId="0" fontId="19" fillId="55" borderId="46" applyNumberFormat="0" applyProtection="0">
      <alignment horizontal="left" vertical="top" indent="1"/>
    </xf>
    <xf numFmtId="0" fontId="19" fillId="55" borderId="46" applyNumberFormat="0" applyProtection="0">
      <alignment horizontal="left" vertical="top" indent="1"/>
    </xf>
    <xf numFmtId="0" fontId="19" fillId="61" borderId="46" applyNumberFormat="0" applyProtection="0">
      <alignment horizontal="left" vertical="center" indent="1"/>
    </xf>
    <xf numFmtId="0" fontId="19" fillId="61" borderId="46" applyNumberFormat="0" applyProtection="0">
      <alignment horizontal="left" vertical="center" indent="1"/>
    </xf>
    <xf numFmtId="0" fontId="19" fillId="61" borderId="46" applyNumberFormat="0" applyProtection="0">
      <alignment horizontal="left" vertical="top" indent="1"/>
    </xf>
    <xf numFmtId="0" fontId="19" fillId="61" borderId="46" applyNumberFormat="0" applyProtection="0">
      <alignment horizontal="left" vertical="top" indent="1"/>
    </xf>
    <xf numFmtId="0" fontId="19" fillId="62" borderId="46" applyNumberFormat="0" applyProtection="0">
      <alignment horizontal="left" vertical="center" indent="1"/>
    </xf>
    <xf numFmtId="0" fontId="19" fillId="62" borderId="46" applyNumberFormat="0" applyProtection="0">
      <alignment horizontal="left" vertical="center" indent="1"/>
    </xf>
    <xf numFmtId="0" fontId="19" fillId="62" borderId="46" applyNumberFormat="0" applyProtection="0">
      <alignment horizontal="left" vertical="top" indent="1"/>
    </xf>
    <xf numFmtId="0" fontId="19" fillId="62" borderId="46" applyNumberFormat="0" applyProtection="0">
      <alignment horizontal="left" vertical="top" indent="1"/>
    </xf>
    <xf numFmtId="4" fontId="38" fillId="53" borderId="46" applyNumberFormat="0" applyProtection="0">
      <alignment vertical="center"/>
    </xf>
    <xf numFmtId="4" fontId="39" fillId="53" borderId="46" applyNumberFormat="0" applyProtection="0">
      <alignment vertical="center"/>
    </xf>
    <xf numFmtId="4" fontId="38" fillId="53" borderId="46" applyNumberFormat="0" applyProtection="0">
      <alignment horizontal="left" vertical="center" indent="1"/>
    </xf>
    <xf numFmtId="0" fontId="38" fillId="53" borderId="46" applyNumberFormat="0" applyProtection="0">
      <alignment horizontal="left" vertical="top" indent="1"/>
    </xf>
    <xf numFmtId="4" fontId="38" fillId="58" borderId="46" applyNumberFormat="0" applyProtection="0">
      <alignment horizontal="right" vertical="center"/>
    </xf>
    <xf numFmtId="4" fontId="39" fillId="58" borderId="46" applyNumberFormat="0" applyProtection="0">
      <alignment horizontal="right" vertical="center"/>
    </xf>
    <xf numFmtId="4" fontId="38" fillId="60" borderId="46" applyNumberFormat="0" applyProtection="0">
      <alignment horizontal="left" vertical="center" indent="1"/>
    </xf>
    <xf numFmtId="0" fontId="38" fillId="55" borderId="46" applyNumberFormat="0" applyProtection="0">
      <alignment horizontal="left" vertical="top" indent="1"/>
    </xf>
    <xf numFmtId="4" fontId="43" fillId="63" borderId="0" applyNumberFormat="0" applyProtection="0">
      <alignment horizontal="left" vertical="center" indent="1"/>
    </xf>
    <xf numFmtId="4" fontId="36" fillId="58" borderId="46" applyNumberFormat="0" applyProtection="0">
      <alignment horizontal="right" vertical="center"/>
    </xf>
    <xf numFmtId="0" fontId="19" fillId="64" borderId="0"/>
    <xf numFmtId="0" fontId="33" fillId="0" borderId="0" applyNumberFormat="0" applyFont="0" applyAlignment="0"/>
    <xf numFmtId="0" fontId="33" fillId="0" borderId="0" applyNumberFormat="0" applyFont="0" applyAlignment="0"/>
    <xf numFmtId="49" fontId="38" fillId="0" borderId="0" applyFill="0" applyBorder="0" applyAlignment="0"/>
    <xf numFmtId="173" fontId="19" fillId="0" borderId="0" applyFill="0" applyBorder="0" applyAlignment="0"/>
    <xf numFmtId="192" fontId="38" fillId="0" borderId="0" applyFill="0" applyBorder="0" applyAlignment="0"/>
    <xf numFmtId="170" fontId="19" fillId="0" borderId="0" applyFill="0" applyBorder="0" applyAlignment="0"/>
    <xf numFmtId="193" fontId="38" fillId="0" borderId="0" applyFill="0" applyBorder="0" applyAlignment="0"/>
    <xf numFmtId="0" fontId="67" fillId="0" borderId="0" applyNumberFormat="0" applyFill="0" applyBorder="0" applyAlignment="0" applyProtection="0"/>
    <xf numFmtId="0" fontId="19" fillId="0" borderId="48" applyNumberFormat="0" applyFont="0" applyFill="0" applyAlignment="0" applyProtection="0"/>
    <xf numFmtId="0" fontId="19" fillId="0" borderId="49" applyNumberFormat="0" applyFont="0" applyBorder="0" applyAlignment="0" applyProtection="0"/>
    <xf numFmtId="181" fontId="19" fillId="0" borderId="0" applyFont="0" applyFill="0" applyBorder="0" applyAlignment="0" applyProtection="0"/>
    <xf numFmtId="182" fontId="19" fillId="0" borderId="0" applyFont="0" applyFill="0" applyBorder="0" applyAlignment="0" applyProtection="0"/>
    <xf numFmtId="0" fontId="52" fillId="0" borderId="0" applyNumberForma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3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 fillId="0" borderId="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9" fillId="0" borderId="0"/>
    <xf numFmtId="165" fontId="19" fillId="0" borderId="0" applyFont="0" applyFill="0" applyBorder="0" applyAlignment="0" applyProtection="0"/>
    <xf numFmtId="0" fontId="54" fillId="40" borderId="0" applyNumberFormat="0" applyBorder="0" applyAlignment="0" applyProtection="0"/>
    <xf numFmtId="0" fontId="16" fillId="20" borderId="0" applyNumberFormat="0" applyBorder="0" applyAlignment="0" applyProtection="0"/>
    <xf numFmtId="0" fontId="54" fillId="38" borderId="0" applyNumberFormat="0" applyBorder="0" applyAlignment="0" applyProtection="0"/>
    <xf numFmtId="0" fontId="16" fillId="16" borderId="0" applyNumberFormat="0" applyBorder="0" applyAlignment="0" applyProtection="0"/>
    <xf numFmtId="0" fontId="54" fillId="33" borderId="0" applyNumberFormat="0" applyBorder="0" applyAlignment="0" applyProtection="0"/>
    <xf numFmtId="0" fontId="16" fillId="12" borderId="0" applyNumberFormat="0" applyBorder="0" applyAlignment="0" applyProtection="0"/>
    <xf numFmtId="0" fontId="26" fillId="35"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40" borderId="0" applyNumberFormat="0" applyBorder="0" applyAlignment="0" applyProtection="0"/>
    <xf numFmtId="0" fontId="26" fillId="38" borderId="0" applyNumberFormat="0" applyBorder="0" applyAlignment="0" applyProtection="0"/>
    <xf numFmtId="0" fontId="26" fillId="33" borderId="0" applyNumberFormat="0" applyBorder="0" applyAlignment="0" applyProtection="0"/>
    <xf numFmtId="0" fontId="26" fillId="35" borderId="0" applyNumberFormat="0" applyBorder="0" applyAlignment="0" applyProtection="0"/>
    <xf numFmtId="0" fontId="26" fillId="33" borderId="0" applyNumberFormat="0" applyBorder="0" applyAlignment="0" applyProtection="0"/>
    <xf numFmtId="0" fontId="26" fillId="33" borderId="0" applyNumberFormat="0" applyBorder="0" applyAlignment="0" applyProtection="0"/>
    <xf numFmtId="0" fontId="26" fillId="37" borderId="0" applyNumberFormat="0" applyBorder="0" applyAlignment="0" applyProtection="0"/>
    <xf numFmtId="0" fontId="26" fillId="35" borderId="0" applyNumberFormat="0" applyBorder="0" applyAlignment="0" applyProtection="0"/>
    <xf numFmtId="0" fontId="26" fillId="33" borderId="0" applyNumberFormat="0" applyBorder="0" applyAlignment="0" applyProtection="0"/>
    <xf numFmtId="0" fontId="29" fillId="0" borderId="0"/>
    <xf numFmtId="174" fontId="19" fillId="0" borderId="0" applyFill="0" applyBorder="0" applyAlignment="0"/>
    <xf numFmtId="174" fontId="19" fillId="0" borderId="0" applyFill="0" applyBorder="0" applyAlignment="0"/>
    <xf numFmtId="0" fontId="23" fillId="0" borderId="0"/>
    <xf numFmtId="179" fontId="19" fillId="0" borderId="0"/>
    <xf numFmtId="0" fontId="1" fillId="0" borderId="0"/>
    <xf numFmtId="0" fontId="34" fillId="0" borderId="0" applyNumberFormat="0" applyFont="0" applyFill="0" applyAlignment="0" applyProtection="0"/>
    <xf numFmtId="0" fontId="1" fillId="0" borderId="0"/>
    <xf numFmtId="0" fontId="54" fillId="45" borderId="0" applyNumberFormat="0" applyBorder="0" applyAlignment="0" applyProtection="0"/>
    <xf numFmtId="0" fontId="1" fillId="0" borderId="0"/>
    <xf numFmtId="170" fontId="19" fillId="0" borderId="0" applyFill="0" applyBorder="0" applyAlignment="0"/>
    <xf numFmtId="0" fontId="19" fillId="0" borderId="0"/>
    <xf numFmtId="0" fontId="23" fillId="0" borderId="0"/>
    <xf numFmtId="0" fontId="64" fillId="0" borderId="43" applyNumberFormat="0" applyFill="0" applyAlignment="0" applyProtection="0"/>
    <xf numFmtId="175" fontId="19" fillId="0" borderId="0" applyFont="0" applyFill="0" applyBorder="0" applyAlignment="0" applyProtection="0"/>
    <xf numFmtId="0" fontId="50" fillId="52" borderId="0" applyNumberFormat="0" applyFill="0" applyBorder="0" applyAlignment="0" applyProtection="0"/>
    <xf numFmtId="176" fontId="19" fillId="0" borderId="0" applyFill="0" applyBorder="0" applyAlignment="0"/>
    <xf numFmtId="168" fontId="1" fillId="0" borderId="0" applyFont="0" applyFill="0" applyBorder="0" applyAlignment="0" applyProtection="0"/>
    <xf numFmtId="10" fontId="19" fillId="0" borderId="0" applyFont="0" applyFill="0" applyBorder="0" applyAlignment="0" applyProtection="0"/>
    <xf numFmtId="0" fontId="62" fillId="35" borderId="38" applyNumberFormat="0" applyAlignment="0" applyProtection="0"/>
    <xf numFmtId="0" fontId="19" fillId="0" borderId="49" applyNumberFormat="0" applyFont="0" applyBorder="0" applyAlignment="0" applyProtection="0"/>
    <xf numFmtId="0" fontId="33" fillId="0" borderId="0" applyProtection="0"/>
    <xf numFmtId="0" fontId="16" fillId="32" borderId="0" applyNumberFormat="0" applyBorder="0" applyAlignment="0" applyProtection="0"/>
    <xf numFmtId="174" fontId="19" fillId="0" borderId="0" applyFill="0" applyBorder="0" applyAlignment="0"/>
    <xf numFmtId="0" fontId="66" fillId="49" borderId="45" applyNumberFormat="0" applyAlignment="0" applyProtection="0"/>
    <xf numFmtId="0" fontId="73" fillId="0" borderId="0" applyNumberFormat="0" applyFill="0" applyBorder="0" applyAlignment="0" applyProtection="0"/>
    <xf numFmtId="0" fontId="55" fillId="34" borderId="0" applyNumberFormat="0" applyBorder="0" applyAlignment="0" applyProtection="0"/>
    <xf numFmtId="0" fontId="72" fillId="0" borderId="0">
      <alignment vertical="top"/>
    </xf>
    <xf numFmtId="0" fontId="1" fillId="0" borderId="0"/>
    <xf numFmtId="2" fontId="37" fillId="0" borderId="0" applyFill="0" applyBorder="0" applyAlignment="0" applyProtection="0"/>
    <xf numFmtId="165" fontId="29" fillId="0" borderId="0" applyFont="0" applyFill="0" applyBorder="0" applyAlignment="0" applyProtection="0"/>
    <xf numFmtId="0" fontId="23" fillId="0" borderId="0"/>
    <xf numFmtId="171" fontId="19" fillId="0" borderId="0" applyFill="0" applyBorder="0" applyAlignment="0"/>
    <xf numFmtId="9" fontId="23" fillId="0" borderId="0" applyFont="0" applyFill="0" applyBorder="0" applyAlignment="0" applyProtection="0"/>
    <xf numFmtId="3" fontId="19" fillId="52" borderId="0" applyFont="0" applyFill="0" applyBorder="0" applyAlignment="0" applyProtection="0"/>
    <xf numFmtId="171" fontId="19" fillId="0" borderId="0" applyFill="0" applyBorder="0" applyAlignment="0"/>
    <xf numFmtId="0" fontId="1" fillId="0" borderId="0"/>
    <xf numFmtId="0" fontId="1" fillId="0" borderId="0"/>
    <xf numFmtId="0" fontId="54" fillId="42" borderId="0" applyNumberFormat="0" applyBorder="0" applyAlignment="0" applyProtection="0"/>
    <xf numFmtId="0" fontId="71" fillId="4" borderId="0" applyNumberFormat="0" applyBorder="0" applyAlignment="0" applyProtection="0"/>
    <xf numFmtId="5" fontId="19" fillId="0" borderId="0" applyFont="0" applyFill="0" applyBorder="0" applyAlignment="0" applyProtection="0"/>
    <xf numFmtId="0" fontId="19" fillId="37" borderId="44" applyNumberFormat="0" applyFont="0" applyAlignment="0" applyProtection="0"/>
    <xf numFmtId="0" fontId="34" fillId="52" borderId="0" applyNumberFormat="0" applyFill="0" applyBorder="0" applyAlignment="0" applyProtection="0"/>
    <xf numFmtId="177" fontId="19" fillId="0" borderId="0" applyFill="0" applyBorder="0" applyAlignment="0"/>
    <xf numFmtId="0" fontId="50" fillId="0" borderId="0" applyNumberFormat="0" applyFont="0" applyFill="0" applyAlignment="0" applyProtection="0"/>
    <xf numFmtId="165" fontId="1" fillId="0" borderId="0" applyFont="0" applyFill="0" applyBorder="0" applyAlignment="0" applyProtection="0"/>
    <xf numFmtId="174" fontId="19" fillId="0" borderId="0" applyFill="0" applyBorder="0" applyAlignment="0"/>
    <xf numFmtId="0" fontId="23" fillId="0" borderId="0"/>
    <xf numFmtId="0" fontId="23" fillId="0" borderId="0"/>
    <xf numFmtId="175" fontId="19" fillId="0" borderId="0" applyFill="0" applyBorder="0" applyAlignment="0"/>
    <xf numFmtId="0" fontId="1" fillId="0" borderId="0"/>
    <xf numFmtId="0" fontId="1" fillId="0" borderId="0"/>
    <xf numFmtId="165" fontId="19" fillId="0" borderId="0" applyFont="0" applyFill="0" applyBorder="0" applyAlignment="0" applyProtection="0"/>
    <xf numFmtId="0" fontId="54" fillId="33" borderId="0" applyNumberFormat="0" applyBorder="0" applyAlignment="0" applyProtection="0"/>
    <xf numFmtId="0" fontId="19" fillId="0" borderId="0"/>
    <xf numFmtId="0" fontId="37" fillId="0" borderId="0" applyFill="0" applyBorder="0" applyAlignment="0" applyProtection="0"/>
    <xf numFmtId="165" fontId="19" fillId="0" borderId="0" applyFont="0" applyFill="0" applyBorder="0" applyAlignment="0" applyProtection="0"/>
    <xf numFmtId="172" fontId="19" fillId="0" borderId="0" applyFill="0" applyBorder="0" applyAlignment="0"/>
    <xf numFmtId="0" fontId="34" fillId="0" borderId="0" applyNumberFormat="0" applyFill="0" applyBorder="0" applyAlignment="0" applyProtection="0"/>
    <xf numFmtId="0" fontId="72" fillId="0" borderId="0">
      <alignment vertical="top"/>
    </xf>
    <xf numFmtId="175" fontId="19" fillId="0" borderId="0" applyFill="0" applyBorder="0" applyAlignment="0"/>
    <xf numFmtId="0" fontId="72" fillId="0" borderId="0">
      <alignment vertical="top"/>
    </xf>
    <xf numFmtId="0" fontId="1" fillId="0" borderId="0"/>
    <xf numFmtId="0" fontId="29" fillId="0" borderId="0"/>
    <xf numFmtId="0" fontId="72" fillId="0" borderId="0">
      <alignment vertical="top"/>
    </xf>
    <xf numFmtId="171" fontId="19" fillId="0" borderId="0" applyFill="0" applyBorder="0" applyAlignment="0"/>
    <xf numFmtId="174" fontId="19" fillId="0" borderId="0" applyFill="0" applyBorder="0" applyAlignment="0"/>
    <xf numFmtId="0" fontId="1" fillId="0" borderId="0"/>
    <xf numFmtId="0" fontId="60" fillId="36" borderId="0" applyNumberFormat="0" applyBorder="0" applyAlignment="0" applyProtection="0"/>
    <xf numFmtId="174" fontId="19" fillId="0" borderId="0" applyFont="0" applyFill="0" applyBorder="0" applyAlignment="0" applyProtection="0"/>
    <xf numFmtId="0" fontId="1" fillId="0" borderId="0"/>
    <xf numFmtId="0" fontId="67" fillId="0" borderId="0" applyNumberFormat="0" applyFill="0" applyBorder="0" applyAlignment="0" applyProtection="0"/>
    <xf numFmtId="0" fontId="19" fillId="0" borderId="0"/>
    <xf numFmtId="175" fontId="19" fillId="0" borderId="0" applyFill="0" applyBorder="0" applyAlignment="0"/>
    <xf numFmtId="0" fontId="16" fillId="24" borderId="0" applyNumberFormat="0" applyBorder="0" applyAlignment="0" applyProtection="0"/>
    <xf numFmtId="174" fontId="19" fillId="0" borderId="0" applyFill="0" applyBorder="0" applyAlignment="0"/>
    <xf numFmtId="0" fontId="1" fillId="0" borderId="0"/>
    <xf numFmtId="168" fontId="1" fillId="0" borderId="0" applyFont="0" applyFill="0" applyBorder="0" applyAlignment="0" applyProtection="0"/>
    <xf numFmtId="0" fontId="54" fillId="43" borderId="0" applyNumberFormat="0" applyBorder="0" applyAlignment="0" applyProtection="0"/>
    <xf numFmtId="175" fontId="19" fillId="0" borderId="0" applyFill="0" applyBorder="0" applyAlignment="0"/>
    <xf numFmtId="175" fontId="19" fillId="0" borderId="0" applyFill="0" applyBorder="0" applyAlignment="0"/>
    <xf numFmtId="175" fontId="19" fillId="0" borderId="0" applyFill="0" applyBorder="0" applyAlignment="0"/>
    <xf numFmtId="0" fontId="1" fillId="0" borderId="0"/>
    <xf numFmtId="0" fontId="37" fillId="0" borderId="68" applyNumberFormat="0" applyFill="0" applyAlignment="0" applyProtection="0"/>
    <xf numFmtId="0" fontId="59" fillId="0" borderId="0" applyNumberFormat="0" applyFill="0" applyBorder="0" applyAlignment="0" applyProtection="0"/>
    <xf numFmtId="0" fontId="16" fillId="28" borderId="0" applyNumberFormat="0" applyBorder="0" applyAlignment="0" applyProtection="0"/>
    <xf numFmtId="175" fontId="19" fillId="0" borderId="0" applyFill="0" applyBorder="0" applyAlignment="0"/>
    <xf numFmtId="3" fontId="19" fillId="0" borderId="0" applyFont="0" applyFill="0" applyBorder="0" applyAlignment="0" applyProtection="0"/>
    <xf numFmtId="0" fontId="1" fillId="8" borderId="8" applyNumberFormat="0" applyFont="0" applyAlignment="0" applyProtection="0"/>
    <xf numFmtId="0" fontId="34" fillId="52" borderId="0" applyNumberFormat="0" applyFill="0" applyBorder="0" applyAlignment="0" applyProtection="0"/>
    <xf numFmtId="0" fontId="54" fillId="48" borderId="0" applyNumberFormat="0" applyBorder="0" applyAlignment="0" applyProtection="0"/>
    <xf numFmtId="0" fontId="1" fillId="0" borderId="0"/>
    <xf numFmtId="174" fontId="19" fillId="0" borderId="0" applyFill="0" applyBorder="0" applyAlignment="0"/>
    <xf numFmtId="0" fontId="61" fillId="0" borderId="41" applyNumberFormat="0" applyFill="0" applyAlignment="0" applyProtection="0"/>
    <xf numFmtId="0" fontId="23" fillId="0" borderId="0"/>
    <xf numFmtId="0" fontId="1" fillId="0" borderId="0"/>
    <xf numFmtId="172" fontId="19" fillId="0" borderId="0" applyFont="0" applyFill="0" applyBorder="0" applyAlignment="0" applyProtection="0"/>
    <xf numFmtId="0" fontId="1" fillId="0" borderId="0"/>
    <xf numFmtId="0" fontId="54" fillId="46" borderId="0" applyNumberFormat="0" applyBorder="0" applyAlignment="0" applyProtection="0"/>
    <xf numFmtId="0" fontId="2" fillId="0" borderId="0" applyNumberFormat="0" applyFill="0" applyBorder="0" applyAlignment="0" applyProtection="0"/>
    <xf numFmtId="0" fontId="23" fillId="0" borderId="0"/>
    <xf numFmtId="171" fontId="19" fillId="0" borderId="0" applyFill="0" applyBorder="0" applyAlignment="0"/>
    <xf numFmtId="194" fontId="19" fillId="52" borderId="0" applyFont="0" applyFill="0" applyBorder="0" applyAlignment="0" applyProtection="0"/>
    <xf numFmtId="0" fontId="56" fillId="49" borderId="38" applyNumberFormat="0" applyAlignment="0" applyProtection="0"/>
    <xf numFmtId="0" fontId="1" fillId="0" borderId="0"/>
    <xf numFmtId="0" fontId="34" fillId="0" borderId="0" applyNumberFormat="0" applyFill="0" applyBorder="0" applyAlignment="0" applyProtection="0"/>
    <xf numFmtId="165" fontId="1" fillId="0" borderId="0" applyFont="0" applyFill="0" applyBorder="0" applyAlignment="0" applyProtection="0"/>
    <xf numFmtId="0" fontId="54" fillId="35" borderId="0" applyNumberFormat="0" applyBorder="0" applyAlignment="0" applyProtection="0"/>
    <xf numFmtId="0" fontId="19" fillId="0" borderId="0"/>
    <xf numFmtId="0" fontId="61" fillId="0" borderId="0" applyNumberFormat="0" applyFill="0" applyBorder="0" applyAlignment="0" applyProtection="0"/>
    <xf numFmtId="0" fontId="1" fillId="0" borderId="0"/>
    <xf numFmtId="0" fontId="1" fillId="0" borderId="0"/>
    <xf numFmtId="165" fontId="19" fillId="0" borderId="0" applyFont="0" applyFill="0" applyBorder="0" applyAlignment="0" applyProtection="0"/>
    <xf numFmtId="180" fontId="19" fillId="0" borderId="0" applyFont="0" applyFill="0" applyBorder="0" applyAlignment="0" applyProtection="0"/>
    <xf numFmtId="0" fontId="54" fillId="47" borderId="0" applyNumberFormat="0" applyBorder="0" applyAlignment="0" applyProtection="0"/>
    <xf numFmtId="0" fontId="19" fillId="0" borderId="48" applyNumberFormat="0" applyFont="0" applyFill="0" applyAlignment="0" applyProtection="0"/>
    <xf numFmtId="175" fontId="19" fillId="0" borderId="0" applyFill="0" applyBorder="0" applyAlignment="0"/>
    <xf numFmtId="174" fontId="19" fillId="0" borderId="0" applyFill="0" applyBorder="0" applyAlignment="0"/>
    <xf numFmtId="0" fontId="65" fillId="40" borderId="0" applyNumberFormat="0" applyBorder="0" applyAlignment="0" applyProtection="0"/>
    <xf numFmtId="0" fontId="57" fillId="50" borderId="39" applyNumberFormat="0" applyAlignment="0" applyProtection="0"/>
    <xf numFmtId="0" fontId="34" fillId="52" borderId="0" applyNumberFormat="0" applyFill="0" applyBorder="0" applyAlignment="0" applyProtection="0"/>
    <xf numFmtId="0" fontId="52" fillId="0" borderId="0" applyNumberFormat="0" applyFill="0" applyBorder="0" applyAlignment="0" applyProtection="0"/>
    <xf numFmtId="0" fontId="19" fillId="0" borderId="0"/>
    <xf numFmtId="0" fontId="54" fillId="43" borderId="0" applyNumberFormat="0" applyBorder="0" applyAlignment="0" applyProtection="0"/>
    <xf numFmtId="0" fontId="1" fillId="0" borderId="0"/>
    <xf numFmtId="173" fontId="19" fillId="0" borderId="0" applyFill="0" applyBorder="0" applyAlignment="0"/>
    <xf numFmtId="0" fontId="23" fillId="0" borderId="0"/>
  </cellStyleXfs>
  <cellXfs count="796">
    <xf numFmtId="0" fontId="0" fillId="0" borderId="0" xfId="0"/>
    <xf numFmtId="0" fontId="20" fillId="0" borderId="0" xfId="0" applyFont="1"/>
    <xf numFmtId="0" fontId="21" fillId="0" borderId="0" xfId="0" applyFont="1"/>
    <xf numFmtId="165" fontId="18" fillId="0" borderId="0" xfId="1" applyFont="1" applyFill="1" applyBorder="1"/>
    <xf numFmtId="0" fontId="21" fillId="0" borderId="10" xfId="0" applyFont="1" applyBorder="1"/>
    <xf numFmtId="0" fontId="21" fillId="0" borderId="11" xfId="0" applyFont="1" applyBorder="1"/>
    <xf numFmtId="0" fontId="23" fillId="0" borderId="11" xfId="0" applyFont="1" applyBorder="1"/>
    <xf numFmtId="0" fontId="23" fillId="0" borderId="0" xfId="0" applyFont="1"/>
    <xf numFmtId="0" fontId="21" fillId="0" borderId="22" xfId="0" applyFont="1" applyBorder="1"/>
    <xf numFmtId="0" fontId="21" fillId="0" borderId="23" xfId="0" applyFont="1" applyBorder="1" applyAlignment="1">
      <alignment horizontal="center"/>
    </xf>
    <xf numFmtId="0" fontId="21" fillId="0" borderId="22" xfId="0" applyFont="1" applyBorder="1" applyAlignment="1">
      <alignment horizontal="right"/>
    </xf>
    <xf numFmtId="0" fontId="21" fillId="0" borderId="24" xfId="0" applyFont="1" applyBorder="1" applyAlignment="1">
      <alignment horizontal="right"/>
    </xf>
    <xf numFmtId="166" fontId="23" fillId="0" borderId="0" xfId="0" applyNumberFormat="1" applyFont="1"/>
    <xf numFmtId="166" fontId="21" fillId="0" borderId="30" xfId="1" applyNumberFormat="1" applyFont="1" applyFill="1" applyBorder="1" applyAlignment="1">
      <alignment horizontal="center"/>
    </xf>
    <xf numFmtId="166" fontId="21" fillId="0" borderId="0" xfId="1" applyNumberFormat="1" applyFont="1" applyFill="1" applyBorder="1" applyAlignment="1">
      <alignment horizontal="right"/>
    </xf>
    <xf numFmtId="166" fontId="23" fillId="0" borderId="0" xfId="0" applyNumberFormat="1" applyFont="1" applyAlignment="1">
      <alignment horizontal="right"/>
    </xf>
    <xf numFmtId="0" fontId="21" fillId="0" borderId="0" xfId="0" applyFont="1" applyAlignment="1">
      <alignment horizontal="right"/>
    </xf>
    <xf numFmtId="166" fontId="23" fillId="0" borderId="29" xfId="1" applyNumberFormat="1" applyFont="1" applyFill="1" applyBorder="1" applyAlignment="1">
      <alignment horizontal="right"/>
    </xf>
    <xf numFmtId="166" fontId="23" fillId="0" borderId="30" xfId="1" applyNumberFormat="1" applyFont="1" applyFill="1" applyBorder="1" applyAlignment="1">
      <alignment horizontal="right"/>
    </xf>
    <xf numFmtId="166" fontId="23" fillId="0" borderId="0" xfId="1" applyNumberFormat="1" applyFont="1" applyFill="1" applyBorder="1" applyAlignment="1">
      <alignment horizontal="right"/>
    </xf>
    <xf numFmtId="166" fontId="21" fillId="0" borderId="0" xfId="0" applyNumberFormat="1" applyFont="1" applyAlignment="1">
      <alignment horizontal="right"/>
    </xf>
    <xf numFmtId="166" fontId="21" fillId="0" borderId="29" xfId="1" applyNumberFormat="1" applyFont="1" applyFill="1" applyBorder="1" applyAlignment="1">
      <alignment horizontal="center"/>
    </xf>
    <xf numFmtId="166" fontId="21" fillId="0" borderId="0" xfId="1" applyNumberFormat="1" applyFont="1" applyFill="1" applyBorder="1" applyAlignment="1">
      <alignment horizontal="center"/>
    </xf>
    <xf numFmtId="166" fontId="21" fillId="0" borderId="32" xfId="1" applyNumberFormat="1" applyFont="1" applyFill="1" applyBorder="1" applyAlignment="1">
      <alignment horizontal="center"/>
    </xf>
    <xf numFmtId="166" fontId="21" fillId="0" borderId="33" xfId="1" applyNumberFormat="1" applyFont="1" applyFill="1" applyBorder="1" applyAlignment="1">
      <alignment horizontal="center"/>
    </xf>
    <xf numFmtId="0" fontId="25" fillId="0" borderId="0" xfId="0" applyFont="1"/>
    <xf numFmtId="166" fontId="25" fillId="0" borderId="29" xfId="1" applyNumberFormat="1" applyFont="1" applyFill="1" applyBorder="1" applyAlignment="1">
      <alignment horizontal="center"/>
    </xf>
    <xf numFmtId="166" fontId="25" fillId="0" borderId="30" xfId="1" applyNumberFormat="1" applyFont="1" applyFill="1" applyBorder="1" applyAlignment="1">
      <alignment horizontal="center"/>
    </xf>
    <xf numFmtId="166" fontId="25" fillId="0" borderId="0" xfId="1" applyNumberFormat="1" applyFont="1" applyFill="1" applyBorder="1" applyAlignment="1">
      <alignment horizontal="center"/>
    </xf>
    <xf numFmtId="166" fontId="23" fillId="0" borderId="0" xfId="1" applyNumberFormat="1" applyFont="1" applyFill="1" applyBorder="1" applyAlignment="1">
      <alignment horizontal="left" indent="1"/>
    </xf>
    <xf numFmtId="166" fontId="23" fillId="0" borderId="29" xfId="1" applyNumberFormat="1" applyFont="1" applyFill="1" applyBorder="1" applyAlignment="1">
      <alignment horizontal="center"/>
    </xf>
    <xf numFmtId="166" fontId="23" fillId="0" borderId="30" xfId="1" applyNumberFormat="1" applyFont="1" applyFill="1" applyBorder="1" applyAlignment="1">
      <alignment horizontal="center"/>
    </xf>
    <xf numFmtId="166" fontId="23" fillId="0" borderId="32" xfId="1" applyNumberFormat="1" applyFont="1" applyFill="1" applyBorder="1" applyAlignment="1">
      <alignment horizontal="center"/>
    </xf>
    <xf numFmtId="166" fontId="23" fillId="0" borderId="0" xfId="1" applyNumberFormat="1" applyFont="1" applyFill="1" applyBorder="1" applyAlignment="1">
      <alignment horizontal="center"/>
    </xf>
    <xf numFmtId="166" fontId="24" fillId="0" borderId="0" xfId="1" applyNumberFormat="1" applyFont="1" applyFill="1" applyBorder="1" applyAlignment="1">
      <alignment horizontal="right"/>
    </xf>
    <xf numFmtId="166" fontId="23" fillId="0" borderId="24" xfId="1" applyNumberFormat="1" applyFont="1" applyFill="1" applyBorder="1" applyAlignment="1">
      <alignment horizontal="right"/>
    </xf>
    <xf numFmtId="166" fontId="23" fillId="0" borderId="25" xfId="1" applyNumberFormat="1" applyFont="1" applyFill="1" applyBorder="1" applyAlignment="1">
      <alignment horizontal="right"/>
    </xf>
    <xf numFmtId="166" fontId="23" fillId="0" borderId="22" xfId="1" applyNumberFormat="1" applyFont="1" applyFill="1" applyBorder="1" applyAlignment="1">
      <alignment horizontal="right"/>
    </xf>
    <xf numFmtId="166" fontId="24" fillId="0" borderId="0" xfId="0" applyNumberFormat="1" applyFont="1" applyAlignment="1">
      <alignment horizontal="right"/>
    </xf>
    <xf numFmtId="0" fontId="23" fillId="0" borderId="10" xfId="0" applyFont="1" applyBorder="1"/>
    <xf numFmtId="166" fontId="23" fillId="0" borderId="10" xfId="1" applyNumberFormat="1" applyFont="1" applyFill="1" applyBorder="1" applyAlignment="1">
      <alignment horizontal="right"/>
    </xf>
    <xf numFmtId="166" fontId="23" fillId="0" borderId="37" xfId="1" applyNumberFormat="1" applyFont="1" applyFill="1" applyBorder="1" applyAlignment="1">
      <alignment horizontal="right"/>
    </xf>
    <xf numFmtId="0" fontId="23" fillId="0" borderId="0" xfId="0" applyFont="1" applyAlignment="1">
      <alignment horizontal="center"/>
    </xf>
    <xf numFmtId="165" fontId="28" fillId="0" borderId="0" xfId="1" applyFont="1" applyFill="1" applyBorder="1"/>
    <xf numFmtId="166" fontId="18" fillId="0" borderId="0" xfId="1" applyNumberFormat="1" applyFont="1" applyFill="1" applyBorder="1" applyAlignment="1">
      <alignment horizontal="right"/>
    </xf>
    <xf numFmtId="166" fontId="18" fillId="0" borderId="0" xfId="1" applyNumberFormat="1" applyFont="1" applyFill="1" applyBorder="1" applyAlignment="1"/>
    <xf numFmtId="166" fontId="18" fillId="0" borderId="0" xfId="1" applyNumberFormat="1" applyFont="1" applyFill="1" applyBorder="1" applyAlignment="1">
      <alignment horizontal="left"/>
    </xf>
    <xf numFmtId="166" fontId="21" fillId="0" borderId="0" xfId="113" applyNumberFormat="1" applyFont="1" applyFill="1" applyBorder="1" applyAlignment="1">
      <alignment horizontal="right"/>
    </xf>
    <xf numFmtId="166" fontId="23" fillId="0" borderId="71" xfId="1" applyNumberFormat="1" applyFont="1" applyFill="1" applyBorder="1" applyAlignment="1">
      <alignment horizontal="right"/>
    </xf>
    <xf numFmtId="166" fontId="23" fillId="0" borderId="73" xfId="1" applyNumberFormat="1" applyFont="1" applyFill="1" applyBorder="1" applyAlignment="1">
      <alignment horizontal="right"/>
    </xf>
    <xf numFmtId="166" fontId="21" fillId="0" borderId="54" xfId="0" applyNumberFormat="1" applyFont="1" applyBorder="1"/>
    <xf numFmtId="169" fontId="18" fillId="0" borderId="32" xfId="17416" applyNumberFormat="1" applyFont="1" applyFill="1" applyBorder="1"/>
    <xf numFmtId="37" fontId="26" fillId="0" borderId="30" xfId="0" applyNumberFormat="1" applyFont="1" applyBorder="1" applyAlignment="1">
      <alignment horizontal="right"/>
    </xf>
    <xf numFmtId="166" fontId="23" fillId="0" borderId="0" xfId="1" applyNumberFormat="1" applyFont="1" applyFill="1" applyBorder="1" applyAlignment="1"/>
    <xf numFmtId="166" fontId="27" fillId="0" borderId="0" xfId="0" applyNumberFormat="1" applyFont="1" applyAlignment="1">
      <alignment horizontal="left" indent="1"/>
    </xf>
    <xf numFmtId="166" fontId="25" fillId="0" borderId="30" xfId="1297" applyNumberFormat="1" applyFont="1" applyBorder="1" applyAlignment="1">
      <alignment horizontal="right"/>
    </xf>
    <xf numFmtId="166" fontId="25" fillId="0" borderId="32" xfId="0" applyNumberFormat="1" applyFont="1" applyBorder="1" applyAlignment="1">
      <alignment horizontal="right"/>
    </xf>
    <xf numFmtId="166" fontId="26" fillId="0" borderId="30" xfId="4822" applyNumberFormat="1" applyFont="1" applyBorder="1" applyAlignment="1">
      <alignment horizontal="right"/>
    </xf>
    <xf numFmtId="166" fontId="21" fillId="0" borderId="30" xfId="1297" applyNumberFormat="1" applyFont="1" applyBorder="1" applyAlignment="1">
      <alignment horizontal="right"/>
    </xf>
    <xf numFmtId="166" fontId="21" fillId="0" borderId="30" xfId="4822" applyNumberFormat="1" applyFont="1" applyBorder="1" applyAlignment="1">
      <alignment horizontal="right"/>
    </xf>
    <xf numFmtId="166" fontId="24" fillId="0" borderId="30" xfId="0" applyNumberFormat="1" applyFont="1" applyBorder="1" applyAlignment="1">
      <alignment horizontal="right"/>
    </xf>
    <xf numFmtId="166" fontId="21" fillId="0" borderId="33" xfId="0" applyNumberFormat="1" applyFont="1" applyBorder="1" applyAlignment="1">
      <alignment horizontal="right"/>
    </xf>
    <xf numFmtId="166" fontId="32" fillId="0" borderId="30" xfId="4822" applyNumberFormat="1" applyFont="1" applyBorder="1" applyAlignment="1">
      <alignment horizontal="right"/>
    </xf>
    <xf numFmtId="166" fontId="32" fillId="0" borderId="30" xfId="0" applyNumberFormat="1" applyFont="1" applyBorder="1" applyAlignment="1">
      <alignment horizontal="right"/>
    </xf>
    <xf numFmtId="166" fontId="31" fillId="0" borderId="30" xfId="0" applyNumberFormat="1" applyFont="1" applyBorder="1" applyAlignment="1">
      <alignment horizontal="right"/>
    </xf>
    <xf numFmtId="166" fontId="23" fillId="0" borderId="29" xfId="1297" applyNumberFormat="1" applyFont="1" applyBorder="1" applyAlignment="1">
      <alignment horizontal="right"/>
    </xf>
    <xf numFmtId="166" fontId="23" fillId="0" borderId="29" xfId="4822" applyNumberFormat="1" applyFont="1" applyBorder="1" applyAlignment="1">
      <alignment horizontal="right"/>
    </xf>
    <xf numFmtId="166" fontId="23" fillId="0" borderId="0" xfId="0" applyNumberFormat="1" applyFont="1" applyAlignment="1">
      <alignment horizontal="left"/>
    </xf>
    <xf numFmtId="166" fontId="23" fillId="0" borderId="30" xfId="1297" applyNumberFormat="1" applyFont="1" applyBorder="1" applyAlignment="1">
      <alignment horizontal="right"/>
    </xf>
    <xf numFmtId="166" fontId="23" fillId="0" borderId="32" xfId="0" applyNumberFormat="1" applyFont="1" applyBorder="1" applyAlignment="1">
      <alignment horizontal="right"/>
    </xf>
    <xf numFmtId="166" fontId="23" fillId="0" borderId="30" xfId="4822" applyNumberFormat="1" applyFont="1" applyBorder="1" applyAlignment="1">
      <alignment horizontal="right"/>
    </xf>
    <xf numFmtId="166" fontId="23" fillId="0" borderId="29" xfId="0" applyNumberFormat="1" applyFont="1" applyBorder="1"/>
    <xf numFmtId="166" fontId="21" fillId="0" borderId="61" xfId="0" applyNumberFormat="1" applyFont="1" applyBorder="1" applyAlignment="1">
      <alignment horizontal="right"/>
    </xf>
    <xf numFmtId="166" fontId="23" fillId="0" borderId="11" xfId="1" applyNumberFormat="1" applyFont="1" applyFill="1" applyBorder="1" applyAlignment="1">
      <alignment horizontal="center"/>
    </xf>
    <xf numFmtId="166" fontId="23" fillId="0" borderId="37" xfId="1" applyNumberFormat="1" applyFont="1" applyFill="1" applyBorder="1" applyAlignment="1">
      <alignment horizontal="center"/>
    </xf>
    <xf numFmtId="166" fontId="23" fillId="0" borderId="10" xfId="1" applyNumberFormat="1" applyFont="1" applyFill="1" applyBorder="1" applyAlignment="1">
      <alignment horizontal="center"/>
    </xf>
    <xf numFmtId="166" fontId="27" fillId="0" borderId="10" xfId="0" applyNumberFormat="1" applyFont="1" applyBorder="1" applyAlignment="1">
      <alignment horizontal="right"/>
    </xf>
    <xf numFmtId="166" fontId="23" fillId="0" borderId="34" xfId="0" applyNumberFormat="1" applyFont="1" applyBorder="1"/>
    <xf numFmtId="166" fontId="21" fillId="0" borderId="63" xfId="1" applyNumberFormat="1" applyFont="1" applyFill="1" applyBorder="1" applyAlignment="1">
      <alignment horizontal="center"/>
    </xf>
    <xf numFmtId="166" fontId="21" fillId="0" borderId="54" xfId="1" applyNumberFormat="1" applyFont="1" applyFill="1" applyBorder="1" applyAlignment="1">
      <alignment horizontal="center"/>
    </xf>
    <xf numFmtId="166" fontId="21" fillId="0" borderId="10" xfId="0" applyNumberFormat="1" applyFont="1" applyBorder="1"/>
    <xf numFmtId="166" fontId="23" fillId="0" borderId="72" xfId="1" applyNumberFormat="1" applyFont="1" applyFill="1" applyBorder="1" applyAlignment="1">
      <alignment horizontal="right"/>
    </xf>
    <xf numFmtId="166" fontId="23" fillId="0" borderId="16" xfId="0" applyNumberFormat="1" applyFont="1" applyBorder="1"/>
    <xf numFmtId="166" fontId="21" fillId="0" borderId="16" xfId="0" applyNumberFormat="1" applyFont="1" applyBorder="1" applyAlignment="1">
      <alignment horizontal="center"/>
    </xf>
    <xf numFmtId="0" fontId="26" fillId="0" borderId="11" xfId="0" applyFont="1" applyBorder="1"/>
    <xf numFmtId="166" fontId="23" fillId="0" borderId="33" xfId="0" applyNumberFormat="1" applyFont="1" applyBorder="1" applyAlignment="1">
      <alignment horizontal="right"/>
    </xf>
    <xf numFmtId="166" fontId="21" fillId="0" borderId="72" xfId="0" applyNumberFormat="1" applyFont="1" applyBorder="1"/>
    <xf numFmtId="166" fontId="20" fillId="0" borderId="10" xfId="0" applyNumberFormat="1" applyFont="1" applyBorder="1"/>
    <xf numFmtId="166" fontId="21" fillId="0" borderId="13" xfId="0" applyNumberFormat="1" applyFont="1" applyBorder="1" applyAlignment="1">
      <alignment horizontal="center"/>
    </xf>
    <xf numFmtId="0" fontId="21" fillId="0" borderId="28" xfId="0" applyFont="1" applyBorder="1" applyAlignment="1">
      <alignment horizontal="right"/>
    </xf>
    <xf numFmtId="166" fontId="23" fillId="0" borderId="10" xfId="0" applyNumberFormat="1" applyFont="1" applyBorder="1"/>
    <xf numFmtId="166" fontId="23" fillId="0" borderId="71" xfId="0" applyNumberFormat="1" applyFont="1" applyBorder="1"/>
    <xf numFmtId="166" fontId="21" fillId="0" borderId="57" xfId="0" applyNumberFormat="1" applyFont="1" applyBorder="1"/>
    <xf numFmtId="166" fontId="23" fillId="0" borderId="0" xfId="0" applyNumberFormat="1" applyFont="1" applyAlignment="1">
      <alignment horizontal="center"/>
    </xf>
    <xf numFmtId="165" fontId="23" fillId="0" borderId="0" xfId="1" applyFont="1" applyFill="1" applyBorder="1" applyAlignment="1">
      <alignment horizontal="right"/>
    </xf>
    <xf numFmtId="166" fontId="21" fillId="0" borderId="29" xfId="0" applyNumberFormat="1" applyFont="1" applyBorder="1" applyAlignment="1">
      <alignment horizontal="right"/>
    </xf>
    <xf numFmtId="166" fontId="21" fillId="0" borderId="12" xfId="0" applyNumberFormat="1" applyFont="1" applyBorder="1" applyAlignment="1">
      <alignment horizontal="center"/>
    </xf>
    <xf numFmtId="0" fontId="25" fillId="0" borderId="0" xfId="0" quotePrefix="1" applyFont="1"/>
    <xf numFmtId="0" fontId="27" fillId="0" borderId="0" xfId="0" applyFont="1"/>
    <xf numFmtId="166" fontId="70" fillId="0" borderId="0" xfId="0" applyNumberFormat="1" applyFont="1" applyAlignment="1">
      <alignment horizontal="left"/>
    </xf>
    <xf numFmtId="166" fontId="23" fillId="0" borderId="73" xfId="0" applyNumberFormat="1" applyFont="1" applyBorder="1"/>
    <xf numFmtId="166" fontId="26" fillId="0" borderId="0" xfId="0" applyNumberFormat="1" applyFont="1" applyAlignment="1">
      <alignment horizontal="left"/>
    </xf>
    <xf numFmtId="37" fontId="26" fillId="0" borderId="69" xfId="0" applyNumberFormat="1" applyFont="1" applyBorder="1" applyAlignment="1">
      <alignment horizontal="right"/>
    </xf>
    <xf numFmtId="166" fontId="25" fillId="0" borderId="0" xfId="0" applyNumberFormat="1" applyFont="1" applyAlignment="1">
      <alignment horizontal="left" vertical="center"/>
    </xf>
    <xf numFmtId="166" fontId="23" fillId="0" borderId="50" xfId="0" applyNumberFormat="1" applyFont="1" applyBorder="1" applyAlignment="1">
      <alignment horizontal="right"/>
    </xf>
    <xf numFmtId="166" fontId="23" fillId="0" borderId="54" xfId="0" applyNumberFormat="1" applyFont="1" applyBorder="1"/>
    <xf numFmtId="0" fontId="23" fillId="0" borderId="0" xfId="0" applyFont="1" applyAlignment="1">
      <alignment horizontal="left"/>
    </xf>
    <xf numFmtId="195" fontId="23" fillId="0" borderId="0" xfId="0" applyNumberFormat="1" applyFont="1" applyAlignment="1">
      <alignment horizontal="right"/>
    </xf>
    <xf numFmtId="166" fontId="21" fillId="0" borderId="17" xfId="1" applyNumberFormat="1" applyFont="1" applyFill="1" applyBorder="1" applyAlignment="1"/>
    <xf numFmtId="166" fontId="21" fillId="0" borderId="11" xfId="0" applyNumberFormat="1" applyFont="1" applyBorder="1" applyAlignment="1">
      <alignment horizontal="right"/>
    </xf>
    <xf numFmtId="201" fontId="23" fillId="0" borderId="0" xfId="1" applyNumberFormat="1" applyFont="1" applyFill="1"/>
    <xf numFmtId="166" fontId="23" fillId="0" borderId="19" xfId="380" applyNumberFormat="1" applyFont="1" applyBorder="1" applyAlignment="1">
      <alignment horizontal="center"/>
    </xf>
    <xf numFmtId="166" fontId="23" fillId="0" borderId="28" xfId="0" applyNumberFormat="1" applyFont="1" applyBorder="1"/>
    <xf numFmtId="166" fontId="23" fillId="0" borderId="16" xfId="0" applyNumberFormat="1" applyFont="1" applyBorder="1" applyAlignment="1">
      <alignment horizontal="right"/>
    </xf>
    <xf numFmtId="166" fontId="23" fillId="0" borderId="11" xfId="0" quotePrefix="1" applyNumberFormat="1" applyFont="1" applyBorder="1"/>
    <xf numFmtId="198" fontId="23" fillId="0" borderId="0" xfId="0" applyNumberFormat="1" applyFont="1"/>
    <xf numFmtId="166" fontId="21" fillId="0" borderId="11" xfId="1" applyNumberFormat="1" applyFont="1" applyFill="1" applyBorder="1" applyAlignment="1"/>
    <xf numFmtId="166" fontId="21" fillId="0" borderId="14" xfId="0" applyNumberFormat="1" applyFont="1" applyBorder="1" applyAlignment="1">
      <alignment horizontal="center"/>
    </xf>
    <xf numFmtId="0" fontId="32" fillId="0" borderId="11" xfId="0" applyFont="1" applyBorder="1"/>
    <xf numFmtId="166" fontId="23" fillId="0" borderId="50" xfId="0" applyNumberFormat="1" applyFont="1" applyBorder="1"/>
    <xf numFmtId="165" fontId="23" fillId="0" borderId="0" xfId="1" applyFont="1" applyFill="1"/>
    <xf numFmtId="166" fontId="23" fillId="0" borderId="30" xfId="1299" applyNumberFormat="1" applyFont="1" applyBorder="1" applyAlignment="1">
      <alignment horizontal="right"/>
    </xf>
    <xf numFmtId="166" fontId="23" fillId="0" borderId="16" xfId="0" applyNumberFormat="1" applyFont="1" applyBorder="1" applyAlignment="1">
      <alignment horizontal="center"/>
    </xf>
    <xf numFmtId="37" fontId="27" fillId="0" borderId="30" xfId="0" quotePrefix="1" applyNumberFormat="1" applyFont="1" applyBorder="1" applyAlignment="1">
      <alignment horizontal="right"/>
    </xf>
    <xf numFmtId="166" fontId="21" fillId="0" borderId="11" xfId="1" applyNumberFormat="1" applyFont="1" applyFill="1" applyBorder="1" applyAlignment="1">
      <alignment horizontal="center"/>
    </xf>
    <xf numFmtId="166" fontId="21" fillId="0" borderId="51" xfId="0" applyNumberFormat="1" applyFont="1" applyBorder="1" applyAlignment="1">
      <alignment horizontal="center"/>
    </xf>
    <xf numFmtId="166" fontId="21" fillId="0" borderId="56" xfId="0" applyNumberFormat="1" applyFont="1" applyBorder="1"/>
    <xf numFmtId="37" fontId="26" fillId="0" borderId="54" xfId="0" applyNumberFormat="1" applyFont="1" applyBorder="1" applyAlignment="1">
      <alignment horizontal="right"/>
    </xf>
    <xf numFmtId="166" fontId="23" fillId="0" borderId="32" xfId="0" applyNumberFormat="1" applyFont="1" applyBorder="1"/>
    <xf numFmtId="166" fontId="23" fillId="0" borderId="11" xfId="0" applyNumberFormat="1" applyFont="1" applyBorder="1" applyAlignment="1">
      <alignment horizontal="left"/>
    </xf>
    <xf numFmtId="166" fontId="25" fillId="0" borderId="33" xfId="1" applyNumberFormat="1" applyFont="1" applyFill="1" applyBorder="1" applyAlignment="1">
      <alignment horizontal="center"/>
    </xf>
    <xf numFmtId="166" fontId="21" fillId="0" borderId="22" xfId="1" applyNumberFormat="1" applyFont="1" applyFill="1" applyBorder="1" applyAlignment="1">
      <alignment horizontal="right"/>
    </xf>
    <xf numFmtId="166" fontId="25" fillId="0" borderId="0" xfId="0" applyNumberFormat="1" applyFont="1" applyAlignment="1">
      <alignment horizontal="left"/>
    </xf>
    <xf numFmtId="168" fontId="23" fillId="0" borderId="23" xfId="1" applyNumberFormat="1" applyFont="1" applyFill="1" applyBorder="1" applyAlignment="1">
      <alignment horizontal="right"/>
    </xf>
    <xf numFmtId="195" fontId="23" fillId="0" borderId="16" xfId="0" applyNumberFormat="1" applyFont="1" applyBorder="1" applyAlignment="1">
      <alignment horizontal="center"/>
    </xf>
    <xf numFmtId="166" fontId="24" fillId="0" borderId="19" xfId="0" applyNumberFormat="1" applyFont="1" applyBorder="1"/>
    <xf numFmtId="166" fontId="21" fillId="0" borderId="72" xfId="1" applyNumberFormat="1" applyFont="1" applyFill="1" applyBorder="1" applyAlignment="1">
      <alignment horizontal="right"/>
    </xf>
    <xf numFmtId="0" fontId="0" fillId="0" borderId="15" xfId="0" applyBorder="1" applyAlignment="1">
      <alignment horizontal="center"/>
    </xf>
    <xf numFmtId="166" fontId="21" fillId="0" borderId="16" xfId="0" applyNumberFormat="1" applyFont="1" applyBorder="1"/>
    <xf numFmtId="166" fontId="23" fillId="0" borderId="29" xfId="0" applyNumberFormat="1" applyFont="1" applyBorder="1" applyAlignment="1">
      <alignment horizontal="center"/>
    </xf>
    <xf numFmtId="37" fontId="27" fillId="0" borderId="0" xfId="0" quotePrefix="1" applyNumberFormat="1" applyFont="1" applyAlignment="1">
      <alignment horizontal="right"/>
    </xf>
    <xf numFmtId="166" fontId="23" fillId="0" borderId="28" xfId="1" applyNumberFormat="1" applyFont="1" applyFill="1" applyBorder="1" applyAlignment="1">
      <alignment horizontal="center"/>
    </xf>
    <xf numFmtId="166" fontId="21" fillId="0" borderId="28" xfId="0" applyNumberFormat="1" applyFont="1" applyBorder="1"/>
    <xf numFmtId="166" fontId="23" fillId="0" borderId="0" xfId="91" applyNumberFormat="1" applyFont="1" applyFill="1" applyBorder="1" applyAlignment="1"/>
    <xf numFmtId="0" fontId="21" fillId="0" borderId="16" xfId="0" applyFont="1" applyBorder="1" applyAlignment="1">
      <alignment horizontal="right"/>
    </xf>
    <xf numFmtId="166" fontId="25" fillId="0" borderId="0" xfId="0" applyNumberFormat="1" applyFont="1" applyBorder="1" applyAlignment="1">
      <alignment horizontal="left"/>
    </xf>
    <xf numFmtId="166" fontId="21" fillId="0" borderId="0" xfId="0" quotePrefix="1" applyNumberFormat="1" applyFont="1" applyAlignment="1">
      <alignment horizontal="center"/>
    </xf>
    <xf numFmtId="166" fontId="23" fillId="0" borderId="16" xfId="0" applyNumberFormat="1" applyFont="1" applyBorder="1" applyAlignment="1">
      <alignment horizontal="left"/>
    </xf>
    <xf numFmtId="37" fontId="25" fillId="0" borderId="0" xfId="0" applyNumberFormat="1" applyFont="1" applyAlignment="1">
      <alignment horizontal="right"/>
    </xf>
    <xf numFmtId="166" fontId="23" fillId="0" borderId="33" xfId="1" applyNumberFormat="1" applyFont="1" applyFill="1" applyBorder="1" applyAlignment="1">
      <alignment horizontal="center"/>
    </xf>
    <xf numFmtId="166" fontId="25" fillId="0" borderId="26" xfId="0" applyNumberFormat="1" applyFont="1" applyBorder="1" applyAlignment="1">
      <alignment horizontal="right"/>
    </xf>
    <xf numFmtId="0" fontId="32" fillId="0" borderId="53" xfId="0" applyFont="1" applyBorder="1"/>
    <xf numFmtId="165" fontId="23" fillId="0" borderId="0" xfId="1" applyFont="1" applyFill="1" applyBorder="1" applyAlignment="1"/>
    <xf numFmtId="166" fontId="23" fillId="0" borderId="27" xfId="0" applyNumberFormat="1" applyFont="1" applyBorder="1"/>
    <xf numFmtId="166" fontId="23" fillId="0" borderId="22" xfId="0" applyNumberFormat="1" applyFont="1" applyBorder="1" applyAlignment="1">
      <alignment horizontal="left" indent="1"/>
    </xf>
    <xf numFmtId="166" fontId="21" fillId="0" borderId="55" xfId="0" applyNumberFormat="1" applyFont="1" applyBorder="1" applyAlignment="1">
      <alignment horizontal="right"/>
    </xf>
    <xf numFmtId="166" fontId="23" fillId="0" borderId="16" xfId="1" applyNumberFormat="1" applyFont="1" applyFill="1" applyBorder="1"/>
    <xf numFmtId="166" fontId="23" fillId="0" borderId="0" xfId="1" applyNumberFormat="1" applyFont="1" applyFill="1" applyAlignment="1"/>
    <xf numFmtId="166" fontId="23" fillId="0" borderId="25" xfId="0" applyNumberFormat="1" applyFont="1" applyBorder="1"/>
    <xf numFmtId="166" fontId="21" fillId="0" borderId="0" xfId="0" quotePrefix="1" applyNumberFormat="1" applyFont="1"/>
    <xf numFmtId="166" fontId="26" fillId="0" borderId="54" xfId="0" applyNumberFormat="1" applyFont="1" applyBorder="1"/>
    <xf numFmtId="0" fontId="26" fillId="0" borderId="11" xfId="0" applyFont="1" applyBorder="1" applyAlignment="1">
      <alignment horizontal="left" indent="1"/>
    </xf>
    <xf numFmtId="166" fontId="21" fillId="0" borderId="28" xfId="1" applyNumberFormat="1" applyFont="1" applyFill="1" applyBorder="1" applyAlignment="1"/>
    <xf numFmtId="166" fontId="21" fillId="0" borderId="21" xfId="0" applyNumberFormat="1" applyFont="1" applyBorder="1"/>
    <xf numFmtId="166" fontId="25" fillId="0" borderId="0" xfId="0" quotePrefix="1" applyNumberFormat="1" applyFont="1" applyAlignment="1">
      <alignment horizontal="right"/>
    </xf>
    <xf numFmtId="166" fontId="21" fillId="0" borderId="0" xfId="380" applyNumberFormat="1" applyFont="1" applyAlignment="1">
      <alignment horizontal="center"/>
    </xf>
    <xf numFmtId="37" fontId="25" fillId="0" borderId="0" xfId="0" quotePrefix="1" applyNumberFormat="1" applyFont="1" applyAlignment="1">
      <alignment horizontal="right"/>
    </xf>
    <xf numFmtId="166" fontId="23" fillId="0" borderId="11" xfId="0" applyNumberFormat="1" applyFont="1" applyBorder="1" applyAlignment="1">
      <alignment horizontal="right"/>
    </xf>
    <xf numFmtId="199" fontId="23" fillId="0" borderId="0" xfId="113" applyNumberFormat="1" applyFont="1" applyFill="1" applyBorder="1" applyAlignment="1">
      <alignment horizontal="right"/>
    </xf>
    <xf numFmtId="197" fontId="23" fillId="0" borderId="0" xfId="0" applyNumberFormat="1" applyFont="1"/>
    <xf numFmtId="166" fontId="21" fillId="0" borderId="61" xfId="1" applyNumberFormat="1" applyFont="1" applyFill="1" applyBorder="1" applyAlignment="1"/>
    <xf numFmtId="2" fontId="23" fillId="0" borderId="11" xfId="0" applyNumberFormat="1" applyFont="1" applyBorder="1"/>
    <xf numFmtId="166" fontId="23" fillId="0" borderId="51" xfId="0" applyNumberFormat="1" applyFont="1" applyBorder="1"/>
    <xf numFmtId="166" fontId="23" fillId="0" borderId="28" xfId="1" applyNumberFormat="1" applyFont="1" applyFill="1" applyBorder="1" applyAlignment="1">
      <alignment horizontal="right"/>
    </xf>
    <xf numFmtId="166" fontId="23" fillId="0" borderId="30" xfId="1296" applyNumberFormat="1" applyFont="1" applyBorder="1" applyAlignment="1">
      <alignment horizontal="right"/>
    </xf>
    <xf numFmtId="166" fontId="23" fillId="0" borderId="22" xfId="380" applyNumberFormat="1" applyFont="1" applyBorder="1"/>
    <xf numFmtId="37" fontId="26" fillId="0" borderId="25" xfId="0" applyNumberFormat="1" applyFont="1" applyBorder="1" applyAlignment="1">
      <alignment horizontal="right"/>
    </xf>
    <xf numFmtId="166" fontId="26" fillId="0" borderId="0" xfId="0" applyNumberFormat="1" applyFont="1"/>
    <xf numFmtId="168" fontId="25" fillId="0" borderId="11" xfId="0" applyNumberFormat="1" applyFont="1" applyBorder="1"/>
    <xf numFmtId="166" fontId="23" fillId="0" borderId="29" xfId="1295" applyNumberFormat="1" applyFont="1" applyBorder="1" applyAlignment="1">
      <alignment horizontal="right"/>
    </xf>
    <xf numFmtId="166" fontId="27" fillId="0" borderId="0" xfId="0" applyNumberFormat="1" applyFont="1" applyAlignment="1">
      <alignment horizontal="right"/>
    </xf>
    <xf numFmtId="166" fontId="24" fillId="0" borderId="11" xfId="0" applyNumberFormat="1" applyFont="1" applyBorder="1"/>
    <xf numFmtId="166" fontId="21" fillId="0" borderId="73" xfId="1" applyNumberFormat="1" applyFont="1" applyFill="1" applyBorder="1" applyAlignment="1">
      <alignment horizontal="center"/>
    </xf>
    <xf numFmtId="0" fontId="68" fillId="0" borderId="22" xfId="0" applyFont="1" applyBorder="1"/>
    <xf numFmtId="166" fontId="21" fillId="0" borderId="22" xfId="0" applyNumberFormat="1" applyFont="1" applyBorder="1" applyAlignment="1">
      <alignment horizontal="center"/>
    </xf>
    <xf numFmtId="37" fontId="26" fillId="0" borderId="0" xfId="0" applyNumberFormat="1" applyFont="1"/>
    <xf numFmtId="166" fontId="21" fillId="0" borderId="16" xfId="1" applyNumberFormat="1" applyFont="1" applyFill="1" applyBorder="1" applyAlignment="1">
      <alignment horizontal="center"/>
    </xf>
    <xf numFmtId="166" fontId="24" fillId="0" borderId="22" xfId="0" applyNumberFormat="1" applyFont="1" applyBorder="1" applyAlignment="1">
      <alignment horizontal="right"/>
    </xf>
    <xf numFmtId="166" fontId="21" fillId="0" borderId="50" xfId="0" applyNumberFormat="1" applyFont="1" applyBorder="1"/>
    <xf numFmtId="0" fontId="23" fillId="0" borderId="54" xfId="0" applyFont="1" applyBorder="1"/>
    <xf numFmtId="166" fontId="21" fillId="0" borderId="18" xfId="0" applyNumberFormat="1" applyFont="1" applyBorder="1" applyAlignment="1">
      <alignment horizontal="right"/>
    </xf>
    <xf numFmtId="203" fontId="23" fillId="0" borderId="0" xfId="0" applyNumberFormat="1" applyFont="1"/>
    <xf numFmtId="166" fontId="23" fillId="0" borderId="30" xfId="0" applyNumberFormat="1" applyFont="1" applyBorder="1" applyAlignment="1">
      <alignment horizontal="center"/>
    </xf>
    <xf numFmtId="166" fontId="23" fillId="0" borderId="11" xfId="0" applyNumberFormat="1" applyFont="1" applyBorder="1" applyAlignment="1">
      <alignment horizontal="left" indent="1"/>
    </xf>
    <xf numFmtId="166" fontId="23" fillId="0" borderId="19" xfId="1" applyNumberFormat="1" applyFont="1" applyFill="1" applyBorder="1"/>
    <xf numFmtId="0" fontId="21" fillId="0" borderId="0" xfId="0" applyFont="1" applyBorder="1" applyAlignment="1">
      <alignment horizontal="center"/>
    </xf>
    <xf numFmtId="166" fontId="25" fillId="0" borderId="33" xfId="0" applyNumberFormat="1" applyFont="1" applyBorder="1" applyAlignment="1">
      <alignment horizontal="right"/>
    </xf>
    <xf numFmtId="166" fontId="26" fillId="0" borderId="10" xfId="1" applyNumberFormat="1" applyFont="1" applyFill="1" applyBorder="1" applyAlignment="1">
      <alignment horizontal="right"/>
    </xf>
    <xf numFmtId="166" fontId="27" fillId="0" borderId="0" xfId="0" applyNumberFormat="1" applyFont="1" applyAlignment="1">
      <alignment horizontal="left" indent="2"/>
    </xf>
    <xf numFmtId="166" fontId="21" fillId="0" borderId="10" xfId="0" applyNumberFormat="1" applyFont="1" applyBorder="1" applyAlignment="1">
      <alignment horizontal="right"/>
    </xf>
    <xf numFmtId="166" fontId="21" fillId="0" borderId="14" xfId="0" quotePrefix="1" applyNumberFormat="1" applyFont="1" applyBorder="1" applyAlignment="1">
      <alignment horizontal="center"/>
    </xf>
    <xf numFmtId="166" fontId="21" fillId="0" borderId="24" xfId="0" applyNumberFormat="1" applyFont="1" applyBorder="1" applyAlignment="1">
      <alignment horizontal="right"/>
    </xf>
    <xf numFmtId="166" fontId="23" fillId="0" borderId="16" xfId="0" applyNumberFormat="1" applyFont="1" applyBorder="1" applyAlignment="1">
      <alignment horizontal="left" indent="1"/>
    </xf>
    <xf numFmtId="166" fontId="21" fillId="0" borderId="59" xfId="0" applyNumberFormat="1" applyFont="1" applyBorder="1" applyAlignment="1">
      <alignment horizontal="right"/>
    </xf>
    <xf numFmtId="166" fontId="23" fillId="0" borderId="23" xfId="0" applyNumberFormat="1" applyFont="1" applyBorder="1" applyAlignment="1">
      <alignment horizontal="center"/>
    </xf>
    <xf numFmtId="166" fontId="23" fillId="0" borderId="78" xfId="0" applyNumberFormat="1" applyFont="1" applyBorder="1"/>
    <xf numFmtId="166" fontId="21" fillId="0" borderId="56" xfId="1" applyNumberFormat="1" applyFont="1" applyFill="1" applyBorder="1" applyAlignment="1">
      <alignment horizontal="center"/>
    </xf>
    <xf numFmtId="37" fontId="27" fillId="0" borderId="30" xfId="0" applyNumberFormat="1" applyFont="1" applyBorder="1" applyAlignment="1">
      <alignment horizontal="right"/>
    </xf>
    <xf numFmtId="166" fontId="23" fillId="0" borderId="76" xfId="380" applyNumberFormat="1" applyFont="1" applyBorder="1"/>
    <xf numFmtId="166" fontId="25" fillId="0" borderId="27" xfId="0" applyNumberFormat="1" applyFont="1" applyBorder="1"/>
    <xf numFmtId="195" fontId="21" fillId="0" borderId="0" xfId="0" applyNumberFormat="1" applyFont="1"/>
    <xf numFmtId="166" fontId="21" fillId="0" borderId="23" xfId="0" applyNumberFormat="1" applyFont="1" applyBorder="1" applyAlignment="1">
      <alignment horizontal="center"/>
    </xf>
    <xf numFmtId="166" fontId="21" fillId="0" borderId="29" xfId="0" applyNumberFormat="1" applyFont="1" applyBorder="1"/>
    <xf numFmtId="0" fontId="25" fillId="0" borderId="0" xfId="0" quotePrefix="1" applyFont="1" applyAlignment="1">
      <alignment horizontal="right"/>
    </xf>
    <xf numFmtId="166" fontId="23" fillId="0" borderId="24" xfId="1" applyNumberFormat="1" applyFont="1" applyFill="1" applyBorder="1" applyAlignment="1">
      <alignment horizontal="center"/>
    </xf>
    <xf numFmtId="0" fontId="25" fillId="0" borderId="51" xfId="0" applyFont="1" applyBorder="1"/>
    <xf numFmtId="166" fontId="20" fillId="0" borderId="0" xfId="0" applyNumberFormat="1" applyFont="1"/>
    <xf numFmtId="3" fontId="21" fillId="0" borderId="28" xfId="0" applyNumberFormat="1" applyFont="1" applyBorder="1" applyAlignment="1">
      <alignment horizontal="right"/>
    </xf>
    <xf numFmtId="165" fontId="21" fillId="0" borderId="0" xfId="1" applyFont="1" applyFill="1"/>
    <xf numFmtId="166" fontId="23" fillId="0" borderId="29" xfId="380" applyNumberFormat="1" applyFont="1" applyBorder="1"/>
    <xf numFmtId="0" fontId="26" fillId="0" borderId="21" xfId="0" applyFont="1" applyBorder="1" applyAlignment="1">
      <alignment horizontal="left"/>
    </xf>
    <xf numFmtId="166" fontId="27" fillId="0" borderId="0" xfId="0" applyNumberFormat="1" applyFont="1"/>
    <xf numFmtId="166" fontId="25" fillId="0" borderId="16" xfId="0" applyNumberFormat="1" applyFont="1" applyBorder="1"/>
    <xf numFmtId="166" fontId="21" fillId="0" borderId="55" xfId="0" applyNumberFormat="1" applyFont="1" applyBorder="1"/>
    <xf numFmtId="2" fontId="21" fillId="0" borderId="11" xfId="0" applyNumberFormat="1" applyFont="1" applyBorder="1"/>
    <xf numFmtId="166" fontId="21" fillId="0" borderId="25" xfId="1" applyNumberFormat="1" applyFont="1" applyFill="1" applyBorder="1" applyAlignment="1">
      <alignment horizontal="center"/>
    </xf>
    <xf numFmtId="169" fontId="23" fillId="0" borderId="72" xfId="1" applyNumberFormat="1" applyFont="1" applyFill="1" applyBorder="1" applyAlignment="1">
      <alignment horizontal="right"/>
    </xf>
    <xf numFmtId="166" fontId="21" fillId="0" borderId="32" xfId="0" applyNumberFormat="1" applyFont="1" applyBorder="1" applyAlignment="1">
      <alignment horizontal="right"/>
    </xf>
    <xf numFmtId="0" fontId="32" fillId="0" borderId="64" xfId="0" applyFont="1" applyBorder="1"/>
    <xf numFmtId="166" fontId="23" fillId="65" borderId="0" xfId="380" applyNumberFormat="1" applyFont="1" applyFill="1"/>
    <xf numFmtId="166" fontId="21" fillId="0" borderId="63" xfId="0" applyNumberFormat="1" applyFont="1" applyBorder="1"/>
    <xf numFmtId="166" fontId="23" fillId="0" borderId="23" xfId="1" applyNumberFormat="1" applyFont="1" applyFill="1" applyBorder="1" applyAlignment="1">
      <alignment horizontal="right"/>
    </xf>
    <xf numFmtId="195" fontId="23" fillId="0" borderId="29" xfId="0" applyNumberFormat="1" applyFont="1" applyBorder="1" applyAlignment="1">
      <alignment horizontal="center"/>
    </xf>
    <xf numFmtId="166" fontId="23" fillId="0" borderId="24" xfId="0" applyNumberFormat="1" applyFont="1" applyBorder="1" applyAlignment="1">
      <alignment horizontal="right"/>
    </xf>
    <xf numFmtId="166" fontId="25" fillId="0" borderId="18" xfId="0" applyNumberFormat="1" applyFont="1" applyBorder="1" applyAlignment="1">
      <alignment horizontal="right"/>
    </xf>
    <xf numFmtId="166" fontId="21" fillId="0" borderId="72" xfId="1" applyNumberFormat="1" applyFont="1" applyFill="1" applyBorder="1" applyAlignment="1">
      <alignment horizontal="center"/>
    </xf>
    <xf numFmtId="0" fontId="0" fillId="0" borderId="14" xfId="0" applyBorder="1" applyAlignment="1">
      <alignment horizontal="center"/>
    </xf>
    <xf numFmtId="166" fontId="21" fillId="0" borderId="26" xfId="0" applyNumberFormat="1" applyFont="1" applyBorder="1" applyAlignment="1">
      <alignment horizontal="right"/>
    </xf>
    <xf numFmtId="168" fontId="23" fillId="0" borderId="11" xfId="0" applyNumberFormat="1" applyFont="1" applyBorder="1"/>
    <xf numFmtId="0" fontId="21" fillId="0" borderId="0" xfId="0" applyFont="1" applyBorder="1"/>
    <xf numFmtId="166" fontId="23" fillId="0" borderId="18" xfId="1" applyNumberFormat="1" applyFont="1" applyFill="1" applyBorder="1" applyAlignment="1">
      <alignment horizontal="center"/>
    </xf>
    <xf numFmtId="166" fontId="21" fillId="0" borderId="19" xfId="0" applyNumberFormat="1" applyFont="1" applyBorder="1" applyAlignment="1">
      <alignment horizontal="center"/>
    </xf>
    <xf numFmtId="166" fontId="23" fillId="0" borderId="51" xfId="0" applyNumberFormat="1" applyFont="1" applyBorder="1" applyAlignment="1">
      <alignment horizontal="left"/>
    </xf>
    <xf numFmtId="166" fontId="23" fillId="0" borderId="0" xfId="0" applyNumberFormat="1" applyFont="1" applyBorder="1"/>
    <xf numFmtId="166" fontId="23" fillId="0" borderId="11" xfId="0" applyNumberFormat="1" applyFont="1" applyBorder="1"/>
    <xf numFmtId="166" fontId="23" fillId="0" borderId="22" xfId="0" applyNumberFormat="1" applyFont="1" applyBorder="1" applyAlignment="1">
      <alignment horizontal="center"/>
    </xf>
    <xf numFmtId="166" fontId="23" fillId="0" borderId="19" xfId="380" applyNumberFormat="1" applyFont="1" applyBorder="1"/>
    <xf numFmtId="37" fontId="23" fillId="0" borderId="0" xfId="0" applyNumberFormat="1" applyFont="1" applyAlignment="1">
      <alignment horizontal="left"/>
    </xf>
    <xf numFmtId="166" fontId="27" fillId="0" borderId="0" xfId="0" applyNumberFormat="1" applyFont="1" applyAlignment="1">
      <alignment horizontal="left"/>
    </xf>
    <xf numFmtId="166" fontId="23" fillId="0" borderId="51" xfId="1" applyNumberFormat="1" applyFont="1" applyFill="1" applyBorder="1" applyAlignment="1">
      <alignment horizontal="right"/>
    </xf>
    <xf numFmtId="166" fontId="25" fillId="0" borderId="25" xfId="0" applyNumberFormat="1" applyFont="1" applyBorder="1" applyAlignment="1">
      <alignment horizontal="right"/>
    </xf>
    <xf numFmtId="166" fontId="23" fillId="0" borderId="61" xfId="0" applyNumberFormat="1" applyFont="1" applyBorder="1" applyAlignment="1">
      <alignment horizontal="right"/>
    </xf>
    <xf numFmtId="0" fontId="21" fillId="0" borderId="11" xfId="0" applyFont="1" applyBorder="1" applyAlignment="1">
      <alignment horizontal="center"/>
    </xf>
    <xf numFmtId="166" fontId="21" fillId="0" borderId="15" xfId="0" quotePrefix="1" applyNumberFormat="1" applyFont="1" applyBorder="1" applyAlignment="1">
      <alignment horizontal="center"/>
    </xf>
    <xf numFmtId="166" fontId="21" fillId="0" borderId="19" xfId="0" applyNumberFormat="1" applyFont="1" applyBorder="1"/>
    <xf numFmtId="166" fontId="23" fillId="0" borderId="23" xfId="0" applyNumberFormat="1" applyFont="1" applyBorder="1" applyAlignment="1">
      <alignment horizontal="left" indent="1"/>
    </xf>
    <xf numFmtId="166" fontId="23" fillId="0" borderId="0" xfId="1" applyNumberFormat="1" applyFont="1" applyFill="1" applyBorder="1"/>
    <xf numFmtId="3" fontId="23" fillId="0" borderId="10" xfId="0" applyNumberFormat="1" applyFont="1" applyBorder="1"/>
    <xf numFmtId="166" fontId="25" fillId="0" borderId="0" xfId="1" applyNumberFormat="1" applyFont="1" applyFill="1" applyBorder="1" applyAlignment="1">
      <alignment horizontal="left"/>
    </xf>
    <xf numFmtId="166" fontId="27" fillId="0" borderId="55" xfId="0" applyNumberFormat="1" applyFont="1" applyBorder="1" applyAlignment="1">
      <alignment horizontal="right"/>
    </xf>
    <xf numFmtId="166" fontId="25" fillId="0" borderId="0" xfId="91" applyNumberFormat="1" applyFont="1" applyFill="1" applyBorder="1" applyAlignment="1">
      <alignment horizontal="center"/>
    </xf>
    <xf numFmtId="195" fontId="23" fillId="0" borderId="0" xfId="0" applyNumberFormat="1" applyFont="1" applyAlignment="1">
      <alignment horizontal="center"/>
    </xf>
    <xf numFmtId="166" fontId="21" fillId="0" borderId="22" xfId="0" applyNumberFormat="1" applyFont="1" applyBorder="1"/>
    <xf numFmtId="166" fontId="25" fillId="0" borderId="0" xfId="0" quotePrefix="1" applyNumberFormat="1" applyFont="1"/>
    <xf numFmtId="166" fontId="23" fillId="0" borderId="20" xfId="0" applyNumberFormat="1" applyFont="1" applyBorder="1"/>
    <xf numFmtId="166" fontId="21" fillId="0" borderId="0" xfId="380" applyNumberFormat="1" applyFont="1"/>
    <xf numFmtId="37" fontId="23" fillId="0" borderId="0" xfId="0" applyNumberFormat="1" applyFont="1"/>
    <xf numFmtId="0" fontId="23" fillId="0" borderId="0" xfId="0" applyFont="1" applyBorder="1"/>
    <xf numFmtId="166" fontId="25" fillId="0" borderId="11" xfId="0" applyNumberFormat="1" applyFont="1" applyBorder="1"/>
    <xf numFmtId="166" fontId="23" fillId="0" borderId="23" xfId="1" applyNumberFormat="1" applyFont="1" applyFill="1" applyBorder="1" applyAlignment="1">
      <alignment horizontal="center"/>
    </xf>
    <xf numFmtId="165" fontId="23" fillId="0" borderId="0" xfId="1" applyFont="1" applyFill="1" applyBorder="1"/>
    <xf numFmtId="166" fontId="23" fillId="0" borderId="14" xfId="0" applyNumberFormat="1" applyFont="1" applyBorder="1"/>
    <xf numFmtId="0" fontId="21" fillId="0" borderId="23" xfId="0" applyFont="1" applyBorder="1" applyAlignment="1">
      <alignment horizontal="right"/>
    </xf>
    <xf numFmtId="166" fontId="23" fillId="0" borderId="52" xfId="0" applyNumberFormat="1" applyFont="1" applyBorder="1" applyAlignment="1">
      <alignment horizontal="right"/>
    </xf>
    <xf numFmtId="166" fontId="23" fillId="0" borderId="16" xfId="1" applyNumberFormat="1" applyFont="1" applyFill="1" applyBorder="1" applyAlignment="1">
      <alignment horizontal="right"/>
    </xf>
    <xf numFmtId="166" fontId="21" fillId="0" borderId="32" xfId="0" applyNumberFormat="1" applyFont="1" applyBorder="1"/>
    <xf numFmtId="166" fontId="23" fillId="0" borderId="23" xfId="0" applyNumberFormat="1" applyFont="1" applyBorder="1"/>
    <xf numFmtId="166" fontId="26" fillId="0" borderId="0" xfId="0" applyNumberFormat="1" applyFont="1" applyAlignment="1">
      <alignment horizontal="right"/>
    </xf>
    <xf numFmtId="166" fontId="21" fillId="0" borderId="59" xfId="0" applyNumberFormat="1" applyFont="1" applyBorder="1"/>
    <xf numFmtId="0" fontId="32" fillId="0" borderId="27" xfId="0" applyFont="1" applyBorder="1"/>
    <xf numFmtId="165" fontId="23" fillId="0" borderId="11" xfId="1" applyFont="1" applyFill="1" applyBorder="1" applyAlignment="1">
      <alignment horizontal="right"/>
    </xf>
    <xf numFmtId="166" fontId="21" fillId="0" borderId="29" xfId="1297" applyNumberFormat="1" applyFont="1" applyBorder="1" applyAlignment="1">
      <alignment horizontal="right"/>
    </xf>
    <xf numFmtId="0" fontId="23" fillId="0" borderId="40" xfId="0" applyFont="1" applyBorder="1"/>
    <xf numFmtId="166" fontId="21" fillId="0" borderId="0" xfId="0" applyNumberFormat="1" applyFont="1" applyAlignment="1">
      <alignment horizontal="center"/>
    </xf>
    <xf numFmtId="166" fontId="23" fillId="0" borderId="29" xfId="0" applyNumberFormat="1" applyFont="1" applyBorder="1" applyAlignment="1">
      <alignment horizontal="right"/>
    </xf>
    <xf numFmtId="166" fontId="23" fillId="0" borderId="72" xfId="1" applyNumberFormat="1" applyFont="1" applyFill="1" applyBorder="1" applyAlignment="1">
      <alignment horizontal="center"/>
    </xf>
    <xf numFmtId="166" fontId="21" fillId="0" borderId="13" xfId="0" applyNumberFormat="1" applyFont="1" applyBorder="1"/>
    <xf numFmtId="166" fontId="21" fillId="0" borderId="0" xfId="1" applyNumberFormat="1" applyFont="1" applyFill="1" applyBorder="1" applyAlignment="1"/>
    <xf numFmtId="166" fontId="21" fillId="66" borderId="0" xfId="0" applyNumberFormat="1" applyFont="1" applyFill="1" applyAlignment="1">
      <alignment horizontal="right"/>
    </xf>
    <xf numFmtId="0" fontId="21" fillId="0" borderId="29" xfId="0" applyFont="1" applyBorder="1" applyAlignment="1">
      <alignment horizontal="right"/>
    </xf>
    <xf numFmtId="166" fontId="21" fillId="0" borderId="16" xfId="0" applyNumberFormat="1" applyFont="1" applyBorder="1" applyAlignment="1">
      <alignment horizontal="right"/>
    </xf>
    <xf numFmtId="166" fontId="21" fillId="0" borderId="66" xfId="0" applyNumberFormat="1" applyFont="1" applyBorder="1" applyAlignment="1">
      <alignment horizontal="center"/>
    </xf>
    <xf numFmtId="37" fontId="27" fillId="0" borderId="51" xfId="0" applyNumberFormat="1" applyFont="1" applyBorder="1"/>
    <xf numFmtId="166" fontId="21" fillId="0" borderId="30" xfId="0" applyNumberFormat="1" applyFont="1" applyBorder="1"/>
    <xf numFmtId="166" fontId="21" fillId="0" borderId="17" xfId="0" applyNumberFormat="1" applyFont="1" applyBorder="1" applyAlignment="1">
      <alignment horizontal="right"/>
    </xf>
    <xf numFmtId="43" fontId="21" fillId="0" borderId="0" xfId="0" applyNumberFormat="1" applyFont="1"/>
    <xf numFmtId="166" fontId="23" fillId="0" borderId="18" xfId="0" applyNumberFormat="1" applyFont="1" applyBorder="1" applyAlignment="1">
      <alignment horizontal="center"/>
    </xf>
    <xf numFmtId="166" fontId="23" fillId="0" borderId="18" xfId="0" applyNumberFormat="1" applyFont="1" applyBorder="1"/>
    <xf numFmtId="166" fontId="25" fillId="0" borderId="11" xfId="0" applyNumberFormat="1" applyFont="1" applyBorder="1" applyAlignment="1">
      <alignment horizontal="right"/>
    </xf>
    <xf numFmtId="166" fontId="26" fillId="0" borderId="0" xfId="1" applyNumberFormat="1" applyFont="1" applyFill="1" applyBorder="1" applyAlignment="1">
      <alignment horizontal="right"/>
    </xf>
    <xf numFmtId="166" fontId="26" fillId="0" borderId="0" xfId="0" applyNumberFormat="1" applyFont="1" applyAlignment="1">
      <alignment horizontal="left" indent="1"/>
    </xf>
    <xf numFmtId="166" fontId="21" fillId="0" borderId="40" xfId="0" applyNumberFormat="1" applyFont="1" applyBorder="1" applyAlignment="1">
      <alignment horizontal="right"/>
    </xf>
    <xf numFmtId="166" fontId="23" fillId="0" borderId="53" xfId="0" applyNumberFormat="1" applyFont="1" applyBorder="1"/>
    <xf numFmtId="0" fontId="21" fillId="0" borderId="22" xfId="0" applyFont="1" applyBorder="1" applyAlignment="1">
      <alignment horizontal="center"/>
    </xf>
    <xf numFmtId="0" fontId="23" fillId="0" borderId="21" xfId="0" applyFont="1" applyBorder="1" applyAlignment="1">
      <alignment horizontal="left"/>
    </xf>
    <xf numFmtId="195" fontId="23" fillId="0" borderId="28" xfId="0" applyNumberFormat="1" applyFont="1" applyBorder="1" applyAlignment="1">
      <alignment horizontal="center"/>
    </xf>
    <xf numFmtId="166" fontId="21" fillId="0" borderId="60" xfId="1" applyNumberFormat="1" applyFont="1" applyFill="1" applyBorder="1" applyAlignment="1"/>
    <xf numFmtId="168" fontId="23" fillId="0" borderId="25" xfId="1" applyNumberFormat="1" applyFont="1" applyFill="1" applyBorder="1" applyAlignment="1">
      <alignment horizontal="right"/>
    </xf>
    <xf numFmtId="43" fontId="23" fillId="0" borderId="0" xfId="0" applyNumberFormat="1" applyFont="1"/>
    <xf numFmtId="166" fontId="23" fillId="0" borderId="25" xfId="0" applyNumberFormat="1" applyFont="1" applyBorder="1" applyAlignment="1">
      <alignment horizontal="right"/>
    </xf>
    <xf numFmtId="166" fontId="25" fillId="0" borderId="0" xfId="0" applyNumberFormat="1" applyFont="1"/>
    <xf numFmtId="166" fontId="21" fillId="0" borderId="71" xfId="1" applyNumberFormat="1" applyFont="1" applyFill="1" applyBorder="1" applyAlignment="1">
      <alignment horizontal="center"/>
    </xf>
    <xf numFmtId="166" fontId="21" fillId="0" borderId="23" xfId="0" applyNumberFormat="1" applyFont="1" applyBorder="1" applyAlignment="1">
      <alignment horizontal="left"/>
    </xf>
    <xf numFmtId="166" fontId="21" fillId="0" borderId="33" xfId="0" applyNumberFormat="1" applyFont="1" applyBorder="1"/>
    <xf numFmtId="166" fontId="21" fillId="0" borderId="29" xfId="0" applyNumberFormat="1" applyFont="1" applyBorder="1" applyAlignment="1">
      <alignment horizontal="center"/>
    </xf>
    <xf numFmtId="166" fontId="23" fillId="0" borderId="17" xfId="1" applyNumberFormat="1" applyFont="1" applyFill="1" applyBorder="1" applyAlignment="1">
      <alignment horizontal="center"/>
    </xf>
    <xf numFmtId="166" fontId="21" fillId="0" borderId="19" xfId="380" applyNumberFormat="1" applyFont="1" applyBorder="1"/>
    <xf numFmtId="166" fontId="21" fillId="0" borderId="62" xfId="0" applyNumberFormat="1" applyFont="1" applyBorder="1"/>
    <xf numFmtId="37" fontId="27" fillId="0" borderId="0" xfId="0" applyNumberFormat="1" applyFont="1"/>
    <xf numFmtId="0" fontId="21" fillId="0" borderId="17" xfId="0" applyFont="1" applyBorder="1" applyAlignment="1">
      <alignment horizontal="right"/>
    </xf>
    <xf numFmtId="166" fontId="21" fillId="0" borderId="0" xfId="0" applyNumberFormat="1" applyFont="1" applyBorder="1"/>
    <xf numFmtId="166" fontId="21" fillId="0" borderId="11" xfId="0" quotePrefix="1" applyNumberFormat="1" applyFont="1" applyBorder="1" applyAlignment="1">
      <alignment horizontal="center"/>
    </xf>
    <xf numFmtId="166" fontId="23" fillId="0" borderId="23" xfId="0" applyNumberFormat="1" applyFont="1" applyBorder="1" applyAlignment="1">
      <alignment horizontal="left"/>
    </xf>
    <xf numFmtId="166" fontId="23" fillId="0" borderId="17" xfId="380" applyNumberFormat="1" applyFont="1" applyBorder="1"/>
    <xf numFmtId="0" fontId="26" fillId="0" borderId="0" xfId="0" applyFont="1" applyAlignment="1">
      <alignment horizontal="right"/>
    </xf>
    <xf numFmtId="166" fontId="23" fillId="0" borderId="16" xfId="1" applyNumberFormat="1" applyFont="1" applyFill="1" applyBorder="1" applyAlignment="1">
      <alignment horizontal="center"/>
    </xf>
    <xf numFmtId="37" fontId="26" fillId="0" borderId="54" xfId="0" applyNumberFormat="1" applyFont="1" applyBorder="1"/>
    <xf numFmtId="0" fontId="21" fillId="0" borderId="30" xfId="0" applyFont="1" applyBorder="1" applyAlignment="1">
      <alignment horizontal="right"/>
    </xf>
    <xf numFmtId="165" fontId="21" fillId="0" borderId="11" xfId="1" applyFont="1" applyFill="1" applyBorder="1" applyAlignment="1">
      <alignment horizontal="center"/>
    </xf>
    <xf numFmtId="166" fontId="21" fillId="0" borderId="16" xfId="0" applyNumberFormat="1" applyFont="1" applyBorder="1" applyAlignment="1">
      <alignment horizontal="left"/>
    </xf>
    <xf numFmtId="166" fontId="25" fillId="0" borderId="29" xfId="326" applyNumberFormat="1" applyFont="1" applyBorder="1" applyAlignment="1">
      <alignment horizontal="right"/>
    </xf>
    <xf numFmtId="166" fontId="21" fillId="0" borderId="56" xfId="0" applyNumberFormat="1" applyFont="1" applyBorder="1" applyAlignment="1">
      <alignment horizontal="right"/>
    </xf>
    <xf numFmtId="166" fontId="23" fillId="0" borderId="28" xfId="1" applyNumberFormat="1" applyFont="1" applyFill="1" applyBorder="1"/>
    <xf numFmtId="165" fontId="23" fillId="0" borderId="0" xfId="1" applyFont="1" applyFill="1" applyAlignment="1"/>
    <xf numFmtId="166" fontId="23" fillId="0" borderId="72" xfId="1" applyNumberFormat="1" applyFont="1" applyFill="1" applyBorder="1" applyAlignment="1">
      <alignment horizontal="left"/>
    </xf>
    <xf numFmtId="41" fontId="21" fillId="0" borderId="11" xfId="1" applyNumberFormat="1" applyFont="1" applyFill="1" applyBorder="1" applyAlignment="1">
      <alignment horizontal="center"/>
    </xf>
    <xf numFmtId="195" fontId="23" fillId="0" borderId="29" xfId="0" applyNumberFormat="1" applyFont="1" applyBorder="1" applyAlignment="1">
      <alignment horizontal="right"/>
    </xf>
    <xf numFmtId="166" fontId="21" fillId="0" borderId="28" xfId="0" applyNumberFormat="1" applyFont="1" applyBorder="1" applyAlignment="1">
      <alignment horizontal="right"/>
    </xf>
    <xf numFmtId="166" fontId="23" fillId="0" borderId="26" xfId="1" applyNumberFormat="1" applyFont="1" applyFill="1" applyBorder="1" applyAlignment="1">
      <alignment horizontal="center"/>
    </xf>
    <xf numFmtId="0" fontId="68" fillId="0" borderId="23" xfId="0" applyFont="1" applyBorder="1"/>
    <xf numFmtId="166" fontId="21" fillId="0" borderId="0" xfId="0" applyNumberFormat="1" applyFont="1" applyAlignment="1">
      <alignment horizontal="left"/>
    </xf>
    <xf numFmtId="166" fontId="21" fillId="0" borderId="23" xfId="0" applyNumberFormat="1" applyFont="1" applyBorder="1" applyAlignment="1">
      <alignment horizontal="right"/>
    </xf>
    <xf numFmtId="37" fontId="26" fillId="0" borderId="0" xfId="0" applyNumberFormat="1" applyFont="1" applyAlignment="1">
      <alignment horizontal="right"/>
    </xf>
    <xf numFmtId="166" fontId="27" fillId="0" borderId="30" xfId="0" applyNumberFormat="1" applyFont="1" applyBorder="1" applyAlignment="1">
      <alignment horizontal="right"/>
    </xf>
    <xf numFmtId="166" fontId="21" fillId="0" borderId="22" xfId="1" applyNumberFormat="1" applyFont="1" applyFill="1" applyBorder="1" applyAlignment="1">
      <alignment horizontal="center"/>
    </xf>
    <xf numFmtId="166" fontId="21" fillId="0" borderId="18" xfId="0" applyNumberFormat="1" applyFont="1" applyBorder="1"/>
    <xf numFmtId="37" fontId="27" fillId="0" borderId="55" xfId="0" quotePrefix="1" applyNumberFormat="1" applyFont="1" applyBorder="1" applyAlignment="1">
      <alignment horizontal="right"/>
    </xf>
    <xf numFmtId="166" fontId="25" fillId="0" borderId="30" xfId="0" applyNumberFormat="1" applyFont="1" applyBorder="1" applyAlignment="1">
      <alignment horizontal="right"/>
    </xf>
    <xf numFmtId="204" fontId="23" fillId="0" borderId="0" xfId="1" applyNumberFormat="1" applyFont="1" applyFill="1"/>
    <xf numFmtId="166" fontId="23" fillId="0" borderId="22" xfId="380" applyNumberFormat="1" applyFont="1" applyBorder="1" applyAlignment="1">
      <alignment horizontal="center"/>
    </xf>
    <xf numFmtId="166" fontId="23" fillId="0" borderId="0" xfId="0" applyNumberFormat="1" applyFont="1" applyAlignment="1">
      <alignment horizontal="left" indent="1"/>
    </xf>
    <xf numFmtId="166" fontId="23" fillId="0" borderId="72" xfId="1" applyNumberFormat="1" applyFont="1" applyFill="1" applyBorder="1"/>
    <xf numFmtId="165" fontId="23" fillId="65" borderId="0" xfId="1" applyFont="1" applyFill="1" applyAlignment="1"/>
    <xf numFmtId="166" fontId="25" fillId="0" borderId="16" xfId="0" applyNumberFormat="1" applyFont="1" applyBorder="1" applyAlignment="1">
      <alignment horizontal="right"/>
    </xf>
    <xf numFmtId="166" fontId="26" fillId="0" borderId="35" xfId="1" applyNumberFormat="1" applyFont="1" applyFill="1" applyBorder="1" applyAlignment="1">
      <alignment horizontal="right"/>
    </xf>
    <xf numFmtId="166" fontId="25" fillId="0" borderId="24" xfId="0" applyNumberFormat="1" applyFont="1" applyBorder="1" applyAlignment="1">
      <alignment horizontal="right"/>
    </xf>
    <xf numFmtId="166" fontId="21" fillId="0" borderId="75" xfId="0" applyNumberFormat="1" applyFont="1" applyBorder="1" applyAlignment="1">
      <alignment horizontal="right"/>
    </xf>
    <xf numFmtId="166" fontId="27" fillId="0" borderId="18" xfId="0" applyNumberFormat="1" applyFont="1" applyBorder="1" applyAlignment="1">
      <alignment horizontal="right"/>
    </xf>
    <xf numFmtId="166" fontId="23" fillId="0" borderId="28" xfId="0" applyNumberFormat="1" applyFont="1" applyBorder="1" applyAlignment="1">
      <alignment horizontal="left" indent="1"/>
    </xf>
    <xf numFmtId="166" fontId="21" fillId="0" borderId="63" xfId="0" applyNumberFormat="1" applyFont="1" applyBorder="1" applyAlignment="1">
      <alignment horizontal="right"/>
    </xf>
    <xf numFmtId="166" fontId="23" fillId="0" borderId="18" xfId="1" applyNumberFormat="1" applyFont="1" applyFill="1" applyBorder="1"/>
    <xf numFmtId="166" fontId="23" fillId="0" borderId="35" xfId="0" applyNumberFormat="1" applyFont="1" applyBorder="1"/>
    <xf numFmtId="166" fontId="21" fillId="0" borderId="55" xfId="1" applyNumberFormat="1" applyFont="1" applyFill="1" applyBorder="1" applyAlignment="1">
      <alignment horizontal="center"/>
    </xf>
    <xf numFmtId="0" fontId="27" fillId="0" borderId="11" xfId="0" applyFont="1" applyBorder="1" applyAlignment="1">
      <alignment horizontal="left" indent="1"/>
    </xf>
    <xf numFmtId="166" fontId="21" fillId="0" borderId="58" xfId="0" applyNumberFormat="1" applyFont="1" applyBorder="1" applyAlignment="1">
      <alignment horizontal="right"/>
    </xf>
    <xf numFmtId="166" fontId="25" fillId="0" borderId="10" xfId="0" applyNumberFormat="1" applyFont="1" applyBorder="1" applyAlignment="1">
      <alignment horizontal="right"/>
    </xf>
    <xf numFmtId="166" fontId="23" fillId="0" borderId="11" xfId="0" applyNumberFormat="1" applyFont="1" applyBorder="1" applyAlignment="1">
      <alignment horizontal="center"/>
    </xf>
    <xf numFmtId="166" fontId="21" fillId="0" borderId="33" xfId="1" applyNumberFormat="1" applyFont="1" applyFill="1" applyBorder="1" applyAlignment="1"/>
    <xf numFmtId="0" fontId="26" fillId="0" borderId="0" xfId="0" applyFont="1"/>
    <xf numFmtId="166" fontId="23" fillId="0" borderId="22" xfId="1" applyNumberFormat="1" applyFont="1" applyFill="1" applyBorder="1" applyAlignment="1">
      <alignment horizontal="center"/>
    </xf>
    <xf numFmtId="196" fontId="23" fillId="0" borderId="0" xfId="0" applyNumberFormat="1" applyFont="1"/>
    <xf numFmtId="166" fontId="21" fillId="0" borderId="66" xfId="0" applyNumberFormat="1" applyFont="1" applyBorder="1"/>
    <xf numFmtId="166" fontId="23" fillId="0" borderId="62" xfId="0" applyNumberFormat="1" applyFont="1" applyBorder="1"/>
    <xf numFmtId="0" fontId="32" fillId="0" borderId="21" xfId="0" applyFont="1" applyBorder="1"/>
    <xf numFmtId="166" fontId="23" fillId="0" borderId="19" xfId="1" applyNumberFormat="1" applyFont="1" applyFill="1" applyBorder="1" applyAlignment="1">
      <alignment horizontal="right"/>
    </xf>
    <xf numFmtId="166" fontId="23" fillId="0" borderId="30" xfId="0" applyNumberFormat="1" applyFont="1" applyBorder="1"/>
    <xf numFmtId="166" fontId="23" fillId="0" borderId="24" xfId="380" applyNumberFormat="1" applyFont="1" applyBorder="1"/>
    <xf numFmtId="169" fontId="74" fillId="0" borderId="32" xfId="17416" applyNumberFormat="1" applyFont="1" applyFill="1" applyBorder="1"/>
    <xf numFmtId="37" fontId="26" fillId="0" borderId="22" xfId="0" applyNumberFormat="1" applyFont="1" applyBorder="1"/>
    <xf numFmtId="166" fontId="26" fillId="0" borderId="30" xfId="0" applyNumberFormat="1" applyFont="1" applyBorder="1" applyAlignment="1">
      <alignment horizontal="right"/>
    </xf>
    <xf numFmtId="166" fontId="24" fillId="0" borderId="51" xfId="0" applyNumberFormat="1" applyFont="1" applyBorder="1" applyAlignment="1">
      <alignment horizontal="right"/>
    </xf>
    <xf numFmtId="0" fontId="26" fillId="0" borderId="22" xfId="0" applyFont="1" applyBorder="1"/>
    <xf numFmtId="166" fontId="21" fillId="0" borderId="24" xfId="1" applyNumberFormat="1" applyFont="1" applyFill="1" applyBorder="1" applyAlignment="1">
      <alignment horizontal="center"/>
    </xf>
    <xf numFmtId="166" fontId="23" fillId="0" borderId="72" xfId="0" applyNumberFormat="1" applyFont="1" applyBorder="1"/>
    <xf numFmtId="166" fontId="21" fillId="0" borderId="29" xfId="4822" applyNumberFormat="1" applyFont="1" applyBorder="1" applyAlignment="1">
      <alignment horizontal="right"/>
    </xf>
    <xf numFmtId="37" fontId="26" fillId="0" borderId="40" xfId="0" applyNumberFormat="1" applyFont="1" applyBorder="1"/>
    <xf numFmtId="166" fontId="21" fillId="0" borderId="27" xfId="0" applyNumberFormat="1" applyFont="1" applyBorder="1"/>
    <xf numFmtId="0" fontId="21" fillId="0" borderId="52" xfId="0" applyFont="1" applyBorder="1" applyAlignment="1">
      <alignment horizontal="right"/>
    </xf>
    <xf numFmtId="166" fontId="23" fillId="0" borderId="28" xfId="0" applyNumberFormat="1" applyFont="1" applyBorder="1" applyAlignment="1">
      <alignment horizontal="center"/>
    </xf>
    <xf numFmtId="166" fontId="23" fillId="0" borderId="21" xfId="0" applyNumberFormat="1" applyFont="1" applyBorder="1"/>
    <xf numFmtId="166" fontId="23" fillId="0" borderId="30" xfId="0" applyNumberFormat="1" applyFont="1" applyBorder="1" applyAlignment="1">
      <alignment horizontal="right"/>
    </xf>
    <xf numFmtId="166" fontId="23" fillId="0" borderId="71" xfId="1" applyNumberFormat="1" applyFont="1" applyFill="1" applyBorder="1" applyAlignment="1">
      <alignment horizontal="center"/>
    </xf>
    <xf numFmtId="166" fontId="21" fillId="0" borderId="14" xfId="0" applyNumberFormat="1" applyFont="1" applyBorder="1"/>
    <xf numFmtId="166" fontId="21" fillId="0" borderId="11" xfId="0" applyNumberFormat="1" applyFont="1" applyBorder="1" applyAlignment="1">
      <alignment horizontal="left"/>
    </xf>
    <xf numFmtId="166" fontId="21" fillId="0" borderId="21" xfId="0" applyNumberFormat="1" applyFont="1" applyBorder="1" applyAlignment="1">
      <alignment horizontal="left"/>
    </xf>
    <xf numFmtId="0" fontId="26" fillId="0" borderId="11" xfId="0" applyFont="1" applyBorder="1" applyAlignment="1">
      <alignment horizontal="left"/>
    </xf>
    <xf numFmtId="166" fontId="21" fillId="0" borderId="30" xfId="0" applyNumberFormat="1" applyFont="1" applyBorder="1" applyAlignment="1">
      <alignment horizontal="right"/>
    </xf>
    <xf numFmtId="166" fontId="21" fillId="0" borderId="20" xfId="0" applyNumberFormat="1" applyFont="1" applyBorder="1" applyAlignment="1">
      <alignment horizontal="right"/>
    </xf>
    <xf numFmtId="166" fontId="24" fillId="0" borderId="29" xfId="0" applyNumberFormat="1" applyFont="1" applyBorder="1" applyAlignment="1">
      <alignment horizontal="right"/>
    </xf>
    <xf numFmtId="166" fontId="21" fillId="0" borderId="60" xfId="0" applyNumberFormat="1" applyFont="1" applyBorder="1" applyAlignment="1">
      <alignment horizontal="right"/>
    </xf>
    <xf numFmtId="202" fontId="23" fillId="0" borderId="0" xfId="0" applyNumberFormat="1" applyFont="1"/>
    <xf numFmtId="166" fontId="23" fillId="0" borderId="0" xfId="380" applyNumberFormat="1" applyFont="1" applyAlignment="1">
      <alignment horizontal="center"/>
    </xf>
    <xf numFmtId="166" fontId="25" fillId="0" borderId="0" xfId="0" applyNumberFormat="1" applyFont="1" applyAlignment="1">
      <alignment horizontal="right"/>
    </xf>
    <xf numFmtId="166" fontId="26" fillId="0" borderId="16" xfId="1" applyNumberFormat="1" applyFont="1" applyFill="1" applyBorder="1" applyAlignment="1">
      <alignment horizontal="right"/>
    </xf>
    <xf numFmtId="166" fontId="21" fillId="0" borderId="36" xfId="0" applyNumberFormat="1" applyFont="1" applyBorder="1" applyAlignment="1">
      <alignment horizontal="right"/>
    </xf>
    <xf numFmtId="166" fontId="21" fillId="0" borderId="22" xfId="0" applyNumberFormat="1" applyFont="1" applyBorder="1" applyAlignment="1">
      <alignment horizontal="right"/>
    </xf>
    <xf numFmtId="0" fontId="21" fillId="0" borderId="26" xfId="0" applyFont="1" applyBorder="1" applyAlignment="1">
      <alignment horizontal="center"/>
    </xf>
    <xf numFmtId="166" fontId="27" fillId="0" borderId="30" xfId="4822" applyNumberFormat="1" applyFont="1" applyBorder="1" applyAlignment="1">
      <alignment horizontal="right"/>
    </xf>
    <xf numFmtId="0" fontId="23" fillId="0" borderId="22" xfId="0" applyFont="1" applyBorder="1" applyAlignment="1">
      <alignment horizontal="left"/>
    </xf>
    <xf numFmtId="166" fontId="23" fillId="0" borderId="30" xfId="1300" applyNumberFormat="1" applyFont="1" applyBorder="1"/>
    <xf numFmtId="166" fontId="21" fillId="0" borderId="11" xfId="0" applyNumberFormat="1" applyFont="1" applyBorder="1" applyAlignment="1">
      <alignment horizontal="center"/>
    </xf>
    <xf numFmtId="165" fontId="23" fillId="0" borderId="0" xfId="0" applyNumberFormat="1" applyFont="1"/>
    <xf numFmtId="166" fontId="23" fillId="0" borderId="76" xfId="0" applyNumberFormat="1" applyFont="1" applyBorder="1"/>
    <xf numFmtId="166" fontId="24" fillId="0" borderId="0" xfId="0" applyNumberFormat="1" applyFont="1"/>
    <xf numFmtId="195" fontId="21" fillId="0" borderId="0" xfId="1" applyNumberFormat="1" applyFont="1" applyFill="1"/>
    <xf numFmtId="166" fontId="21" fillId="0" borderId="22" xfId="0" applyNumberFormat="1" applyFont="1" applyBorder="1" applyAlignment="1">
      <alignment horizontal="left"/>
    </xf>
    <xf numFmtId="166" fontId="21" fillId="0" borderId="0" xfId="1" applyNumberFormat="1" applyFont="1" applyFill="1" applyBorder="1"/>
    <xf numFmtId="166" fontId="23" fillId="0" borderId="17" xfId="1" applyNumberFormat="1" applyFont="1" applyFill="1" applyBorder="1" applyAlignment="1">
      <alignment horizontal="right"/>
    </xf>
    <xf numFmtId="166" fontId="21" fillId="0" borderId="20" xfId="0" applyNumberFormat="1" applyFont="1" applyBorder="1"/>
    <xf numFmtId="166" fontId="21" fillId="0" borderId="52" xfId="0" applyNumberFormat="1" applyFont="1" applyBorder="1"/>
    <xf numFmtId="166" fontId="26" fillId="0" borderId="0" xfId="91" applyNumberFormat="1" applyFont="1" applyFill="1" applyBorder="1" applyAlignment="1"/>
    <xf numFmtId="3" fontId="21" fillId="0" borderId="17" xfId="0" applyNumberFormat="1" applyFont="1" applyBorder="1" applyAlignment="1">
      <alignment horizontal="right"/>
    </xf>
    <xf numFmtId="166" fontId="21" fillId="0" borderId="16" xfId="1" applyNumberFormat="1" applyFont="1" applyFill="1" applyBorder="1" applyAlignment="1">
      <alignment horizontal="right"/>
    </xf>
    <xf numFmtId="166" fontId="23" fillId="0" borderId="17" xfId="0" applyNumberFormat="1" applyFont="1" applyBorder="1"/>
    <xf numFmtId="37" fontId="23" fillId="0" borderId="0" xfId="0" applyNumberFormat="1" applyFont="1" applyAlignment="1">
      <alignment horizontal="right"/>
    </xf>
    <xf numFmtId="43" fontId="23" fillId="0" borderId="0" xfId="1" applyNumberFormat="1" applyFont="1" applyFill="1" applyBorder="1" applyAlignment="1">
      <alignment horizontal="right"/>
    </xf>
    <xf numFmtId="166" fontId="69" fillId="0" borderId="0" xfId="0" applyNumberFormat="1" applyFont="1" applyAlignment="1">
      <alignment horizontal="left"/>
    </xf>
    <xf numFmtId="166" fontId="21" fillId="0" borderId="26" xfId="0" applyNumberFormat="1" applyFont="1" applyBorder="1" applyAlignment="1">
      <alignment horizontal="center"/>
    </xf>
    <xf numFmtId="166" fontId="21" fillId="0" borderId="53" xfId="0" applyNumberFormat="1" applyFont="1" applyBorder="1"/>
    <xf numFmtId="166" fontId="26" fillId="0" borderId="0" xfId="1" applyNumberFormat="1" applyFont="1" applyFill="1" applyBorder="1" applyAlignment="1"/>
    <xf numFmtId="166" fontId="21" fillId="0" borderId="58" xfId="1" applyNumberFormat="1" applyFont="1" applyFill="1" applyBorder="1" applyAlignment="1">
      <alignment horizontal="center"/>
    </xf>
    <xf numFmtId="166" fontId="23" fillId="0" borderId="71" xfId="0" applyNumberFormat="1" applyFont="1" applyBorder="1" applyAlignment="1">
      <alignment horizontal="left" indent="1"/>
    </xf>
    <xf numFmtId="166" fontId="23" fillId="0" borderId="30" xfId="1" applyNumberFormat="1" applyFont="1" applyFill="1" applyBorder="1"/>
    <xf numFmtId="0" fontId="21" fillId="0" borderId="50" xfId="0" applyFont="1" applyBorder="1"/>
    <xf numFmtId="166" fontId="23" fillId="0" borderId="24" xfId="0" applyNumberFormat="1" applyFont="1" applyBorder="1"/>
    <xf numFmtId="166" fontId="23" fillId="0" borderId="77" xfId="0" applyNumberFormat="1" applyFont="1" applyBorder="1"/>
    <xf numFmtId="0" fontId="26" fillId="0" borderId="0" xfId="0" applyFont="1" applyAlignment="1">
      <alignment horizontal="left"/>
    </xf>
    <xf numFmtId="195" fontId="23" fillId="0" borderId="16" xfId="0" applyNumberFormat="1" applyFont="1" applyBorder="1" applyAlignment="1">
      <alignment horizontal="right"/>
    </xf>
    <xf numFmtId="166" fontId="23" fillId="0" borderId="22" xfId="0" applyNumberFormat="1" applyFont="1" applyBorder="1"/>
    <xf numFmtId="166" fontId="21" fillId="0" borderId="19" xfId="0" applyNumberFormat="1" applyFont="1" applyBorder="1" applyAlignment="1">
      <alignment horizontal="right"/>
    </xf>
    <xf numFmtId="200" fontId="23" fillId="0" borderId="0" xfId="0" applyNumberFormat="1" applyFont="1"/>
    <xf numFmtId="0" fontId="21" fillId="0" borderId="14" xfId="0" quotePrefix="1" applyFont="1" applyBorder="1" applyAlignment="1">
      <alignment horizontal="center"/>
    </xf>
    <xf numFmtId="166" fontId="21" fillId="0" borderId="30" xfId="0" applyNumberFormat="1" applyFont="1" applyBorder="1" applyAlignment="1">
      <alignment horizontal="left"/>
    </xf>
    <xf numFmtId="166" fontId="21" fillId="66" borderId="22" xfId="0" applyNumberFormat="1" applyFont="1" applyFill="1" applyBorder="1" applyAlignment="1">
      <alignment horizontal="right"/>
    </xf>
    <xf numFmtId="166" fontId="23" fillId="0" borderId="11" xfId="1" applyNumberFormat="1" applyFont="1" applyFill="1" applyBorder="1" applyAlignment="1"/>
    <xf numFmtId="166" fontId="31" fillId="0" borderId="0" xfId="0" applyNumberFormat="1" applyFont="1"/>
    <xf numFmtId="166" fontId="23" fillId="0" borderId="19" xfId="1" applyNumberFormat="1" applyFont="1" applyFill="1" applyBorder="1" applyAlignment="1">
      <alignment horizontal="center"/>
    </xf>
    <xf numFmtId="166" fontId="21" fillId="0" borderId="28" xfId="0" applyNumberFormat="1" applyFont="1" applyBorder="1" applyAlignment="1">
      <alignment horizontal="center"/>
    </xf>
    <xf numFmtId="166" fontId="21" fillId="0" borderId="51" xfId="0" applyNumberFormat="1" applyFont="1" applyBorder="1"/>
    <xf numFmtId="41" fontId="21" fillId="0" borderId="0" xfId="0" applyNumberFormat="1" applyFont="1" applyAlignment="1">
      <alignment horizontal="right"/>
    </xf>
    <xf numFmtId="166" fontId="25" fillId="0" borderId="0" xfId="0" applyNumberFormat="1" applyFont="1" applyBorder="1"/>
    <xf numFmtId="166" fontId="21" fillId="0" borderId="0" xfId="0" applyNumberFormat="1" applyFont="1"/>
    <xf numFmtId="201" fontId="23" fillId="0" borderId="0" xfId="0" applyNumberFormat="1" applyFont="1"/>
    <xf numFmtId="166" fontId="23" fillId="0" borderId="25" xfId="0" applyNumberFormat="1" applyFont="1" applyBorder="1" applyAlignment="1">
      <alignment horizontal="center"/>
    </xf>
    <xf numFmtId="166" fontId="25" fillId="0" borderId="29" xfId="0" applyNumberFormat="1" applyFont="1" applyBorder="1" applyAlignment="1">
      <alignment horizontal="right"/>
    </xf>
    <xf numFmtId="166" fontId="26" fillId="0" borderId="51" xfId="1" applyNumberFormat="1" applyFont="1" applyFill="1" applyBorder="1" applyAlignment="1">
      <alignment horizontal="right"/>
    </xf>
    <xf numFmtId="166" fontId="21" fillId="0" borderId="70" xfId="0" applyNumberFormat="1" applyFont="1" applyBorder="1" applyAlignment="1">
      <alignment horizontal="right"/>
    </xf>
    <xf numFmtId="166" fontId="23" fillId="0" borderId="19" xfId="0" applyNumberFormat="1" applyFont="1" applyBorder="1"/>
    <xf numFmtId="166" fontId="23" fillId="0" borderId="19" xfId="0" applyNumberFormat="1" applyFont="1" applyBorder="1" applyAlignment="1">
      <alignment horizontal="left" indent="1"/>
    </xf>
    <xf numFmtId="166" fontId="25" fillId="0" borderId="30" xfId="326" applyNumberFormat="1" applyFont="1" applyBorder="1" applyAlignment="1">
      <alignment horizontal="right"/>
    </xf>
    <xf numFmtId="166" fontId="21" fillId="0" borderId="54" xfId="0" applyNumberFormat="1" applyFont="1" applyBorder="1" applyAlignment="1">
      <alignment horizontal="right"/>
    </xf>
    <xf numFmtId="166" fontId="23" fillId="0" borderId="35" xfId="1" applyNumberFormat="1" applyFont="1" applyFill="1" applyBorder="1" applyAlignment="1">
      <alignment horizontal="right"/>
    </xf>
    <xf numFmtId="166" fontId="21" fillId="0" borderId="59" xfId="1" applyNumberFormat="1" applyFont="1" applyFill="1" applyBorder="1" applyAlignment="1">
      <alignment horizontal="center"/>
    </xf>
    <xf numFmtId="166" fontId="25" fillId="0" borderId="16" xfId="1" applyNumberFormat="1" applyFont="1" applyFill="1" applyBorder="1" applyAlignment="1">
      <alignment horizontal="center"/>
    </xf>
    <xf numFmtId="195" fontId="23" fillId="0" borderId="23" xfId="0" applyNumberFormat="1" applyFont="1" applyBorder="1" applyAlignment="1">
      <alignment horizontal="center"/>
    </xf>
    <xf numFmtId="166" fontId="23" fillId="0" borderId="58" xfId="0" applyNumberFormat="1" applyFont="1" applyBorder="1" applyAlignment="1">
      <alignment horizontal="right"/>
    </xf>
    <xf numFmtId="166" fontId="21" fillId="0" borderId="25" xfId="0" applyNumberFormat="1" applyFont="1" applyBorder="1" applyAlignment="1">
      <alignment horizontal="right"/>
    </xf>
    <xf numFmtId="166" fontId="23" fillId="0" borderId="19" xfId="0" applyNumberFormat="1" applyFont="1" applyBorder="1" applyAlignment="1">
      <alignment horizontal="center"/>
    </xf>
    <xf numFmtId="166" fontId="21" fillId="0" borderId="16" xfId="1" applyNumberFormat="1" applyFont="1" applyFill="1" applyBorder="1"/>
    <xf numFmtId="0" fontId="23" fillId="0" borderId="11" xfId="0" applyFont="1" applyBorder="1" applyAlignment="1">
      <alignment horizontal="left"/>
    </xf>
    <xf numFmtId="166" fontId="23" fillId="0" borderId="25" xfId="1" applyNumberFormat="1" applyFont="1" applyFill="1" applyBorder="1" applyAlignment="1">
      <alignment horizontal="center"/>
    </xf>
    <xf numFmtId="196" fontId="25" fillId="0" borderId="0" xfId="0" applyNumberFormat="1" applyFont="1"/>
    <xf numFmtId="166" fontId="23" fillId="0" borderId="62" xfId="0" applyNumberFormat="1" applyFont="1" applyBorder="1" applyAlignment="1">
      <alignment horizontal="right"/>
    </xf>
    <xf numFmtId="166" fontId="23" fillId="0" borderId="13" xfId="0" applyNumberFormat="1" applyFont="1" applyBorder="1"/>
    <xf numFmtId="0" fontId="21" fillId="0" borderId="25" xfId="0" applyFont="1" applyBorder="1" applyAlignment="1">
      <alignment horizontal="right"/>
    </xf>
    <xf numFmtId="166" fontId="23" fillId="0" borderId="18" xfId="1" applyNumberFormat="1" applyFont="1" applyFill="1" applyBorder="1" applyAlignment="1">
      <alignment horizontal="right"/>
    </xf>
    <xf numFmtId="166" fontId="23" fillId="0" borderId="30" xfId="1298" applyNumberFormat="1" applyFont="1" applyBorder="1" applyAlignment="1">
      <alignment horizontal="right"/>
    </xf>
    <xf numFmtId="166" fontId="23" fillId="0" borderId="0" xfId="380" applyNumberFormat="1" applyFont="1"/>
    <xf numFmtId="169" fontId="74" fillId="0" borderId="37" xfId="17416" applyNumberFormat="1" applyFont="1" applyFill="1" applyBorder="1"/>
    <xf numFmtId="0" fontId="23" fillId="0" borderId="22" xfId="0" applyFont="1" applyBorder="1"/>
    <xf numFmtId="166" fontId="32" fillId="0" borderId="0" xfId="0" applyNumberFormat="1" applyFont="1"/>
    <xf numFmtId="166" fontId="21" fillId="0" borderId="12" xfId="0" applyNumberFormat="1" applyFont="1" applyBorder="1"/>
    <xf numFmtId="166" fontId="21" fillId="0" borderId="65" xfId="0" applyNumberFormat="1" applyFont="1" applyBorder="1"/>
    <xf numFmtId="166" fontId="23" fillId="0" borderId="22" xfId="0" applyNumberFormat="1" applyFont="1" applyBorder="1" applyAlignment="1">
      <alignment horizontal="right"/>
    </xf>
    <xf numFmtId="166" fontId="21" fillId="0" borderId="11" xfId="0" applyNumberFormat="1" applyFont="1" applyBorder="1"/>
    <xf numFmtId="166" fontId="23" fillId="0" borderId="33" xfId="1" applyNumberFormat="1" applyFont="1" applyFill="1" applyBorder="1" applyAlignment="1">
      <alignment horizontal="right"/>
    </xf>
    <xf numFmtId="166" fontId="21" fillId="0" borderId="16" xfId="112" applyNumberFormat="1" applyFont="1" applyFill="1" applyBorder="1" applyAlignment="1">
      <alignment horizontal="right"/>
    </xf>
    <xf numFmtId="166" fontId="21" fillId="0" borderId="0" xfId="112" applyNumberFormat="1" applyFont="1" applyFill="1" applyBorder="1" applyAlignment="1">
      <alignment horizontal="right"/>
    </xf>
    <xf numFmtId="166" fontId="21" fillId="0" borderId="58" xfId="112" applyNumberFormat="1" applyFont="1" applyFill="1" applyBorder="1" applyAlignment="1">
      <alignment horizontal="center"/>
    </xf>
    <xf numFmtId="166" fontId="21" fillId="0" borderId="33" xfId="112" applyNumberFormat="1" applyFont="1" applyFill="1" applyBorder="1" applyAlignment="1">
      <alignment horizontal="center"/>
    </xf>
    <xf numFmtId="166" fontId="21" fillId="0" borderId="30" xfId="112" applyNumberFormat="1" applyFont="1" applyFill="1" applyBorder="1" applyAlignment="1">
      <alignment horizontal="right"/>
    </xf>
    <xf numFmtId="166" fontId="21" fillId="0" borderId="29" xfId="113" applyNumberFormat="1" applyFont="1" applyFill="1" applyBorder="1" applyAlignment="1">
      <alignment horizontal="right"/>
    </xf>
    <xf numFmtId="166" fontId="21" fillId="0" borderId="16" xfId="113" applyNumberFormat="1" applyFont="1" applyFill="1" applyBorder="1" applyAlignment="1">
      <alignment horizontal="right"/>
    </xf>
    <xf numFmtId="166" fontId="23" fillId="0" borderId="29" xfId="113" applyNumberFormat="1" applyFont="1" applyFill="1" applyBorder="1" applyAlignment="1">
      <alignment horizontal="center"/>
    </xf>
    <xf numFmtId="166" fontId="21" fillId="0" borderId="22" xfId="112" applyNumberFormat="1" applyFont="1" applyFill="1" applyBorder="1" applyAlignment="1">
      <alignment horizontal="right"/>
    </xf>
    <xf numFmtId="166" fontId="21" fillId="0" borderId="23" xfId="112" applyNumberFormat="1" applyFont="1" applyFill="1" applyBorder="1" applyAlignment="1">
      <alignment horizontal="right"/>
    </xf>
    <xf numFmtId="166" fontId="21" fillId="0" borderId="0" xfId="112" applyNumberFormat="1" applyFont="1" applyFill="1" applyBorder="1" applyAlignment="1">
      <alignment horizontal="center"/>
    </xf>
    <xf numFmtId="166" fontId="21" fillId="0" borderId="19" xfId="112" applyNumberFormat="1" applyFont="1" applyFill="1" applyBorder="1" applyAlignment="1">
      <alignment horizontal="right"/>
    </xf>
    <xf numFmtId="166" fontId="21" fillId="0" borderId="23" xfId="112" applyNumberFormat="1" applyFont="1" applyFill="1" applyBorder="1" applyAlignment="1">
      <alignment horizontal="center"/>
    </xf>
    <xf numFmtId="166" fontId="23" fillId="0" borderId="0" xfId="1146" applyNumberFormat="1" applyFont="1" applyFill="1" applyBorder="1" applyProtection="1"/>
    <xf numFmtId="166" fontId="21" fillId="0" borderId="18" xfId="112" applyNumberFormat="1" applyFont="1" applyFill="1" applyBorder="1" applyAlignment="1">
      <alignment horizontal="right"/>
    </xf>
    <xf numFmtId="166" fontId="21" fillId="0" borderId="25" xfId="112" applyNumberFormat="1" applyFont="1" applyFill="1" applyBorder="1" applyAlignment="1">
      <alignment horizontal="right"/>
    </xf>
    <xf numFmtId="166" fontId="21" fillId="0" borderId="33" xfId="112" applyNumberFormat="1" applyFont="1" applyFill="1" applyBorder="1" applyAlignment="1">
      <alignment horizontal="right"/>
    </xf>
    <xf numFmtId="166" fontId="21" fillId="0" borderId="17" xfId="112" applyNumberFormat="1" applyFont="1" applyFill="1" applyBorder="1" applyAlignment="1">
      <alignment horizontal="center"/>
    </xf>
    <xf numFmtId="166" fontId="21" fillId="0" borderId="17" xfId="113" applyNumberFormat="1" applyFont="1" applyFill="1" applyBorder="1" applyAlignment="1">
      <alignment horizontal="right"/>
    </xf>
    <xf numFmtId="166" fontId="25" fillId="0" borderId="29" xfId="113" applyNumberFormat="1" applyFont="1" applyFill="1" applyBorder="1" applyAlignment="1">
      <alignment horizontal="center"/>
    </xf>
    <xf numFmtId="166" fontId="21" fillId="0" borderId="29" xfId="113" applyNumberFormat="1" applyFont="1" applyFill="1" applyBorder="1" applyAlignment="1">
      <alignment horizontal="center"/>
    </xf>
    <xf numFmtId="166" fontId="23" fillId="0" borderId="29" xfId="160" applyNumberFormat="1" applyFont="1" applyFill="1" applyBorder="1" applyProtection="1"/>
    <xf numFmtId="166" fontId="25" fillId="0" borderId="29" xfId="160" applyNumberFormat="1" applyFont="1" applyFill="1" applyBorder="1" applyProtection="1"/>
    <xf numFmtId="0" fontId="23" fillId="0" borderId="0" xfId="0" applyFont="1" applyFill="1"/>
    <xf numFmtId="0" fontId="23" fillId="0" borderId="0" xfId="0" applyFont="1" applyFill="1" applyBorder="1"/>
    <xf numFmtId="166" fontId="23" fillId="0" borderId="0" xfId="0" applyNumberFormat="1" applyFont="1" applyFill="1" applyBorder="1"/>
    <xf numFmtId="166" fontId="23" fillId="0" borderId="0" xfId="0" applyNumberFormat="1" applyFont="1" applyFill="1" applyBorder="1" applyAlignment="1">
      <alignment horizontal="right"/>
    </xf>
    <xf numFmtId="205" fontId="23" fillId="0" borderId="0" xfId="0" applyNumberFormat="1" applyFont="1" applyFill="1" applyBorder="1"/>
    <xf numFmtId="0" fontId="23" fillId="0" borderId="0" xfId="0" applyFont="1" applyFill="1" applyBorder="1" applyAlignment="1">
      <alignment horizontal="right"/>
    </xf>
    <xf numFmtId="43" fontId="23" fillId="0" borderId="0" xfId="1" applyNumberFormat="1" applyFont="1" applyFill="1" applyBorder="1"/>
    <xf numFmtId="205" fontId="23" fillId="0" borderId="0" xfId="1" applyNumberFormat="1" applyFont="1" applyFill="1" applyBorder="1"/>
    <xf numFmtId="43" fontId="23" fillId="0" borderId="0" xfId="0" applyNumberFormat="1" applyFont="1" applyFill="1" applyBorder="1"/>
    <xf numFmtId="0" fontId="20" fillId="0" borderId="0" xfId="0" applyFont="1" applyFill="1" applyBorder="1"/>
    <xf numFmtId="166" fontId="23" fillId="0" borderId="0" xfId="0" applyNumberFormat="1" applyFont="1" applyFill="1"/>
    <xf numFmtId="0" fontId="23" fillId="0" borderId="32" xfId="0" applyFont="1" applyFill="1" applyBorder="1"/>
    <xf numFmtId="0" fontId="21" fillId="0" borderId="50" xfId="0" applyFont="1" applyFill="1" applyBorder="1"/>
    <xf numFmtId="0" fontId="21" fillId="0" borderId="51" xfId="0" applyFont="1" applyFill="1" applyBorder="1"/>
    <xf numFmtId="0" fontId="21" fillId="0" borderId="51" xfId="0" applyFont="1" applyFill="1" applyBorder="1" applyAlignment="1">
      <alignment horizontal="right"/>
    </xf>
    <xf numFmtId="0" fontId="23" fillId="0" borderId="11" xfId="0" applyFont="1" applyFill="1" applyBorder="1"/>
    <xf numFmtId="0" fontId="21" fillId="0" borderId="11" xfId="0" applyFont="1" applyFill="1" applyBorder="1"/>
    <xf numFmtId="0" fontId="21" fillId="0" borderId="0" xfId="0" applyFont="1" applyFill="1" applyBorder="1"/>
    <xf numFmtId="0" fontId="21" fillId="0" borderId="0" xfId="0" applyFont="1" applyFill="1" applyBorder="1" applyAlignment="1">
      <alignment horizontal="right"/>
    </xf>
    <xf numFmtId="0" fontId="21" fillId="0" borderId="17" xfId="0" applyFont="1" applyFill="1" applyBorder="1" applyAlignment="1">
      <alignment horizontal="right"/>
    </xf>
    <xf numFmtId="0" fontId="21" fillId="0" borderId="29" xfId="0" applyFont="1" applyFill="1" applyBorder="1" applyAlignment="1">
      <alignment horizontal="right"/>
    </xf>
    <xf numFmtId="0" fontId="21" fillId="0" borderId="16" xfId="0" applyFont="1" applyFill="1" applyBorder="1" applyAlignment="1">
      <alignment horizontal="right"/>
    </xf>
    <xf numFmtId="0" fontId="21" fillId="0" borderId="60" xfId="0" applyFont="1" applyFill="1" applyBorder="1" applyAlignment="1">
      <alignment horizontal="right"/>
    </xf>
    <xf numFmtId="0" fontId="21" fillId="0" borderId="21" xfId="0" applyFont="1" applyFill="1" applyBorder="1"/>
    <xf numFmtId="0" fontId="21" fillId="0" borderId="22" xfId="0" applyFont="1" applyFill="1" applyBorder="1"/>
    <xf numFmtId="0" fontId="21" fillId="0" borderId="22" xfId="0" applyFont="1" applyFill="1" applyBorder="1" applyAlignment="1">
      <alignment horizontal="right"/>
    </xf>
    <xf numFmtId="0" fontId="21" fillId="0" borderId="24" xfId="34" applyFont="1" applyFill="1" applyBorder="1" applyAlignment="1">
      <alignment horizontal="right"/>
    </xf>
    <xf numFmtId="0" fontId="21" fillId="0" borderId="24" xfId="0" applyFont="1" applyFill="1" applyBorder="1" applyAlignment="1">
      <alignment horizontal="right"/>
    </xf>
    <xf numFmtId="0" fontId="21" fillId="0" borderId="24" xfId="0" applyFont="1" applyFill="1" applyBorder="1" applyAlignment="1">
      <alignment horizontal="center"/>
    </xf>
    <xf numFmtId="0" fontId="21" fillId="0" borderId="23" xfId="0" applyFont="1" applyFill="1" applyBorder="1" applyAlignment="1">
      <alignment horizontal="right"/>
    </xf>
    <xf numFmtId="0" fontId="21" fillId="0" borderId="23" xfId="0" applyFont="1" applyFill="1" applyBorder="1" applyAlignment="1">
      <alignment horizontal="center"/>
    </xf>
    <xf numFmtId="0" fontId="21" fillId="0" borderId="58" xfId="0" applyFont="1" applyFill="1" applyBorder="1" applyAlignment="1">
      <alignment horizontal="center"/>
    </xf>
    <xf numFmtId="166" fontId="23" fillId="0" borderId="0" xfId="0" applyNumberFormat="1" applyFont="1" applyFill="1" applyAlignment="1">
      <alignment horizontal="right"/>
    </xf>
    <xf numFmtId="0" fontId="23" fillId="0" borderId="16" xfId="0" applyFont="1" applyFill="1" applyBorder="1" applyAlignment="1">
      <alignment horizontal="center"/>
    </xf>
    <xf numFmtId="0" fontId="23" fillId="0" borderId="29" xfId="0" applyFont="1" applyFill="1" applyBorder="1" applyAlignment="1">
      <alignment horizontal="center"/>
    </xf>
    <xf numFmtId="0" fontId="23" fillId="0" borderId="33" xfId="0" applyFont="1" applyFill="1" applyBorder="1" applyAlignment="1">
      <alignment horizontal="center"/>
    </xf>
    <xf numFmtId="0" fontId="25" fillId="0" borderId="0" xfId="0" applyFont="1" applyFill="1" applyBorder="1" applyAlignment="1">
      <alignment horizontal="right"/>
    </xf>
    <xf numFmtId="166" fontId="21" fillId="0" borderId="29" xfId="1" applyNumberFormat="1" applyFont="1" applyFill="1" applyBorder="1" applyAlignment="1">
      <alignment horizontal="right"/>
    </xf>
    <xf numFmtId="166" fontId="21" fillId="0" borderId="33" xfId="1" applyNumberFormat="1" applyFont="1" applyFill="1" applyBorder="1" applyAlignment="1">
      <alignment horizontal="right"/>
    </xf>
    <xf numFmtId="0" fontId="23" fillId="0" borderId="11" xfId="0" applyFont="1" applyFill="1" applyBorder="1" applyAlignment="1">
      <alignment horizontal="right"/>
    </xf>
    <xf numFmtId="206" fontId="23" fillId="0" borderId="0" xfId="0" applyNumberFormat="1" applyFont="1" applyFill="1" applyAlignment="1">
      <alignment horizontal="right"/>
    </xf>
    <xf numFmtId="166" fontId="26" fillId="0" borderId="29" xfId="1" applyNumberFormat="1" applyFont="1" applyFill="1" applyBorder="1" applyAlignment="1">
      <alignment horizontal="right"/>
    </xf>
    <xf numFmtId="166" fontId="26" fillId="0" borderId="33" xfId="1" applyNumberFormat="1" applyFont="1" applyFill="1" applyBorder="1" applyAlignment="1">
      <alignment horizontal="right"/>
    </xf>
    <xf numFmtId="0" fontId="21" fillId="0" borderId="32" xfId="0" applyFont="1" applyFill="1" applyBorder="1"/>
    <xf numFmtId="166" fontId="32" fillId="0" borderId="16" xfId="1" applyNumberFormat="1" applyFont="1" applyFill="1" applyBorder="1" applyAlignment="1">
      <alignment horizontal="right"/>
    </xf>
    <xf numFmtId="166" fontId="32" fillId="0" borderId="29" xfId="1" applyNumberFormat="1" applyFont="1" applyFill="1" applyBorder="1" applyAlignment="1">
      <alignment horizontal="right"/>
    </xf>
    <xf numFmtId="166" fontId="32" fillId="0" borderId="33" xfId="1" applyNumberFormat="1" applyFont="1" applyFill="1" applyBorder="1" applyAlignment="1">
      <alignment horizontal="right"/>
    </xf>
    <xf numFmtId="0" fontId="21" fillId="0" borderId="11" xfId="0" applyFont="1" applyFill="1" applyBorder="1" applyAlignment="1">
      <alignment horizontal="right"/>
    </xf>
    <xf numFmtId="0" fontId="21" fillId="0" borderId="0" xfId="0" applyFont="1" applyFill="1"/>
    <xf numFmtId="0" fontId="23" fillId="0" borderId="0" xfId="0" quotePrefix="1" applyFont="1" applyFill="1" applyBorder="1" applyAlignment="1">
      <alignment horizontal="right"/>
    </xf>
    <xf numFmtId="0" fontId="26" fillId="0" borderId="0" xfId="0" applyNumberFormat="1" applyFont="1" applyFill="1" applyBorder="1" applyAlignment="1"/>
    <xf numFmtId="166" fontId="21" fillId="0" borderId="0" xfId="0" applyNumberFormat="1" applyFont="1" applyFill="1" applyBorder="1"/>
    <xf numFmtId="166" fontId="21" fillId="0" borderId="35" xfId="1" applyNumberFormat="1" applyFont="1" applyFill="1" applyBorder="1" applyAlignment="1">
      <alignment horizontal="right"/>
    </xf>
    <xf numFmtId="166" fontId="21" fillId="0" borderId="36" xfId="1" applyNumberFormat="1" applyFont="1" applyFill="1" applyBorder="1" applyAlignment="1">
      <alignment horizontal="right"/>
    </xf>
    <xf numFmtId="166" fontId="21" fillId="0" borderId="70" xfId="1" applyNumberFormat="1" applyFont="1" applyFill="1" applyBorder="1" applyAlignment="1">
      <alignment horizontal="right"/>
    </xf>
    <xf numFmtId="166" fontId="21" fillId="0" borderId="0" xfId="0" applyNumberFormat="1" applyFont="1" applyFill="1"/>
    <xf numFmtId="43" fontId="23" fillId="0" borderId="0" xfId="0" applyNumberFormat="1" applyFont="1" applyFill="1" applyAlignment="1">
      <alignment horizontal="right"/>
    </xf>
    <xf numFmtId="166" fontId="23" fillId="0" borderId="16" xfId="0" applyNumberFormat="1" applyFont="1" applyFill="1" applyBorder="1"/>
    <xf numFmtId="166" fontId="23" fillId="0" borderId="29" xfId="0" applyNumberFormat="1" applyFont="1" applyFill="1" applyBorder="1"/>
    <xf numFmtId="166" fontId="23" fillId="0" borderId="33" xfId="0" applyNumberFormat="1" applyFont="1" applyFill="1" applyBorder="1"/>
    <xf numFmtId="0" fontId="23" fillId="0" borderId="0" xfId="0" applyFont="1" applyFill="1" applyBorder="1" applyAlignment="1">
      <alignment horizontal="left" indent="1"/>
    </xf>
    <xf numFmtId="0" fontId="25" fillId="0" borderId="30" xfId="0" applyFont="1" applyFill="1" applyBorder="1" applyAlignment="1">
      <alignment horizontal="right"/>
    </xf>
    <xf numFmtId="0" fontId="23" fillId="0" borderId="34" xfId="0" applyFont="1" applyFill="1" applyBorder="1"/>
    <xf numFmtId="0" fontId="23" fillId="0" borderId="10" xfId="0" applyFont="1" applyFill="1" applyBorder="1"/>
    <xf numFmtId="0" fontId="23" fillId="0" borderId="10" xfId="0" applyFont="1" applyFill="1" applyBorder="1" applyAlignment="1">
      <alignment horizontal="right"/>
    </xf>
    <xf numFmtId="166" fontId="23" fillId="0" borderId="36" xfId="1" applyNumberFormat="1" applyFont="1" applyFill="1" applyBorder="1" applyAlignment="1">
      <alignment horizontal="right"/>
    </xf>
    <xf numFmtId="166" fontId="23" fillId="0" borderId="70" xfId="1" applyNumberFormat="1" applyFont="1" applyFill="1" applyBorder="1" applyAlignment="1">
      <alignment horizontal="right"/>
    </xf>
    <xf numFmtId="166" fontId="23" fillId="0" borderId="40" xfId="1" applyNumberFormat="1" applyFont="1" applyFill="1" applyBorder="1" applyAlignment="1">
      <alignment horizontal="right"/>
    </xf>
    <xf numFmtId="0" fontId="26" fillId="0" borderId="50" xfId="0" applyNumberFormat="1" applyFont="1" applyFill="1" applyBorder="1"/>
    <xf numFmtId="0" fontId="75" fillId="0" borderId="51" xfId="0" applyNumberFormat="1" applyFont="1" applyFill="1" applyBorder="1"/>
    <xf numFmtId="0" fontId="23" fillId="0" borderId="51" xfId="0" applyFont="1" applyFill="1" applyBorder="1"/>
    <xf numFmtId="0" fontId="23" fillId="0" borderId="51" xfId="0" applyFont="1" applyFill="1" applyBorder="1" applyAlignment="1">
      <alignment horizontal="right"/>
    </xf>
    <xf numFmtId="166" fontId="23" fillId="0" borderId="12" xfId="1" applyNumberFormat="1" applyFont="1" applyFill="1" applyBorder="1" applyAlignment="1">
      <alignment horizontal="right"/>
    </xf>
    <xf numFmtId="166" fontId="23" fillId="0" borderId="62" xfId="1" applyNumberFormat="1" applyFont="1" applyFill="1" applyBorder="1" applyAlignment="1">
      <alignment horizontal="right"/>
    </xf>
    <xf numFmtId="166" fontId="23" fillId="0" borderId="61" xfId="1" applyNumberFormat="1" applyFont="1" applyFill="1" applyBorder="1" applyAlignment="1">
      <alignment horizontal="right"/>
    </xf>
    <xf numFmtId="0" fontId="32" fillId="0" borderId="11" xfId="0" applyNumberFormat="1" applyFont="1" applyFill="1" applyBorder="1"/>
    <xf numFmtId="0" fontId="76" fillId="0" borderId="0" xfId="0" applyNumberFormat="1" applyFont="1" applyFill="1" applyBorder="1"/>
    <xf numFmtId="0" fontId="75" fillId="0" borderId="11" xfId="0" applyNumberFormat="1" applyFont="1" applyFill="1" applyBorder="1"/>
    <xf numFmtId="0" fontId="75" fillId="0" borderId="0" xfId="0" applyNumberFormat="1" applyFont="1" applyFill="1" applyBorder="1"/>
    <xf numFmtId="166" fontId="23" fillId="0" borderId="16" xfId="34" applyNumberFormat="1" applyFont="1" applyFill="1" applyBorder="1"/>
    <xf numFmtId="0" fontId="26" fillId="0" borderId="11" xfId="0" applyNumberFormat="1" applyFont="1" applyFill="1" applyBorder="1"/>
    <xf numFmtId="0" fontId="26" fillId="0" borderId="0" xfId="0" applyNumberFormat="1" applyFont="1" applyFill="1" applyBorder="1"/>
    <xf numFmtId="0" fontId="25" fillId="0" borderId="0" xfId="0" applyFont="1" applyFill="1" applyBorder="1" applyAlignment="1">
      <alignment horizontal="left"/>
    </xf>
    <xf numFmtId="0" fontId="25" fillId="0" borderId="0" xfId="0" applyFont="1" applyFill="1" applyBorder="1" applyAlignment="1"/>
    <xf numFmtId="0" fontId="25" fillId="0" borderId="0" xfId="0" applyFont="1" applyFill="1" applyBorder="1"/>
    <xf numFmtId="0" fontId="25" fillId="0" borderId="0" xfId="0" quotePrefix="1" applyFont="1" applyFill="1" applyAlignment="1">
      <alignment horizontal="left"/>
    </xf>
    <xf numFmtId="0" fontId="25" fillId="0" borderId="0" xfId="0" applyFont="1" applyFill="1" applyAlignment="1"/>
    <xf numFmtId="0" fontId="25" fillId="0" borderId="0" xfId="0" applyFont="1" applyFill="1" applyAlignment="1">
      <alignment horizontal="right"/>
    </xf>
    <xf numFmtId="0" fontId="25" fillId="0" borderId="0" xfId="0" quotePrefix="1" applyFont="1" applyFill="1" applyBorder="1" applyAlignment="1">
      <alignment vertical="top"/>
    </xf>
    <xf numFmtId="0" fontId="23" fillId="0" borderId="0" xfId="0" applyFont="1" applyFill="1" applyAlignment="1">
      <alignment horizontal="right"/>
    </xf>
    <xf numFmtId="0" fontId="28" fillId="0" borderId="0" xfId="0" applyFont="1" applyFill="1" applyBorder="1" applyAlignment="1">
      <alignment vertical="top"/>
    </xf>
    <xf numFmtId="166" fontId="23" fillId="65" borderId="0" xfId="1" applyNumberFormat="1" applyFont="1" applyFill="1" applyBorder="1" applyAlignment="1">
      <alignment horizontal="right"/>
    </xf>
    <xf numFmtId="168" fontId="23" fillId="0" borderId="0" xfId="1" applyNumberFormat="1" applyFont="1" applyFill="1" applyBorder="1" applyAlignment="1">
      <alignment horizontal="right"/>
    </xf>
    <xf numFmtId="207" fontId="23" fillId="0" borderId="0" xfId="1" applyNumberFormat="1" applyFont="1" applyFill="1" applyBorder="1" applyAlignment="1">
      <alignment horizontal="right"/>
    </xf>
    <xf numFmtId="0" fontId="19" fillId="0" borderId="0" xfId="0" applyFont="1" applyBorder="1"/>
    <xf numFmtId="0" fontId="20" fillId="0" borderId="10" xfId="0" applyFont="1" applyBorder="1"/>
    <xf numFmtId="0" fontId="19" fillId="0" borderId="10" xfId="0" applyFont="1" applyBorder="1"/>
    <xf numFmtId="0" fontId="19" fillId="0" borderId="0" xfId="0" applyFont="1" applyFill="1" applyBorder="1"/>
    <xf numFmtId="0" fontId="19" fillId="0" borderId="10" xfId="0" applyFont="1" applyFill="1" applyBorder="1"/>
    <xf numFmtId="0" fontId="19" fillId="0" borderId="0" xfId="0" applyFont="1"/>
    <xf numFmtId="0" fontId="21" fillId="0" borderId="51" xfId="0" applyFont="1" applyBorder="1"/>
    <xf numFmtId="0" fontId="19" fillId="0" borderId="11" xfId="0" applyFont="1" applyBorder="1"/>
    <xf numFmtId="0" fontId="21" fillId="0" borderId="17" xfId="34" applyFont="1" applyFill="1" applyBorder="1" applyAlignment="1">
      <alignment horizontal="right"/>
    </xf>
    <xf numFmtId="0" fontId="21" fillId="0" borderId="28" xfId="0" applyFont="1" applyFill="1" applyBorder="1" applyAlignment="1">
      <alignment horizontal="right"/>
    </xf>
    <xf numFmtId="0" fontId="21" fillId="0" borderId="18" xfId="0" applyFont="1" applyFill="1" applyBorder="1" applyAlignment="1">
      <alignment horizontal="right"/>
    </xf>
    <xf numFmtId="0" fontId="21" fillId="0" borderId="21" xfId="0" applyFont="1" applyBorder="1"/>
    <xf numFmtId="166" fontId="21" fillId="0" borderId="24" xfId="0" applyNumberFormat="1" applyFont="1" applyFill="1" applyBorder="1" applyAlignment="1">
      <alignment horizontal="right"/>
    </xf>
    <xf numFmtId="0" fontId="21" fillId="0" borderId="25" xfId="0" applyFont="1" applyFill="1" applyBorder="1" applyAlignment="1">
      <alignment horizontal="right"/>
    </xf>
    <xf numFmtId="0" fontId="21" fillId="0" borderId="30" xfId="0" applyFont="1" applyFill="1" applyBorder="1" applyAlignment="1">
      <alignment horizontal="right"/>
    </xf>
    <xf numFmtId="166" fontId="21" fillId="0" borderId="29" xfId="0" applyNumberFormat="1" applyFont="1" applyFill="1" applyBorder="1" applyAlignment="1">
      <alignment horizontal="right"/>
    </xf>
    <xf numFmtId="0" fontId="32" fillId="0" borderId="11" xfId="0" applyNumberFormat="1" applyFont="1" applyBorder="1"/>
    <xf numFmtId="43" fontId="17" fillId="0" borderId="11" xfId="0" applyNumberFormat="1" applyFont="1" applyBorder="1"/>
    <xf numFmtId="166" fontId="19" fillId="0" borderId="0" xfId="0" applyNumberFormat="1" applyFont="1"/>
    <xf numFmtId="166" fontId="23" fillId="0" borderId="29" xfId="0" applyNumberFormat="1" applyFont="1" applyFill="1" applyBorder="1" applyAlignment="1">
      <alignment horizontal="right"/>
    </xf>
    <xf numFmtId="43" fontId="19" fillId="0" borderId="11" xfId="0" applyNumberFormat="1" applyFont="1" applyBorder="1"/>
    <xf numFmtId="0" fontId="23" fillId="0" borderId="0" xfId="0" applyNumberFormat="1" applyFont="1" applyFill="1" applyBorder="1" applyAlignment="1">
      <alignment horizontal="right"/>
    </xf>
    <xf numFmtId="166" fontId="23" fillId="0" borderId="29" xfId="34" applyNumberFormat="1" applyFont="1" applyFill="1" applyBorder="1" applyAlignment="1">
      <alignment horizontal="right"/>
    </xf>
    <xf numFmtId="43" fontId="19" fillId="0" borderId="0" xfId="0" applyNumberFormat="1" applyFont="1"/>
    <xf numFmtId="43" fontId="19" fillId="0" borderId="11" xfId="0" applyNumberFormat="1" applyFont="1" applyFill="1" applyBorder="1"/>
    <xf numFmtId="0" fontId="19" fillId="0" borderId="0" xfId="0" applyFont="1" applyFill="1"/>
    <xf numFmtId="0" fontId="25" fillId="0" borderId="0" xfId="0" applyNumberFormat="1" applyFont="1" applyFill="1" applyBorder="1" applyAlignment="1">
      <alignment horizontal="right"/>
    </xf>
    <xf numFmtId="0" fontId="76" fillId="0" borderId="11" xfId="0" applyNumberFormat="1" applyFont="1" applyBorder="1"/>
    <xf numFmtId="0" fontId="76" fillId="0" borderId="34" xfId="0" applyNumberFormat="1" applyFont="1" applyBorder="1"/>
    <xf numFmtId="0" fontId="23" fillId="0" borderId="10" xfId="0" quotePrefix="1" applyFont="1" applyFill="1" applyBorder="1"/>
    <xf numFmtId="0" fontId="23" fillId="0" borderId="10" xfId="0" quotePrefix="1" applyFont="1" applyFill="1" applyBorder="1" applyAlignment="1">
      <alignment horizontal="right"/>
    </xf>
    <xf numFmtId="166" fontId="23" fillId="0" borderId="36" xfId="0" applyNumberFormat="1" applyFont="1" applyFill="1" applyBorder="1" applyAlignment="1">
      <alignment horizontal="right"/>
    </xf>
    <xf numFmtId="0" fontId="26" fillId="0" borderId="34" xfId="0" applyNumberFormat="1" applyFont="1" applyBorder="1"/>
    <xf numFmtId="0" fontId="23" fillId="0" borderId="10" xfId="0" quotePrefix="1" applyFont="1" applyBorder="1"/>
    <xf numFmtId="0" fontId="23" fillId="0" borderId="10" xfId="0" applyNumberFormat="1" applyFont="1" applyFill="1" applyBorder="1" applyAlignment="1">
      <alignment horizontal="right"/>
    </xf>
    <xf numFmtId="195" fontId="23" fillId="0" borderId="36" xfId="0" applyNumberFormat="1" applyFont="1" applyFill="1" applyBorder="1" applyAlignment="1">
      <alignment horizontal="right"/>
    </xf>
    <xf numFmtId="0" fontId="25" fillId="0" borderId="0" xfId="0" applyNumberFormat="1" applyFont="1"/>
    <xf numFmtId="166" fontId="21" fillId="0" borderId="0" xfId="0" applyNumberFormat="1" applyFont="1" applyFill="1" applyBorder="1" applyAlignment="1">
      <alignment horizontal="right"/>
    </xf>
    <xf numFmtId="43" fontId="17" fillId="0" borderId="0" xfId="0" applyNumberFormat="1" applyFont="1" applyBorder="1"/>
    <xf numFmtId="0" fontId="17" fillId="0" borderId="0" xfId="0" applyFont="1" applyBorder="1"/>
    <xf numFmtId="0" fontId="17" fillId="0" borderId="0" xfId="0" applyFont="1"/>
    <xf numFmtId="166" fontId="19" fillId="0" borderId="0" xfId="0" applyNumberFormat="1" applyFont="1" applyFill="1"/>
    <xf numFmtId="166" fontId="17" fillId="0" borderId="0" xfId="0" applyNumberFormat="1" applyFont="1"/>
    <xf numFmtId="0" fontId="77" fillId="0" borderId="0" xfId="0" applyFont="1" applyBorder="1"/>
    <xf numFmtId="0" fontId="78" fillId="0" borderId="0" xfId="0" applyFont="1"/>
    <xf numFmtId="0" fontId="33" fillId="0" borderId="0" xfId="0" applyFont="1" applyFill="1"/>
    <xf numFmtId="165" fontId="19" fillId="0" borderId="0" xfId="1" applyFont="1" applyFill="1"/>
    <xf numFmtId="165" fontId="19" fillId="0" borderId="0" xfId="1" applyFont="1"/>
    <xf numFmtId="166" fontId="19" fillId="0" borderId="0" xfId="1" applyNumberFormat="1" applyFont="1" applyFill="1"/>
    <xf numFmtId="166" fontId="19" fillId="0" borderId="0" xfId="1" applyNumberFormat="1" applyFont="1"/>
    <xf numFmtId="208" fontId="19" fillId="0" borderId="0" xfId="1" applyNumberFormat="1" applyFont="1" applyFill="1"/>
    <xf numFmtId="166" fontId="17" fillId="0" borderId="0" xfId="1" applyNumberFormat="1" applyFont="1" applyFill="1"/>
    <xf numFmtId="0" fontId="18" fillId="0" borderId="83" xfId="0" applyFont="1" applyFill="1" applyBorder="1" applyAlignment="1">
      <alignment vertical="center"/>
    </xf>
    <xf numFmtId="0" fontId="18" fillId="0" borderId="0" xfId="0" applyFont="1" applyFill="1" applyBorder="1" applyAlignment="1">
      <alignment vertical="center"/>
    </xf>
    <xf numFmtId="0" fontId="17" fillId="0" borderId="83" xfId="0" applyFont="1" applyFill="1" applyBorder="1" applyAlignment="1">
      <alignment horizontal="left" vertical="center" wrapText="1"/>
    </xf>
    <xf numFmtId="0" fontId="18" fillId="0" borderId="0" xfId="0" applyFont="1" applyFill="1" applyBorder="1" applyAlignment="1">
      <alignment horizontal="right"/>
    </xf>
    <xf numFmtId="0" fontId="18" fillId="0" borderId="0" xfId="0" applyFont="1" applyFill="1" applyBorder="1"/>
    <xf numFmtId="0" fontId="22" fillId="0" borderId="0" xfId="0" applyFont="1" applyFill="1" applyBorder="1"/>
    <xf numFmtId="0" fontId="20" fillId="0" borderId="10" xfId="0" applyFont="1" applyFill="1" applyBorder="1"/>
    <xf numFmtId="0" fontId="21" fillId="0" borderId="10" xfId="0" applyFont="1" applyFill="1" applyBorder="1"/>
    <xf numFmtId="0" fontId="18" fillId="0" borderId="10" xfId="0" applyFont="1" applyFill="1" applyBorder="1"/>
    <xf numFmtId="0" fontId="22" fillId="0" borderId="10" xfId="0" applyFont="1" applyFill="1" applyBorder="1"/>
    <xf numFmtId="165" fontId="18" fillId="0" borderId="10" xfId="1" applyFont="1" applyFill="1" applyBorder="1"/>
    <xf numFmtId="0" fontId="18" fillId="0" borderId="0" xfId="0" applyFont="1" applyFill="1"/>
    <xf numFmtId="0" fontId="21" fillId="0" borderId="12" xfId="0" applyFont="1" applyFill="1" applyBorder="1"/>
    <xf numFmtId="0" fontId="21" fillId="0" borderId="16" xfId="0" applyFont="1" applyFill="1" applyBorder="1" applyAlignment="1">
      <alignment horizontal="center"/>
    </xf>
    <xf numFmtId="166" fontId="21" fillId="0" borderId="17" xfId="1" applyNumberFormat="1" applyFont="1" applyFill="1" applyBorder="1" applyAlignment="1">
      <alignment horizontal="right"/>
    </xf>
    <xf numFmtId="166" fontId="21" fillId="0" borderId="18" xfId="1" applyNumberFormat="1" applyFont="1" applyFill="1" applyBorder="1" applyAlignment="1">
      <alignment horizontal="right"/>
    </xf>
    <xf numFmtId="166" fontId="21" fillId="0" borderId="19" xfId="1" applyNumberFormat="1" applyFont="1" applyFill="1" applyBorder="1" applyAlignment="1">
      <alignment horizontal="right"/>
    </xf>
    <xf numFmtId="166" fontId="21" fillId="0" borderId="20" xfId="1" applyNumberFormat="1" applyFont="1" applyFill="1" applyBorder="1" applyAlignment="1">
      <alignment horizontal="right"/>
    </xf>
    <xf numFmtId="166" fontId="21" fillId="0" borderId="24" xfId="1" applyNumberFormat="1" applyFont="1" applyFill="1" applyBorder="1" applyAlignment="1">
      <alignment horizontal="right"/>
    </xf>
    <xf numFmtId="166" fontId="21" fillId="0" borderId="25" xfId="1" applyNumberFormat="1" applyFont="1" applyFill="1" applyBorder="1" applyAlignment="1">
      <alignment horizontal="right"/>
    </xf>
    <xf numFmtId="0" fontId="21" fillId="0" borderId="26" xfId="0" applyFont="1" applyFill="1" applyBorder="1" applyAlignment="1">
      <alignment horizontal="right"/>
    </xf>
    <xf numFmtId="0" fontId="21" fillId="0" borderId="27" xfId="0" applyFont="1" applyFill="1" applyBorder="1"/>
    <xf numFmtId="0" fontId="21" fillId="0" borderId="19" xfId="0" applyFont="1" applyFill="1" applyBorder="1"/>
    <xf numFmtId="0" fontId="21" fillId="0" borderId="28" xfId="0" applyFont="1" applyFill="1" applyBorder="1" applyAlignment="1">
      <alignment horizontal="center"/>
    </xf>
    <xf numFmtId="0" fontId="21" fillId="0" borderId="17" xfId="0" applyFont="1" applyFill="1" applyBorder="1" applyAlignment="1">
      <alignment horizontal="center"/>
    </xf>
    <xf numFmtId="0" fontId="21" fillId="0" borderId="18" xfId="0" applyFont="1" applyFill="1" applyBorder="1" applyAlignment="1">
      <alignment horizontal="center"/>
    </xf>
    <xf numFmtId="166" fontId="21" fillId="0" borderId="18" xfId="0" applyNumberFormat="1"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166" fontId="21" fillId="0" borderId="30" xfId="1" applyNumberFormat="1" applyFont="1" applyFill="1" applyBorder="1" applyAlignment="1">
      <alignment horizontal="right"/>
    </xf>
    <xf numFmtId="166" fontId="21" fillId="0" borderId="87" xfId="0" applyNumberFormat="1" applyFont="1" applyFill="1" applyBorder="1" applyAlignment="1">
      <alignment horizontal="right"/>
    </xf>
    <xf numFmtId="0" fontId="21" fillId="0" borderId="31" xfId="0" applyFont="1" applyFill="1" applyBorder="1" applyAlignment="1">
      <alignment horizontal="right"/>
    </xf>
    <xf numFmtId="0" fontId="21" fillId="0" borderId="88" xfId="0" applyFont="1" applyFill="1" applyBorder="1" applyAlignment="1">
      <alignment horizontal="right"/>
    </xf>
    <xf numFmtId="0" fontId="21" fillId="0" borderId="0" xfId="0" applyFont="1" applyFill="1" applyAlignment="1">
      <alignment horizontal="right"/>
    </xf>
    <xf numFmtId="43" fontId="23" fillId="0" borderId="29" xfId="1" applyNumberFormat="1" applyFont="1" applyFill="1" applyBorder="1" applyAlignment="1">
      <alignment horizontal="right"/>
    </xf>
    <xf numFmtId="43" fontId="23" fillId="0" borderId="30" xfId="1" applyNumberFormat="1" applyFont="1" applyFill="1" applyBorder="1" applyAlignment="1">
      <alignment horizontal="right"/>
    </xf>
    <xf numFmtId="166" fontId="23" fillId="0" borderId="32" xfId="1" applyNumberFormat="1" applyFont="1" applyFill="1" applyBorder="1" applyAlignment="1">
      <alignment horizontal="right"/>
    </xf>
    <xf numFmtId="166" fontId="21" fillId="0" borderId="0" xfId="0" applyNumberFormat="1" applyFont="1" applyFill="1" applyAlignment="1">
      <alignment horizontal="right"/>
    </xf>
    <xf numFmtId="166" fontId="21" fillId="0" borderId="32" xfId="1" applyNumberFormat="1" applyFont="1" applyFill="1" applyBorder="1" applyAlignment="1">
      <alignment horizontal="right"/>
    </xf>
    <xf numFmtId="0" fontId="24" fillId="0" borderId="11" xfId="0" applyFont="1" applyFill="1" applyBorder="1"/>
    <xf numFmtId="0" fontId="24" fillId="0" borderId="16" xfId="0" applyFont="1" applyFill="1" applyBorder="1" applyAlignment="1">
      <alignment horizontal="center"/>
    </xf>
    <xf numFmtId="166" fontId="25" fillId="0" borderId="32" xfId="1" applyNumberFormat="1" applyFont="1" applyFill="1" applyBorder="1" applyAlignment="1">
      <alignment horizontal="center"/>
    </xf>
    <xf numFmtId="0" fontId="24" fillId="0" borderId="11" xfId="0" applyFont="1" applyFill="1" applyBorder="1" applyAlignment="1">
      <alignment horizontal="left" indent="1"/>
    </xf>
    <xf numFmtId="0" fontId="21" fillId="0" borderId="0" xfId="0" applyFont="1" applyFill="1" applyBorder="1" applyAlignment="1">
      <alignment horizontal="left" indent="1"/>
    </xf>
    <xf numFmtId="0" fontId="26" fillId="0" borderId="0" xfId="0" applyNumberFormat="1" applyFont="1" applyFill="1" applyBorder="1" applyAlignment="1">
      <alignment horizontal="left" wrapText="1"/>
    </xf>
    <xf numFmtId="0" fontId="21" fillId="0" borderId="16" xfId="0" applyFont="1" applyFill="1" applyBorder="1" applyAlignment="1">
      <alignment horizontal="left" indent="1"/>
    </xf>
    <xf numFmtId="166" fontId="23" fillId="0" borderId="29" xfId="1" applyNumberFormat="1" applyFont="1" applyFill="1" applyBorder="1" applyAlignment="1">
      <alignment horizontal="left" indent="1"/>
    </xf>
    <xf numFmtId="0" fontId="23" fillId="0" borderId="11" xfId="0" applyFont="1" applyFill="1" applyBorder="1" applyAlignment="1">
      <alignment horizontal="left" indent="1"/>
    </xf>
    <xf numFmtId="0" fontId="23" fillId="0" borderId="0" xfId="0" applyFont="1" applyFill="1" applyAlignment="1">
      <alignment horizontal="left" indent="1"/>
    </xf>
    <xf numFmtId="0" fontId="25" fillId="0" borderId="0" xfId="0" applyFont="1" applyFill="1" applyBorder="1" applyAlignment="1">
      <alignment horizontal="left" indent="1"/>
    </xf>
    <xf numFmtId="166" fontId="23" fillId="0" borderId="30" xfId="1" applyNumberFormat="1" applyFont="1" applyFill="1" applyBorder="1" applyAlignment="1">
      <alignment horizontal="left" indent="1"/>
    </xf>
    <xf numFmtId="0" fontId="27" fillId="0" borderId="0" xfId="0" applyNumberFormat="1" applyFont="1" applyFill="1" applyBorder="1" applyAlignment="1">
      <alignment horizontal="left" wrapText="1" indent="1"/>
    </xf>
    <xf numFmtId="0" fontId="25" fillId="0" borderId="11" xfId="0" applyFont="1" applyFill="1" applyBorder="1"/>
    <xf numFmtId="0" fontId="25" fillId="0" borderId="0" xfId="0" applyFont="1" applyFill="1" applyBorder="1" applyAlignment="1">
      <alignment wrapText="1"/>
    </xf>
    <xf numFmtId="0" fontId="25" fillId="0" borderId="16" xfId="0" applyFont="1" applyFill="1" applyBorder="1" applyAlignment="1">
      <alignment horizontal="center"/>
    </xf>
    <xf numFmtId="0" fontId="23" fillId="0" borderId="0" xfId="34" applyFont="1" applyFill="1" applyBorder="1"/>
    <xf numFmtId="41" fontId="21" fillId="0" borderId="17" xfId="1" applyNumberFormat="1" applyFont="1" applyFill="1" applyBorder="1" applyAlignment="1">
      <alignment horizontal="right"/>
    </xf>
    <xf numFmtId="41" fontId="21" fillId="0" borderId="18" xfId="1" applyNumberFormat="1" applyFont="1" applyFill="1" applyBorder="1" applyAlignment="1">
      <alignment horizontal="right"/>
    </xf>
    <xf numFmtId="41" fontId="21" fillId="0" borderId="20" xfId="1" applyNumberFormat="1" applyFont="1" applyFill="1" applyBorder="1" applyAlignment="1">
      <alignment horizontal="right"/>
    </xf>
    <xf numFmtId="37" fontId="23" fillId="0" borderId="24" xfId="1" applyNumberFormat="1" applyFont="1" applyFill="1" applyBorder="1" applyAlignment="1">
      <alignment horizontal="right"/>
    </xf>
    <xf numFmtId="37" fontId="23" fillId="0" borderId="25" xfId="1" applyNumberFormat="1" applyFont="1" applyFill="1" applyBorder="1" applyAlignment="1">
      <alignment horizontal="right"/>
    </xf>
    <xf numFmtId="37" fontId="23" fillId="0" borderId="22" xfId="1" applyNumberFormat="1" applyFont="1" applyFill="1" applyBorder="1" applyAlignment="1">
      <alignment horizontal="right"/>
    </xf>
    <xf numFmtId="37" fontId="23" fillId="0" borderId="26" xfId="1" applyNumberFormat="1" applyFont="1" applyFill="1" applyBorder="1" applyAlignment="1">
      <alignment horizontal="right"/>
    </xf>
    <xf numFmtId="166" fontId="24" fillId="0" borderId="17" xfId="1" applyNumberFormat="1" applyFont="1" applyFill="1" applyBorder="1" applyAlignment="1">
      <alignment horizontal="right"/>
    </xf>
    <xf numFmtId="166" fontId="24" fillId="0" borderId="18" xfId="1" applyNumberFormat="1" applyFont="1" applyFill="1" applyBorder="1" applyAlignment="1">
      <alignment horizontal="right"/>
    </xf>
    <xf numFmtId="166" fontId="24" fillId="0" borderId="19" xfId="1" applyNumberFormat="1" applyFont="1" applyFill="1" applyBorder="1" applyAlignment="1">
      <alignment horizontal="right"/>
    </xf>
    <xf numFmtId="166" fontId="24" fillId="0" borderId="20" xfId="1" applyNumberFormat="1" applyFont="1" applyFill="1" applyBorder="1" applyAlignment="1">
      <alignment horizontal="right"/>
    </xf>
    <xf numFmtId="166" fontId="24" fillId="0" borderId="29" xfId="1" applyNumberFormat="1" applyFont="1" applyFill="1" applyBorder="1" applyAlignment="1">
      <alignment horizontal="right"/>
    </xf>
    <xf numFmtId="166" fontId="24" fillId="0" borderId="30" xfId="1" applyNumberFormat="1" applyFont="1" applyFill="1" applyBorder="1" applyAlignment="1">
      <alignment horizontal="right"/>
    </xf>
    <xf numFmtId="166" fontId="24" fillId="0" borderId="32" xfId="1" applyNumberFormat="1" applyFont="1" applyFill="1" applyBorder="1" applyAlignment="1">
      <alignment horizontal="right"/>
    </xf>
    <xf numFmtId="0" fontId="24" fillId="0" borderId="0" xfId="0" applyFont="1" applyFill="1" applyBorder="1"/>
    <xf numFmtId="4" fontId="23" fillId="0" borderId="0" xfId="0" applyNumberFormat="1" applyFont="1" applyFill="1" applyBorder="1"/>
    <xf numFmtId="0" fontId="24" fillId="0" borderId="11" xfId="0" applyFont="1" applyFill="1" applyBorder="1" applyAlignment="1">
      <alignment horizontal="right"/>
    </xf>
    <xf numFmtId="0" fontId="24" fillId="0" borderId="0" xfId="0" applyFont="1" applyFill="1" applyAlignment="1">
      <alignment horizontal="right"/>
    </xf>
    <xf numFmtId="166" fontId="23" fillId="0" borderId="26" xfId="1" applyNumberFormat="1" applyFont="1" applyFill="1" applyBorder="1" applyAlignment="1">
      <alignment horizontal="right"/>
    </xf>
    <xf numFmtId="37" fontId="21" fillId="0" borderId="17" xfId="1" applyNumberFormat="1" applyFont="1" applyFill="1" applyBorder="1" applyAlignment="1">
      <alignment horizontal="right"/>
    </xf>
    <xf numFmtId="37" fontId="21" fillId="0" borderId="18" xfId="1" applyNumberFormat="1" applyFont="1" applyFill="1" applyBorder="1" applyAlignment="1">
      <alignment horizontal="right"/>
    </xf>
    <xf numFmtId="37" fontId="21" fillId="0" borderId="19" xfId="1" applyNumberFormat="1" applyFont="1" applyFill="1" applyBorder="1" applyAlignment="1">
      <alignment horizontal="right"/>
    </xf>
    <xf numFmtId="37" fontId="21" fillId="0" borderId="20" xfId="1" applyNumberFormat="1" applyFont="1" applyFill="1" applyBorder="1" applyAlignment="1">
      <alignment horizontal="right"/>
    </xf>
    <xf numFmtId="166" fontId="24" fillId="0" borderId="0" xfId="0" applyNumberFormat="1" applyFont="1" applyFill="1" applyAlignment="1">
      <alignment horizontal="right"/>
    </xf>
    <xf numFmtId="0" fontId="23" fillId="0" borderId="35" xfId="0" applyFont="1" applyFill="1" applyBorder="1" applyAlignment="1">
      <alignment horizontal="center"/>
    </xf>
    <xf numFmtId="166" fontId="23" fillId="0" borderId="89" xfId="1" applyNumberFormat="1" applyFont="1" applyFill="1" applyBorder="1" applyAlignment="1">
      <alignment horizontal="right"/>
    </xf>
    <xf numFmtId="0" fontId="28" fillId="0" borderId="0" xfId="0" applyFont="1" applyFill="1" applyBorder="1"/>
    <xf numFmtId="0" fontId="23" fillId="0" borderId="0" xfId="0" applyFont="1" applyFill="1" applyBorder="1" applyAlignment="1">
      <alignment horizontal="center"/>
    </xf>
    <xf numFmtId="0" fontId="18" fillId="0" borderId="0" xfId="0" applyFont="1" applyFill="1" applyAlignment="1">
      <alignment horizontal="right"/>
    </xf>
    <xf numFmtId="0" fontId="21" fillId="0" borderId="0" xfId="0" applyFont="1" applyFill="1" applyAlignment="1">
      <alignment horizontal="center"/>
    </xf>
    <xf numFmtId="166" fontId="18" fillId="0" borderId="0" xfId="1" applyNumberFormat="1" applyFont="1" applyFill="1" applyBorder="1" applyAlignment="1">
      <alignment horizontal="left"/>
    </xf>
    <xf numFmtId="0" fontId="17" fillId="0" borderId="80" xfId="0" applyFont="1" applyBorder="1" applyAlignment="1">
      <alignment horizontal="left" vertical="center" wrapText="1"/>
    </xf>
    <xf numFmtId="0" fontId="17" fillId="0" borderId="81" xfId="0" applyFont="1" applyBorder="1" applyAlignment="1">
      <alignment horizontal="left" vertical="center" wrapText="1"/>
    </xf>
    <xf numFmtId="0" fontId="17" fillId="0" borderId="82" xfId="0" applyFont="1" applyBorder="1" applyAlignment="1">
      <alignment horizontal="left" vertical="center" wrapText="1"/>
    </xf>
    <xf numFmtId="0" fontId="19" fillId="0" borderId="84" xfId="0" applyFont="1" applyBorder="1" applyAlignment="1">
      <alignment horizontal="left" vertical="center" wrapText="1"/>
    </xf>
    <xf numFmtId="0" fontId="19" fillId="0" borderId="85" xfId="0" applyFont="1" applyBorder="1" applyAlignment="1">
      <alignment horizontal="left" vertical="center" wrapText="1"/>
    </xf>
    <xf numFmtId="0" fontId="19" fillId="0" borderId="86" xfId="0" applyFont="1" applyBorder="1" applyAlignment="1">
      <alignment horizontal="left" vertical="center" wrapText="1"/>
    </xf>
    <xf numFmtId="17" fontId="21" fillId="0" borderId="13" xfId="0" quotePrefix="1" applyNumberFormat="1" applyFont="1" applyFill="1" applyBorder="1" applyAlignment="1">
      <alignment horizontal="center"/>
    </xf>
    <xf numFmtId="17" fontId="21" fillId="0" borderId="14" xfId="0" quotePrefix="1" applyNumberFormat="1" applyFont="1" applyFill="1" applyBorder="1" applyAlignment="1">
      <alignment horizontal="center"/>
    </xf>
    <xf numFmtId="17" fontId="21" fillId="0" borderId="79" xfId="0" quotePrefix="1" applyNumberFormat="1" applyFont="1" applyFill="1" applyBorder="1" applyAlignment="1">
      <alignment horizontal="center"/>
    </xf>
    <xf numFmtId="17" fontId="21" fillId="0" borderId="15" xfId="0" quotePrefix="1" applyNumberFormat="1" applyFont="1" applyFill="1" applyBorder="1" applyAlignment="1">
      <alignment horizontal="center"/>
    </xf>
    <xf numFmtId="166" fontId="26" fillId="0" borderId="0" xfId="0" applyNumberFormat="1" applyFont="1" applyAlignment="1">
      <alignment horizontal="left"/>
    </xf>
    <xf numFmtId="166" fontId="26" fillId="0" borderId="30" xfId="0" applyNumberFormat="1" applyFont="1" applyBorder="1" applyAlignment="1">
      <alignment horizontal="left"/>
    </xf>
    <xf numFmtId="166" fontId="25" fillId="0" borderId="0" xfId="0" applyNumberFormat="1" applyFont="1" applyAlignment="1">
      <alignment horizontal="left"/>
    </xf>
    <xf numFmtId="166" fontId="23" fillId="0" borderId="11" xfId="0" applyNumberFormat="1" applyFont="1" applyBorder="1" applyAlignment="1">
      <alignment horizontal="left"/>
    </xf>
    <xf numFmtId="166" fontId="23" fillId="0" borderId="0" xfId="0" applyNumberFormat="1" applyFont="1" applyAlignment="1">
      <alignment horizontal="left"/>
    </xf>
    <xf numFmtId="166" fontId="23" fillId="0" borderId="30" xfId="0" applyNumberFormat="1" applyFont="1" applyBorder="1" applyAlignment="1">
      <alignment horizontal="left"/>
    </xf>
    <xf numFmtId="166" fontId="23" fillId="0" borderId="0" xfId="0" applyNumberFormat="1" applyFont="1"/>
    <xf numFmtId="0" fontId="0" fillId="0" borderId="0" xfId="0"/>
    <xf numFmtId="0" fontId="0" fillId="0" borderId="30" xfId="0" applyBorder="1"/>
    <xf numFmtId="166" fontId="21" fillId="0" borderId="13" xfId="0" quotePrefix="1" applyNumberFormat="1" applyFont="1" applyBorder="1" applyAlignment="1">
      <alignment horizontal="center"/>
    </xf>
    <xf numFmtId="166" fontId="21" fillId="0" borderId="14" xfId="0" quotePrefix="1" applyNumberFormat="1" applyFont="1" applyBorder="1" applyAlignment="1">
      <alignment horizontal="center"/>
    </xf>
    <xf numFmtId="166" fontId="21" fillId="0" borderId="67" xfId="0" quotePrefix="1" applyNumberFormat="1" applyFont="1" applyBorder="1" applyAlignment="1">
      <alignment horizontal="center"/>
    </xf>
    <xf numFmtId="166" fontId="21" fillId="0" borderId="15" xfId="0" quotePrefix="1" applyNumberFormat="1" applyFont="1" applyBorder="1" applyAlignment="1">
      <alignment horizontal="center"/>
    </xf>
    <xf numFmtId="166" fontId="21" fillId="0" borderId="0" xfId="0" applyNumberFormat="1" applyFont="1" applyAlignment="1">
      <alignment horizontal="left"/>
    </xf>
    <xf numFmtId="166" fontId="21" fillId="0" borderId="64" xfId="0" applyNumberFormat="1" applyFont="1" applyBorder="1" applyAlignment="1">
      <alignment horizontal="left" vertical="top"/>
    </xf>
    <xf numFmtId="166" fontId="21" fillId="0" borderId="40" xfId="0" applyNumberFormat="1" applyFont="1" applyBorder="1" applyAlignment="1">
      <alignment horizontal="left" vertical="top"/>
    </xf>
    <xf numFmtId="166" fontId="23" fillId="0" borderId="11" xfId="0" applyNumberFormat="1" applyFont="1" applyBorder="1" applyAlignment="1">
      <alignment horizontal="left" indent="1"/>
    </xf>
    <xf numFmtId="166" fontId="23" fillId="0" borderId="0" xfId="0" applyNumberFormat="1" applyFont="1" applyAlignment="1">
      <alignment horizontal="left" indent="1"/>
    </xf>
    <xf numFmtId="166" fontId="23" fillId="0" borderId="30" xfId="0" applyNumberFormat="1" applyFont="1" applyBorder="1" applyAlignment="1">
      <alignment horizontal="left" indent="1"/>
    </xf>
    <xf numFmtId="166" fontId="23" fillId="0" borderId="21" xfId="0" applyNumberFormat="1" applyFont="1" applyBorder="1" applyAlignment="1">
      <alignment horizontal="left"/>
    </xf>
    <xf numFmtId="166" fontId="23" fillId="0" borderId="22" xfId="0" applyNumberFormat="1" applyFont="1" applyBorder="1" applyAlignment="1">
      <alignment horizontal="left"/>
    </xf>
    <xf numFmtId="166" fontId="23" fillId="0" borderId="25" xfId="0" applyNumberFormat="1" applyFont="1" applyBorder="1" applyAlignment="1">
      <alignment horizontal="left"/>
    </xf>
    <xf numFmtId="166" fontId="25" fillId="0" borderId="51" xfId="0" applyNumberFormat="1" applyFont="1" applyBorder="1" applyAlignment="1">
      <alignment horizontal="left"/>
    </xf>
    <xf numFmtId="0" fontId="21" fillId="0" borderId="13" xfId="0" quotePrefix="1" applyFont="1" applyBorder="1" applyAlignment="1">
      <alignment horizontal="center"/>
    </xf>
    <xf numFmtId="0" fontId="0" fillId="0" borderId="14" xfId="0" applyBorder="1"/>
    <xf numFmtId="0" fontId="0" fillId="0" borderId="15" xfId="0" applyBorder="1"/>
    <xf numFmtId="0" fontId="21" fillId="0" borderId="71" xfId="0" applyFont="1"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21" fillId="0" borderId="72" xfId="0" applyFont="1" applyBorder="1" applyAlignment="1">
      <alignment horizontal="center"/>
    </xf>
    <xf numFmtId="0" fontId="0" fillId="0" borderId="74" xfId="0" applyBorder="1" applyAlignment="1">
      <alignment horizontal="center"/>
    </xf>
    <xf numFmtId="37" fontId="23" fillId="0" borderId="0" xfId="0" applyNumberFormat="1" applyFont="1" applyAlignment="1">
      <alignment horizontal="left"/>
    </xf>
    <xf numFmtId="166" fontId="21" fillId="0" borderId="14" xfId="0" applyNumberFormat="1" applyFont="1" applyBorder="1" applyAlignment="1">
      <alignment horizontal="center"/>
    </xf>
    <xf numFmtId="0" fontId="21" fillId="0" borderId="22" xfId="0" quotePrefix="1" applyFont="1" applyBorder="1" applyAlignment="1">
      <alignment horizontal="center"/>
    </xf>
    <xf numFmtId="0" fontId="21" fillId="0" borderId="22" xfId="0" applyFont="1" applyBorder="1" applyAlignment="1">
      <alignment horizontal="center"/>
    </xf>
    <xf numFmtId="166" fontId="21" fillId="0" borderId="22" xfId="0" applyNumberFormat="1" applyFont="1" applyBorder="1" applyAlignment="1">
      <alignment horizontal="center"/>
    </xf>
    <xf numFmtId="166" fontId="21" fillId="0" borderId="22" xfId="0" quotePrefix="1" applyNumberFormat="1" applyFont="1" applyBorder="1" applyAlignment="1">
      <alignment horizontal="center"/>
    </xf>
    <xf numFmtId="166" fontId="21" fillId="0" borderId="51" xfId="0" quotePrefix="1" applyNumberFormat="1" applyFont="1" applyBorder="1" applyAlignment="1">
      <alignment horizontal="center"/>
    </xf>
    <xf numFmtId="166" fontId="21" fillId="0" borderId="51" xfId="0" applyNumberFormat="1" applyFont="1" applyBorder="1" applyAlignment="1">
      <alignment horizontal="center"/>
    </xf>
    <xf numFmtId="166" fontId="25" fillId="0" borderId="51" xfId="0" quotePrefix="1" applyNumberFormat="1" applyFont="1" applyBorder="1" applyAlignment="1">
      <alignment horizontal="left"/>
    </xf>
    <xf numFmtId="0" fontId="21" fillId="0" borderId="13" xfId="0" quotePrefix="1" applyFont="1" applyFill="1" applyBorder="1" applyAlignment="1">
      <alignment horizontal="center"/>
    </xf>
    <xf numFmtId="0" fontId="21" fillId="0" borderId="14" xfId="0" applyFont="1" applyFill="1" applyBorder="1" applyAlignment="1">
      <alignment horizontal="center"/>
    </xf>
    <xf numFmtId="0" fontId="21" fillId="0" borderId="79" xfId="0" applyFont="1" applyFill="1" applyBorder="1" applyAlignment="1">
      <alignment horizontal="center"/>
    </xf>
    <xf numFmtId="0" fontId="21" fillId="0" borderId="15" xfId="0" applyFont="1" applyFill="1" applyBorder="1" applyAlignment="1">
      <alignment horizontal="center"/>
    </xf>
  </cellXfs>
  <cellStyles count="17466">
    <cellStyle name="20% - Accent1" xfId="17" builtinId="30" customBuiltin="1"/>
    <cellStyle name="20% - Accent1 2" xfId="36"/>
    <cellStyle name="20% - Accent1 3" xfId="17338"/>
    <cellStyle name="20% - Accent2" xfId="20" builtinId="34" customBuiltin="1"/>
    <cellStyle name="20% - Accent2 2" xfId="37"/>
    <cellStyle name="20% - Accent2 3" xfId="17337"/>
    <cellStyle name="20% - Accent3" xfId="23" builtinId="38" customBuiltin="1"/>
    <cellStyle name="20% - Accent3 2" xfId="38"/>
    <cellStyle name="20% - Accent3 3" xfId="17336"/>
    <cellStyle name="20% - Accent4" xfId="26" builtinId="42" customBuiltin="1"/>
    <cellStyle name="20% - Accent4 2" xfId="39"/>
    <cellStyle name="20% - Accent4 3" xfId="17335"/>
    <cellStyle name="20% - Accent5" xfId="29" builtinId="46" customBuiltin="1"/>
    <cellStyle name="20% - Accent5 2" xfId="40"/>
    <cellStyle name="20% - Accent5 3" xfId="17334"/>
    <cellStyle name="20% - Accent6" xfId="32" builtinId="50" customBuiltin="1"/>
    <cellStyle name="20% - Accent6 2" xfId="41"/>
    <cellStyle name="20% - Accent6 3" xfId="17333"/>
    <cellStyle name="40% - Accent1" xfId="18" builtinId="31" customBuiltin="1"/>
    <cellStyle name="40% - Accent1 2" xfId="42"/>
    <cellStyle name="40% - Accent1 3" xfId="17332"/>
    <cellStyle name="40% - Accent2" xfId="21" builtinId="35" customBuiltin="1"/>
    <cellStyle name="40% - Accent2 2" xfId="43"/>
    <cellStyle name="40% - Accent2 3" xfId="17331"/>
    <cellStyle name="40% - Accent3" xfId="24" builtinId="39" customBuiltin="1"/>
    <cellStyle name="40% - Accent3 2" xfId="44"/>
    <cellStyle name="40% - Accent3 3" xfId="17330"/>
    <cellStyle name="40% - Accent4" xfId="27" builtinId="43" customBuiltin="1"/>
    <cellStyle name="40% - Accent4 2" xfId="45"/>
    <cellStyle name="40% - Accent4 3" xfId="17329"/>
    <cellStyle name="40% - Accent5" xfId="30" builtinId="47" customBuiltin="1"/>
    <cellStyle name="40% - Accent5 2" xfId="46"/>
    <cellStyle name="40% - Accent5 3" xfId="17328"/>
    <cellStyle name="40% - Accent6" xfId="33" builtinId="51" customBuiltin="1"/>
    <cellStyle name="40% - Accent6 2" xfId="47"/>
    <cellStyle name="40% - Accent6 3" xfId="17327"/>
    <cellStyle name="60% - Accent1 2" xfId="48"/>
    <cellStyle name="60% - Accent1 3" xfId="17325"/>
    <cellStyle name="60% - Accent1 4" xfId="17326"/>
    <cellStyle name="60% - Accent2 2" xfId="49"/>
    <cellStyle name="60% - Accent2 3" xfId="17323"/>
    <cellStyle name="60% - Accent2 4" xfId="17324"/>
    <cellStyle name="60% - Accent3 2" xfId="50"/>
    <cellStyle name="60% - Accent3 3" xfId="17321"/>
    <cellStyle name="60% - Accent3 4" xfId="17322"/>
    <cellStyle name="60% - Accent4 2" xfId="51"/>
    <cellStyle name="60% - Accent4 3" xfId="17377"/>
    <cellStyle name="60% - Accent4 4" xfId="17413"/>
    <cellStyle name="60% - Accent5 2" xfId="52"/>
    <cellStyle name="60% - Accent5 3" xfId="17392"/>
    <cellStyle name="60% - Accent5 4" xfId="17424"/>
    <cellStyle name="60% - Accent6 2" xfId="53"/>
    <cellStyle name="60% - Accent6 3" xfId="17446"/>
    <cellStyle name="60% - Accent6 4" xfId="17361"/>
    <cellStyle name="Accent1" xfId="16" builtinId="29" customBuiltin="1"/>
    <cellStyle name="Accent1 2" xfId="54"/>
    <cellStyle name="Accent1 3" xfId="17462"/>
    <cellStyle name="Accent2" xfId="19" builtinId="33" customBuiltin="1"/>
    <cellStyle name="Accent2 2" xfId="55"/>
    <cellStyle name="Accent2 3" xfId="17347"/>
    <cellStyle name="Accent3" xfId="22" builtinId="37" customBuiltin="1"/>
    <cellStyle name="Accent3 2" xfId="56"/>
    <cellStyle name="Accent3 3" xfId="17437"/>
    <cellStyle name="Accent4" xfId="25" builtinId="41" customBuiltin="1"/>
    <cellStyle name="Accent4 2" xfId="57"/>
    <cellStyle name="Accent4 3" xfId="17453"/>
    <cellStyle name="Accent5" xfId="28" builtinId="45" customBuiltin="1"/>
    <cellStyle name="Accent5 2" xfId="58"/>
    <cellStyle name="Accent5 3" xfId="17417"/>
    <cellStyle name="Accent6" xfId="31" builtinId="49" customBuiltin="1"/>
    <cellStyle name="Accent6 2" xfId="59"/>
    <cellStyle name="Accent6 3" xfId="17429"/>
    <cellStyle name="Bad" xfId="7" builtinId="27" customBuiltin="1"/>
    <cellStyle name="Bad 2" xfId="60"/>
    <cellStyle name="Bad 3" xfId="17365"/>
    <cellStyle name="Calc Currency (0)" xfId="61"/>
    <cellStyle name="Calc Currency (0) 2" xfId="62"/>
    <cellStyle name="Calc Currency (0) 3" xfId="17405"/>
    <cellStyle name="Calc Currency (2)" xfId="63"/>
    <cellStyle name="Calc Currency (2) 2" xfId="64"/>
    <cellStyle name="Calc Currency (2) 3" xfId="17420"/>
    <cellStyle name="Calc Percent (0)" xfId="65"/>
    <cellStyle name="Calc Percent (0) 2" xfId="66"/>
    <cellStyle name="Calc Percent (0) 3" xfId="17355"/>
    <cellStyle name="Calc Percent (1)" xfId="67"/>
    <cellStyle name="Calc Percent (1) 2" xfId="68"/>
    <cellStyle name="Calc Percent (1) 3" xfId="17382"/>
    <cellStyle name="Calc Percent (2)" xfId="69"/>
    <cellStyle name="Calc Percent (2) 2" xfId="70"/>
    <cellStyle name="Calc Percent (2) 3" xfId="17396"/>
    <cellStyle name="Calc Units (0)" xfId="71"/>
    <cellStyle name="Calc Units (0) 2" xfId="72"/>
    <cellStyle name="Calc Units (0) 3" xfId="17340"/>
    <cellStyle name="Calc Units (1)" xfId="73"/>
    <cellStyle name="Calc Units (1) 2" xfId="74"/>
    <cellStyle name="Calc Units (1) 3" xfId="17374"/>
    <cellStyle name="Calc Units (2)" xfId="75"/>
    <cellStyle name="Calc Units (2) 2" xfId="76"/>
    <cellStyle name="Calc Units (2) 3" xfId="17388"/>
    <cellStyle name="Calculation" xfId="10" builtinId="22" customBuiltin="1"/>
    <cellStyle name="Calculation 2" xfId="77"/>
    <cellStyle name="Calculation 3" xfId="17442"/>
    <cellStyle name="Check Cell" xfId="12" builtinId="23" customBuiltin="1"/>
    <cellStyle name="Check Cell 2" xfId="78"/>
    <cellStyle name="Check Cell 3" xfId="17458"/>
    <cellStyle name="Comma" xfId="1" builtinId="3"/>
    <cellStyle name="Comma [00]" xfId="80"/>
    <cellStyle name="Comma [00] 2" xfId="81"/>
    <cellStyle name="Comma [00] 3" xfId="17408"/>
    <cellStyle name="Comma 10" xfId="82"/>
    <cellStyle name="Comma 10 2" xfId="83"/>
    <cellStyle name="Comma 10 3" xfId="84"/>
    <cellStyle name="Comma 11" xfId="85"/>
    <cellStyle name="Comma 11 2" xfId="86"/>
    <cellStyle name="Comma 11 3" xfId="87"/>
    <cellStyle name="Comma 12" xfId="88"/>
    <cellStyle name="Comma 12 2" xfId="89"/>
    <cellStyle name="Comma 12 3" xfId="90"/>
    <cellStyle name="Comma 13" xfId="91"/>
    <cellStyle name="Comma 13 2" xfId="92"/>
    <cellStyle name="Comma 13 3" xfId="93"/>
    <cellStyle name="Comma 13 3 10" xfId="4646"/>
    <cellStyle name="Comma 13 3 10 2" xfId="13095"/>
    <cellStyle name="Comma 13 3 11" xfId="8871"/>
    <cellStyle name="Comma 13 3 2" xfId="94"/>
    <cellStyle name="Comma 13 3 2 2" xfId="590"/>
    <cellStyle name="Comma 13 3 2 2 2" xfId="944"/>
    <cellStyle name="Comma 13 3 2 2 2 2" xfId="2006"/>
    <cellStyle name="Comma 13 3 2 2 2 2 2" xfId="4118"/>
    <cellStyle name="Comma 13 3 2 2 2 2 2 2" xfId="8344"/>
    <cellStyle name="Comma 13 3 2 2 2 2 2 2 2" xfId="16792"/>
    <cellStyle name="Comma 13 3 2 2 2 2 2 3" xfId="12568"/>
    <cellStyle name="Comma 13 3 2 2 2 2 3" xfId="6232"/>
    <cellStyle name="Comma 13 3 2 2 2 2 3 2" xfId="14680"/>
    <cellStyle name="Comma 13 3 2 2 2 2 4" xfId="10456"/>
    <cellStyle name="Comma 13 3 2 2 2 3" xfId="3062"/>
    <cellStyle name="Comma 13 3 2 2 2 3 2" xfId="7288"/>
    <cellStyle name="Comma 13 3 2 2 2 3 2 2" xfId="15736"/>
    <cellStyle name="Comma 13 3 2 2 2 3 3" xfId="11512"/>
    <cellStyle name="Comma 13 3 2 2 2 4" xfId="5176"/>
    <cellStyle name="Comma 13 3 2 2 2 4 2" xfId="13624"/>
    <cellStyle name="Comma 13 3 2 2 2 5" xfId="9400"/>
    <cellStyle name="Comma 13 3 2 2 3" xfId="1654"/>
    <cellStyle name="Comma 13 3 2 2 3 2" xfId="3766"/>
    <cellStyle name="Comma 13 3 2 2 3 2 2" xfId="7992"/>
    <cellStyle name="Comma 13 3 2 2 3 2 2 2" xfId="16440"/>
    <cellStyle name="Comma 13 3 2 2 3 2 3" xfId="12216"/>
    <cellStyle name="Comma 13 3 2 2 3 3" xfId="5880"/>
    <cellStyle name="Comma 13 3 2 2 3 3 2" xfId="14328"/>
    <cellStyle name="Comma 13 3 2 2 3 4" xfId="10104"/>
    <cellStyle name="Comma 13 3 2 2 4" xfId="2710"/>
    <cellStyle name="Comma 13 3 2 2 4 2" xfId="6936"/>
    <cellStyle name="Comma 13 3 2 2 4 2 2" xfId="15384"/>
    <cellStyle name="Comma 13 3 2 2 4 3" xfId="11160"/>
    <cellStyle name="Comma 13 3 2 2 5" xfId="4824"/>
    <cellStyle name="Comma 13 3 2 2 5 2" xfId="13272"/>
    <cellStyle name="Comma 13 3 2 2 6" xfId="9048"/>
    <cellStyle name="Comma 13 3 2 3" xfId="768"/>
    <cellStyle name="Comma 13 3 2 3 2" xfId="1830"/>
    <cellStyle name="Comma 13 3 2 3 2 2" xfId="3942"/>
    <cellStyle name="Comma 13 3 2 3 2 2 2" xfId="8168"/>
    <cellStyle name="Comma 13 3 2 3 2 2 2 2" xfId="16616"/>
    <cellStyle name="Comma 13 3 2 3 2 2 3" xfId="12392"/>
    <cellStyle name="Comma 13 3 2 3 2 3" xfId="6056"/>
    <cellStyle name="Comma 13 3 2 3 2 3 2" xfId="14504"/>
    <cellStyle name="Comma 13 3 2 3 2 4" xfId="10280"/>
    <cellStyle name="Comma 13 3 2 3 3" xfId="2886"/>
    <cellStyle name="Comma 13 3 2 3 3 2" xfId="7112"/>
    <cellStyle name="Comma 13 3 2 3 3 2 2" xfId="15560"/>
    <cellStyle name="Comma 13 3 2 3 3 3" xfId="11336"/>
    <cellStyle name="Comma 13 3 2 3 4" xfId="5000"/>
    <cellStyle name="Comma 13 3 2 3 4 2" xfId="13448"/>
    <cellStyle name="Comma 13 3 2 3 5" xfId="9224"/>
    <cellStyle name="Comma 13 3 2 4" xfId="1120"/>
    <cellStyle name="Comma 13 3 2 4 2" xfId="2182"/>
    <cellStyle name="Comma 13 3 2 4 2 2" xfId="4294"/>
    <cellStyle name="Comma 13 3 2 4 2 2 2" xfId="8520"/>
    <cellStyle name="Comma 13 3 2 4 2 2 2 2" xfId="16968"/>
    <cellStyle name="Comma 13 3 2 4 2 2 3" xfId="12744"/>
    <cellStyle name="Comma 13 3 2 4 2 3" xfId="6408"/>
    <cellStyle name="Comma 13 3 2 4 2 3 2" xfId="14856"/>
    <cellStyle name="Comma 13 3 2 4 2 4" xfId="10632"/>
    <cellStyle name="Comma 13 3 2 4 3" xfId="3238"/>
    <cellStyle name="Comma 13 3 2 4 3 2" xfId="7464"/>
    <cellStyle name="Comma 13 3 2 4 3 2 2" xfId="15912"/>
    <cellStyle name="Comma 13 3 2 4 3 3" xfId="11688"/>
    <cellStyle name="Comma 13 3 2 4 4" xfId="5352"/>
    <cellStyle name="Comma 13 3 2 4 4 2" xfId="13800"/>
    <cellStyle name="Comma 13 3 2 4 5" xfId="9576"/>
    <cellStyle name="Comma 13 3 2 5" xfId="1302"/>
    <cellStyle name="Comma 13 3 2 5 2" xfId="2358"/>
    <cellStyle name="Comma 13 3 2 5 2 2" xfId="4470"/>
    <cellStyle name="Comma 13 3 2 5 2 2 2" xfId="8696"/>
    <cellStyle name="Comma 13 3 2 5 2 2 2 2" xfId="17144"/>
    <cellStyle name="Comma 13 3 2 5 2 2 3" xfId="12920"/>
    <cellStyle name="Comma 13 3 2 5 2 3" xfId="6584"/>
    <cellStyle name="Comma 13 3 2 5 2 3 2" xfId="15032"/>
    <cellStyle name="Comma 13 3 2 5 2 4" xfId="10808"/>
    <cellStyle name="Comma 13 3 2 5 3" xfId="3414"/>
    <cellStyle name="Comma 13 3 2 5 3 2" xfId="7640"/>
    <cellStyle name="Comma 13 3 2 5 3 2 2" xfId="16088"/>
    <cellStyle name="Comma 13 3 2 5 3 3" xfId="11864"/>
    <cellStyle name="Comma 13 3 2 5 4" xfId="5528"/>
    <cellStyle name="Comma 13 3 2 5 4 2" xfId="13976"/>
    <cellStyle name="Comma 13 3 2 5 5" xfId="9752"/>
    <cellStyle name="Comma 13 3 2 6" xfId="1478"/>
    <cellStyle name="Comma 13 3 2 6 2" xfId="3590"/>
    <cellStyle name="Comma 13 3 2 6 2 2" xfId="7816"/>
    <cellStyle name="Comma 13 3 2 6 2 2 2" xfId="16264"/>
    <cellStyle name="Comma 13 3 2 6 2 3" xfId="12040"/>
    <cellStyle name="Comma 13 3 2 6 3" xfId="5704"/>
    <cellStyle name="Comma 13 3 2 6 3 2" xfId="14152"/>
    <cellStyle name="Comma 13 3 2 6 4" xfId="9928"/>
    <cellStyle name="Comma 13 3 2 7" xfId="2534"/>
    <cellStyle name="Comma 13 3 2 7 2" xfId="6760"/>
    <cellStyle name="Comma 13 3 2 7 2 2" xfId="15208"/>
    <cellStyle name="Comma 13 3 2 7 3" xfId="10984"/>
    <cellStyle name="Comma 13 3 2 8" xfId="4647"/>
    <cellStyle name="Comma 13 3 2 8 2" xfId="13096"/>
    <cellStyle name="Comma 13 3 2 9" xfId="8872"/>
    <cellStyle name="Comma 13 3 3" xfId="95"/>
    <cellStyle name="Comma 13 3 3 2" xfId="591"/>
    <cellStyle name="Comma 13 3 3 2 2" xfId="945"/>
    <cellStyle name="Comma 13 3 3 2 2 2" xfId="2007"/>
    <cellStyle name="Comma 13 3 3 2 2 2 2" xfId="4119"/>
    <cellStyle name="Comma 13 3 3 2 2 2 2 2" xfId="8345"/>
    <cellStyle name="Comma 13 3 3 2 2 2 2 2 2" xfId="16793"/>
    <cellStyle name="Comma 13 3 3 2 2 2 2 3" xfId="12569"/>
    <cellStyle name="Comma 13 3 3 2 2 2 3" xfId="6233"/>
    <cellStyle name="Comma 13 3 3 2 2 2 3 2" xfId="14681"/>
    <cellStyle name="Comma 13 3 3 2 2 2 4" xfId="10457"/>
    <cellStyle name="Comma 13 3 3 2 2 3" xfId="3063"/>
    <cellStyle name="Comma 13 3 3 2 2 3 2" xfId="7289"/>
    <cellStyle name="Comma 13 3 3 2 2 3 2 2" xfId="15737"/>
    <cellStyle name="Comma 13 3 3 2 2 3 3" xfId="11513"/>
    <cellStyle name="Comma 13 3 3 2 2 4" xfId="5177"/>
    <cellStyle name="Comma 13 3 3 2 2 4 2" xfId="13625"/>
    <cellStyle name="Comma 13 3 3 2 2 5" xfId="9401"/>
    <cellStyle name="Comma 13 3 3 2 3" xfId="1655"/>
    <cellStyle name="Comma 13 3 3 2 3 2" xfId="3767"/>
    <cellStyle name="Comma 13 3 3 2 3 2 2" xfId="7993"/>
    <cellStyle name="Comma 13 3 3 2 3 2 2 2" xfId="16441"/>
    <cellStyle name="Comma 13 3 3 2 3 2 3" xfId="12217"/>
    <cellStyle name="Comma 13 3 3 2 3 3" xfId="5881"/>
    <cellStyle name="Comma 13 3 3 2 3 3 2" xfId="14329"/>
    <cellStyle name="Comma 13 3 3 2 3 4" xfId="10105"/>
    <cellStyle name="Comma 13 3 3 2 4" xfId="2711"/>
    <cellStyle name="Comma 13 3 3 2 4 2" xfId="6937"/>
    <cellStyle name="Comma 13 3 3 2 4 2 2" xfId="15385"/>
    <cellStyle name="Comma 13 3 3 2 4 3" xfId="11161"/>
    <cellStyle name="Comma 13 3 3 2 5" xfId="4825"/>
    <cellStyle name="Comma 13 3 3 2 5 2" xfId="13273"/>
    <cellStyle name="Comma 13 3 3 2 6" xfId="9049"/>
    <cellStyle name="Comma 13 3 3 3" xfId="769"/>
    <cellStyle name="Comma 13 3 3 3 2" xfId="1831"/>
    <cellStyle name="Comma 13 3 3 3 2 2" xfId="3943"/>
    <cellStyle name="Comma 13 3 3 3 2 2 2" xfId="8169"/>
    <cellStyle name="Comma 13 3 3 3 2 2 2 2" xfId="16617"/>
    <cellStyle name="Comma 13 3 3 3 2 2 3" xfId="12393"/>
    <cellStyle name="Comma 13 3 3 3 2 3" xfId="6057"/>
    <cellStyle name="Comma 13 3 3 3 2 3 2" xfId="14505"/>
    <cellStyle name="Comma 13 3 3 3 2 4" xfId="10281"/>
    <cellStyle name="Comma 13 3 3 3 3" xfId="2887"/>
    <cellStyle name="Comma 13 3 3 3 3 2" xfId="7113"/>
    <cellStyle name="Comma 13 3 3 3 3 2 2" xfId="15561"/>
    <cellStyle name="Comma 13 3 3 3 3 3" xfId="11337"/>
    <cellStyle name="Comma 13 3 3 3 4" xfId="5001"/>
    <cellStyle name="Comma 13 3 3 3 4 2" xfId="13449"/>
    <cellStyle name="Comma 13 3 3 3 5" xfId="9225"/>
    <cellStyle name="Comma 13 3 3 4" xfId="1121"/>
    <cellStyle name="Comma 13 3 3 4 2" xfId="2183"/>
    <cellStyle name="Comma 13 3 3 4 2 2" xfId="4295"/>
    <cellStyle name="Comma 13 3 3 4 2 2 2" xfId="8521"/>
    <cellStyle name="Comma 13 3 3 4 2 2 2 2" xfId="16969"/>
    <cellStyle name="Comma 13 3 3 4 2 2 3" xfId="12745"/>
    <cellStyle name="Comma 13 3 3 4 2 3" xfId="6409"/>
    <cellStyle name="Comma 13 3 3 4 2 3 2" xfId="14857"/>
    <cellStyle name="Comma 13 3 3 4 2 4" xfId="10633"/>
    <cellStyle name="Comma 13 3 3 4 3" xfId="3239"/>
    <cellStyle name="Comma 13 3 3 4 3 2" xfId="7465"/>
    <cellStyle name="Comma 13 3 3 4 3 2 2" xfId="15913"/>
    <cellStyle name="Comma 13 3 3 4 3 3" xfId="11689"/>
    <cellStyle name="Comma 13 3 3 4 4" xfId="5353"/>
    <cellStyle name="Comma 13 3 3 4 4 2" xfId="13801"/>
    <cellStyle name="Comma 13 3 3 4 5" xfId="9577"/>
    <cellStyle name="Comma 13 3 3 5" xfId="1303"/>
    <cellStyle name="Comma 13 3 3 5 2" xfId="2359"/>
    <cellStyle name="Comma 13 3 3 5 2 2" xfId="4471"/>
    <cellStyle name="Comma 13 3 3 5 2 2 2" xfId="8697"/>
    <cellStyle name="Comma 13 3 3 5 2 2 2 2" xfId="17145"/>
    <cellStyle name="Comma 13 3 3 5 2 2 3" xfId="12921"/>
    <cellStyle name="Comma 13 3 3 5 2 3" xfId="6585"/>
    <cellStyle name="Comma 13 3 3 5 2 3 2" xfId="15033"/>
    <cellStyle name="Comma 13 3 3 5 2 4" xfId="10809"/>
    <cellStyle name="Comma 13 3 3 5 3" xfId="3415"/>
    <cellStyle name="Comma 13 3 3 5 3 2" xfId="7641"/>
    <cellStyle name="Comma 13 3 3 5 3 2 2" xfId="16089"/>
    <cellStyle name="Comma 13 3 3 5 3 3" xfId="11865"/>
    <cellStyle name="Comma 13 3 3 5 4" xfId="5529"/>
    <cellStyle name="Comma 13 3 3 5 4 2" xfId="13977"/>
    <cellStyle name="Comma 13 3 3 5 5" xfId="9753"/>
    <cellStyle name="Comma 13 3 3 6" xfId="1479"/>
    <cellStyle name="Comma 13 3 3 6 2" xfId="3591"/>
    <cellStyle name="Comma 13 3 3 6 2 2" xfId="7817"/>
    <cellStyle name="Comma 13 3 3 6 2 2 2" xfId="16265"/>
    <cellStyle name="Comma 13 3 3 6 2 3" xfId="12041"/>
    <cellStyle name="Comma 13 3 3 6 3" xfId="5705"/>
    <cellStyle name="Comma 13 3 3 6 3 2" xfId="14153"/>
    <cellStyle name="Comma 13 3 3 6 4" xfId="9929"/>
    <cellStyle name="Comma 13 3 3 7" xfId="2535"/>
    <cellStyle name="Comma 13 3 3 7 2" xfId="6761"/>
    <cellStyle name="Comma 13 3 3 7 2 2" xfId="15209"/>
    <cellStyle name="Comma 13 3 3 7 3" xfId="10985"/>
    <cellStyle name="Comma 13 3 3 8" xfId="4648"/>
    <cellStyle name="Comma 13 3 3 8 2" xfId="13097"/>
    <cellStyle name="Comma 13 3 3 9" xfId="8873"/>
    <cellStyle name="Comma 13 3 4" xfId="589"/>
    <cellStyle name="Comma 13 3 4 2" xfId="943"/>
    <cellStyle name="Comma 13 3 4 2 2" xfId="2005"/>
    <cellStyle name="Comma 13 3 4 2 2 2" xfId="4117"/>
    <cellStyle name="Comma 13 3 4 2 2 2 2" xfId="8343"/>
    <cellStyle name="Comma 13 3 4 2 2 2 2 2" xfId="16791"/>
    <cellStyle name="Comma 13 3 4 2 2 2 3" xfId="12567"/>
    <cellStyle name="Comma 13 3 4 2 2 3" xfId="6231"/>
    <cellStyle name="Comma 13 3 4 2 2 3 2" xfId="14679"/>
    <cellStyle name="Comma 13 3 4 2 2 4" xfId="10455"/>
    <cellStyle name="Comma 13 3 4 2 3" xfId="3061"/>
    <cellStyle name="Comma 13 3 4 2 3 2" xfId="7287"/>
    <cellStyle name="Comma 13 3 4 2 3 2 2" xfId="15735"/>
    <cellStyle name="Comma 13 3 4 2 3 3" xfId="11511"/>
    <cellStyle name="Comma 13 3 4 2 4" xfId="5175"/>
    <cellStyle name="Comma 13 3 4 2 4 2" xfId="13623"/>
    <cellStyle name="Comma 13 3 4 2 5" xfId="9399"/>
    <cellStyle name="Comma 13 3 4 3" xfId="1653"/>
    <cellStyle name="Comma 13 3 4 3 2" xfId="3765"/>
    <cellStyle name="Comma 13 3 4 3 2 2" xfId="7991"/>
    <cellStyle name="Comma 13 3 4 3 2 2 2" xfId="16439"/>
    <cellStyle name="Comma 13 3 4 3 2 3" xfId="12215"/>
    <cellStyle name="Comma 13 3 4 3 3" xfId="5879"/>
    <cellStyle name="Comma 13 3 4 3 3 2" xfId="14327"/>
    <cellStyle name="Comma 13 3 4 3 4" xfId="10103"/>
    <cellStyle name="Comma 13 3 4 4" xfId="2709"/>
    <cellStyle name="Comma 13 3 4 4 2" xfId="6935"/>
    <cellStyle name="Comma 13 3 4 4 2 2" xfId="15383"/>
    <cellStyle name="Comma 13 3 4 4 3" xfId="11159"/>
    <cellStyle name="Comma 13 3 4 5" xfId="4823"/>
    <cellStyle name="Comma 13 3 4 5 2" xfId="13271"/>
    <cellStyle name="Comma 13 3 4 6" xfId="9047"/>
    <cellStyle name="Comma 13 3 5" xfId="767"/>
    <cellStyle name="Comma 13 3 5 2" xfId="1829"/>
    <cellStyle name="Comma 13 3 5 2 2" xfId="3941"/>
    <cellStyle name="Comma 13 3 5 2 2 2" xfId="8167"/>
    <cellStyle name="Comma 13 3 5 2 2 2 2" xfId="16615"/>
    <cellStyle name="Comma 13 3 5 2 2 3" xfId="12391"/>
    <cellStyle name="Comma 13 3 5 2 3" xfId="6055"/>
    <cellStyle name="Comma 13 3 5 2 3 2" xfId="14503"/>
    <cellStyle name="Comma 13 3 5 2 4" xfId="10279"/>
    <cellStyle name="Comma 13 3 5 3" xfId="2885"/>
    <cellStyle name="Comma 13 3 5 3 2" xfId="7111"/>
    <cellStyle name="Comma 13 3 5 3 2 2" xfId="15559"/>
    <cellStyle name="Comma 13 3 5 3 3" xfId="11335"/>
    <cellStyle name="Comma 13 3 5 4" xfId="4999"/>
    <cellStyle name="Comma 13 3 5 4 2" xfId="13447"/>
    <cellStyle name="Comma 13 3 5 5" xfId="9223"/>
    <cellStyle name="Comma 13 3 6" xfId="1119"/>
    <cellStyle name="Comma 13 3 6 2" xfId="2181"/>
    <cellStyle name="Comma 13 3 6 2 2" xfId="4293"/>
    <cellStyle name="Comma 13 3 6 2 2 2" xfId="8519"/>
    <cellStyle name="Comma 13 3 6 2 2 2 2" xfId="16967"/>
    <cellStyle name="Comma 13 3 6 2 2 3" xfId="12743"/>
    <cellStyle name="Comma 13 3 6 2 3" xfId="6407"/>
    <cellStyle name="Comma 13 3 6 2 3 2" xfId="14855"/>
    <cellStyle name="Comma 13 3 6 2 4" xfId="10631"/>
    <cellStyle name="Comma 13 3 6 3" xfId="3237"/>
    <cellStyle name="Comma 13 3 6 3 2" xfId="7463"/>
    <cellStyle name="Comma 13 3 6 3 2 2" xfId="15911"/>
    <cellStyle name="Comma 13 3 6 3 3" xfId="11687"/>
    <cellStyle name="Comma 13 3 6 4" xfId="5351"/>
    <cellStyle name="Comma 13 3 6 4 2" xfId="13799"/>
    <cellStyle name="Comma 13 3 6 5" xfId="9575"/>
    <cellStyle name="Comma 13 3 7" xfId="1301"/>
    <cellStyle name="Comma 13 3 7 2" xfId="2357"/>
    <cellStyle name="Comma 13 3 7 2 2" xfId="4469"/>
    <cellStyle name="Comma 13 3 7 2 2 2" xfId="8695"/>
    <cellStyle name="Comma 13 3 7 2 2 2 2" xfId="17143"/>
    <cellStyle name="Comma 13 3 7 2 2 3" xfId="12919"/>
    <cellStyle name="Comma 13 3 7 2 3" xfId="6583"/>
    <cellStyle name="Comma 13 3 7 2 3 2" xfId="15031"/>
    <cellStyle name="Comma 13 3 7 2 4" xfId="10807"/>
    <cellStyle name="Comma 13 3 7 3" xfId="3413"/>
    <cellStyle name="Comma 13 3 7 3 2" xfId="7639"/>
    <cellStyle name="Comma 13 3 7 3 2 2" xfId="16087"/>
    <cellStyle name="Comma 13 3 7 3 3" xfId="11863"/>
    <cellStyle name="Comma 13 3 7 4" xfId="5527"/>
    <cellStyle name="Comma 13 3 7 4 2" xfId="13975"/>
    <cellStyle name="Comma 13 3 7 5" xfId="9751"/>
    <cellStyle name="Comma 13 3 8" xfId="1477"/>
    <cellStyle name="Comma 13 3 8 2" xfId="3589"/>
    <cellStyle name="Comma 13 3 8 2 2" xfId="7815"/>
    <cellStyle name="Comma 13 3 8 2 2 2" xfId="16263"/>
    <cellStyle name="Comma 13 3 8 2 3" xfId="12039"/>
    <cellStyle name="Comma 13 3 8 3" xfId="5703"/>
    <cellStyle name="Comma 13 3 8 3 2" xfId="14151"/>
    <cellStyle name="Comma 13 3 8 4" xfId="9927"/>
    <cellStyle name="Comma 13 3 9" xfId="2533"/>
    <cellStyle name="Comma 13 3 9 2" xfId="6759"/>
    <cellStyle name="Comma 13 3 9 2 2" xfId="15207"/>
    <cellStyle name="Comma 13 3 9 3" xfId="10983"/>
    <cellStyle name="Comma 13 4" xfId="17451"/>
    <cellStyle name="Comma 14" xfId="96"/>
    <cellStyle name="Comma 14 2" xfId="97"/>
    <cellStyle name="Comma 14 3" xfId="98"/>
    <cellStyle name="Comma 14 3 10" xfId="4649"/>
    <cellStyle name="Comma 14 3 10 2" xfId="13098"/>
    <cellStyle name="Comma 14 3 11" xfId="8874"/>
    <cellStyle name="Comma 14 3 2" xfId="99"/>
    <cellStyle name="Comma 14 3 2 2" xfId="593"/>
    <cellStyle name="Comma 14 3 2 2 2" xfId="947"/>
    <cellStyle name="Comma 14 3 2 2 2 2" xfId="2009"/>
    <cellStyle name="Comma 14 3 2 2 2 2 2" xfId="4121"/>
    <cellStyle name="Comma 14 3 2 2 2 2 2 2" xfId="8347"/>
    <cellStyle name="Comma 14 3 2 2 2 2 2 2 2" xfId="16795"/>
    <cellStyle name="Comma 14 3 2 2 2 2 2 3" xfId="12571"/>
    <cellStyle name="Comma 14 3 2 2 2 2 3" xfId="6235"/>
    <cellStyle name="Comma 14 3 2 2 2 2 3 2" xfId="14683"/>
    <cellStyle name="Comma 14 3 2 2 2 2 4" xfId="10459"/>
    <cellStyle name="Comma 14 3 2 2 2 3" xfId="3065"/>
    <cellStyle name="Comma 14 3 2 2 2 3 2" xfId="7291"/>
    <cellStyle name="Comma 14 3 2 2 2 3 2 2" xfId="15739"/>
    <cellStyle name="Comma 14 3 2 2 2 3 3" xfId="11515"/>
    <cellStyle name="Comma 14 3 2 2 2 4" xfId="5179"/>
    <cellStyle name="Comma 14 3 2 2 2 4 2" xfId="13627"/>
    <cellStyle name="Comma 14 3 2 2 2 5" xfId="9403"/>
    <cellStyle name="Comma 14 3 2 2 3" xfId="1657"/>
    <cellStyle name="Comma 14 3 2 2 3 2" xfId="3769"/>
    <cellStyle name="Comma 14 3 2 2 3 2 2" xfId="7995"/>
    <cellStyle name="Comma 14 3 2 2 3 2 2 2" xfId="16443"/>
    <cellStyle name="Comma 14 3 2 2 3 2 3" xfId="12219"/>
    <cellStyle name="Comma 14 3 2 2 3 3" xfId="5883"/>
    <cellStyle name="Comma 14 3 2 2 3 3 2" xfId="14331"/>
    <cellStyle name="Comma 14 3 2 2 3 4" xfId="10107"/>
    <cellStyle name="Comma 14 3 2 2 4" xfId="2713"/>
    <cellStyle name="Comma 14 3 2 2 4 2" xfId="6939"/>
    <cellStyle name="Comma 14 3 2 2 4 2 2" xfId="15387"/>
    <cellStyle name="Comma 14 3 2 2 4 3" xfId="11163"/>
    <cellStyle name="Comma 14 3 2 2 5" xfId="4827"/>
    <cellStyle name="Comma 14 3 2 2 5 2" xfId="13275"/>
    <cellStyle name="Comma 14 3 2 2 6" xfId="9051"/>
    <cellStyle name="Comma 14 3 2 3" xfId="771"/>
    <cellStyle name="Comma 14 3 2 3 2" xfId="1833"/>
    <cellStyle name="Comma 14 3 2 3 2 2" xfId="3945"/>
    <cellStyle name="Comma 14 3 2 3 2 2 2" xfId="8171"/>
    <cellStyle name="Comma 14 3 2 3 2 2 2 2" xfId="16619"/>
    <cellStyle name="Comma 14 3 2 3 2 2 3" xfId="12395"/>
    <cellStyle name="Comma 14 3 2 3 2 3" xfId="6059"/>
    <cellStyle name="Comma 14 3 2 3 2 3 2" xfId="14507"/>
    <cellStyle name="Comma 14 3 2 3 2 4" xfId="10283"/>
    <cellStyle name="Comma 14 3 2 3 3" xfId="2889"/>
    <cellStyle name="Comma 14 3 2 3 3 2" xfId="7115"/>
    <cellStyle name="Comma 14 3 2 3 3 2 2" xfId="15563"/>
    <cellStyle name="Comma 14 3 2 3 3 3" xfId="11339"/>
    <cellStyle name="Comma 14 3 2 3 4" xfId="5003"/>
    <cellStyle name="Comma 14 3 2 3 4 2" xfId="13451"/>
    <cellStyle name="Comma 14 3 2 3 5" xfId="9227"/>
    <cellStyle name="Comma 14 3 2 4" xfId="1123"/>
    <cellStyle name="Comma 14 3 2 4 2" xfId="2185"/>
    <cellStyle name="Comma 14 3 2 4 2 2" xfId="4297"/>
    <cellStyle name="Comma 14 3 2 4 2 2 2" xfId="8523"/>
    <cellStyle name="Comma 14 3 2 4 2 2 2 2" xfId="16971"/>
    <cellStyle name="Comma 14 3 2 4 2 2 3" xfId="12747"/>
    <cellStyle name="Comma 14 3 2 4 2 3" xfId="6411"/>
    <cellStyle name="Comma 14 3 2 4 2 3 2" xfId="14859"/>
    <cellStyle name="Comma 14 3 2 4 2 4" xfId="10635"/>
    <cellStyle name="Comma 14 3 2 4 3" xfId="3241"/>
    <cellStyle name="Comma 14 3 2 4 3 2" xfId="7467"/>
    <cellStyle name="Comma 14 3 2 4 3 2 2" xfId="15915"/>
    <cellStyle name="Comma 14 3 2 4 3 3" xfId="11691"/>
    <cellStyle name="Comma 14 3 2 4 4" xfId="5355"/>
    <cellStyle name="Comma 14 3 2 4 4 2" xfId="13803"/>
    <cellStyle name="Comma 14 3 2 4 5" xfId="9579"/>
    <cellStyle name="Comma 14 3 2 5" xfId="1305"/>
    <cellStyle name="Comma 14 3 2 5 2" xfId="2361"/>
    <cellStyle name="Comma 14 3 2 5 2 2" xfId="4473"/>
    <cellStyle name="Comma 14 3 2 5 2 2 2" xfId="8699"/>
    <cellStyle name="Comma 14 3 2 5 2 2 2 2" xfId="17147"/>
    <cellStyle name="Comma 14 3 2 5 2 2 3" xfId="12923"/>
    <cellStyle name="Comma 14 3 2 5 2 3" xfId="6587"/>
    <cellStyle name="Comma 14 3 2 5 2 3 2" xfId="15035"/>
    <cellStyle name="Comma 14 3 2 5 2 4" xfId="10811"/>
    <cellStyle name="Comma 14 3 2 5 3" xfId="3417"/>
    <cellStyle name="Comma 14 3 2 5 3 2" xfId="7643"/>
    <cellStyle name="Comma 14 3 2 5 3 2 2" xfId="16091"/>
    <cellStyle name="Comma 14 3 2 5 3 3" xfId="11867"/>
    <cellStyle name="Comma 14 3 2 5 4" xfId="5531"/>
    <cellStyle name="Comma 14 3 2 5 4 2" xfId="13979"/>
    <cellStyle name="Comma 14 3 2 5 5" xfId="9755"/>
    <cellStyle name="Comma 14 3 2 6" xfId="1481"/>
    <cellStyle name="Comma 14 3 2 6 2" xfId="3593"/>
    <cellStyle name="Comma 14 3 2 6 2 2" xfId="7819"/>
    <cellStyle name="Comma 14 3 2 6 2 2 2" xfId="16267"/>
    <cellStyle name="Comma 14 3 2 6 2 3" xfId="12043"/>
    <cellStyle name="Comma 14 3 2 6 3" xfId="5707"/>
    <cellStyle name="Comma 14 3 2 6 3 2" xfId="14155"/>
    <cellStyle name="Comma 14 3 2 6 4" xfId="9931"/>
    <cellStyle name="Comma 14 3 2 7" xfId="2537"/>
    <cellStyle name="Comma 14 3 2 7 2" xfId="6763"/>
    <cellStyle name="Comma 14 3 2 7 2 2" xfId="15211"/>
    <cellStyle name="Comma 14 3 2 7 3" xfId="10987"/>
    <cellStyle name="Comma 14 3 2 8" xfId="4650"/>
    <cellStyle name="Comma 14 3 2 8 2" xfId="13099"/>
    <cellStyle name="Comma 14 3 2 9" xfId="8875"/>
    <cellStyle name="Comma 14 3 3" xfId="100"/>
    <cellStyle name="Comma 14 3 3 2" xfId="594"/>
    <cellStyle name="Comma 14 3 3 2 2" xfId="948"/>
    <cellStyle name="Comma 14 3 3 2 2 2" xfId="2010"/>
    <cellStyle name="Comma 14 3 3 2 2 2 2" xfId="4122"/>
    <cellStyle name="Comma 14 3 3 2 2 2 2 2" xfId="8348"/>
    <cellStyle name="Comma 14 3 3 2 2 2 2 2 2" xfId="16796"/>
    <cellStyle name="Comma 14 3 3 2 2 2 2 3" xfId="12572"/>
    <cellStyle name="Comma 14 3 3 2 2 2 3" xfId="6236"/>
    <cellStyle name="Comma 14 3 3 2 2 2 3 2" xfId="14684"/>
    <cellStyle name="Comma 14 3 3 2 2 2 4" xfId="10460"/>
    <cellStyle name="Comma 14 3 3 2 2 3" xfId="3066"/>
    <cellStyle name="Comma 14 3 3 2 2 3 2" xfId="7292"/>
    <cellStyle name="Comma 14 3 3 2 2 3 2 2" xfId="15740"/>
    <cellStyle name="Comma 14 3 3 2 2 3 3" xfId="11516"/>
    <cellStyle name="Comma 14 3 3 2 2 4" xfId="5180"/>
    <cellStyle name="Comma 14 3 3 2 2 4 2" xfId="13628"/>
    <cellStyle name="Comma 14 3 3 2 2 5" xfId="9404"/>
    <cellStyle name="Comma 14 3 3 2 3" xfId="1658"/>
    <cellStyle name="Comma 14 3 3 2 3 2" xfId="3770"/>
    <cellStyle name="Comma 14 3 3 2 3 2 2" xfId="7996"/>
    <cellStyle name="Comma 14 3 3 2 3 2 2 2" xfId="16444"/>
    <cellStyle name="Comma 14 3 3 2 3 2 3" xfId="12220"/>
    <cellStyle name="Comma 14 3 3 2 3 3" xfId="5884"/>
    <cellStyle name="Comma 14 3 3 2 3 3 2" xfId="14332"/>
    <cellStyle name="Comma 14 3 3 2 3 4" xfId="10108"/>
    <cellStyle name="Comma 14 3 3 2 4" xfId="2714"/>
    <cellStyle name="Comma 14 3 3 2 4 2" xfId="6940"/>
    <cellStyle name="Comma 14 3 3 2 4 2 2" xfId="15388"/>
    <cellStyle name="Comma 14 3 3 2 4 3" xfId="11164"/>
    <cellStyle name="Comma 14 3 3 2 5" xfId="4828"/>
    <cellStyle name="Comma 14 3 3 2 5 2" xfId="13276"/>
    <cellStyle name="Comma 14 3 3 2 6" xfId="9052"/>
    <cellStyle name="Comma 14 3 3 3" xfId="772"/>
    <cellStyle name="Comma 14 3 3 3 2" xfId="1834"/>
    <cellStyle name="Comma 14 3 3 3 2 2" xfId="3946"/>
    <cellStyle name="Comma 14 3 3 3 2 2 2" xfId="8172"/>
    <cellStyle name="Comma 14 3 3 3 2 2 2 2" xfId="16620"/>
    <cellStyle name="Comma 14 3 3 3 2 2 3" xfId="12396"/>
    <cellStyle name="Comma 14 3 3 3 2 3" xfId="6060"/>
    <cellStyle name="Comma 14 3 3 3 2 3 2" xfId="14508"/>
    <cellStyle name="Comma 14 3 3 3 2 4" xfId="10284"/>
    <cellStyle name="Comma 14 3 3 3 3" xfId="2890"/>
    <cellStyle name="Comma 14 3 3 3 3 2" xfId="7116"/>
    <cellStyle name="Comma 14 3 3 3 3 2 2" xfId="15564"/>
    <cellStyle name="Comma 14 3 3 3 3 3" xfId="11340"/>
    <cellStyle name="Comma 14 3 3 3 4" xfId="5004"/>
    <cellStyle name="Comma 14 3 3 3 4 2" xfId="13452"/>
    <cellStyle name="Comma 14 3 3 3 5" xfId="9228"/>
    <cellStyle name="Comma 14 3 3 4" xfId="1124"/>
    <cellStyle name="Comma 14 3 3 4 2" xfId="2186"/>
    <cellStyle name="Comma 14 3 3 4 2 2" xfId="4298"/>
    <cellStyle name="Comma 14 3 3 4 2 2 2" xfId="8524"/>
    <cellStyle name="Comma 14 3 3 4 2 2 2 2" xfId="16972"/>
    <cellStyle name="Comma 14 3 3 4 2 2 3" xfId="12748"/>
    <cellStyle name="Comma 14 3 3 4 2 3" xfId="6412"/>
    <cellStyle name="Comma 14 3 3 4 2 3 2" xfId="14860"/>
    <cellStyle name="Comma 14 3 3 4 2 4" xfId="10636"/>
    <cellStyle name="Comma 14 3 3 4 3" xfId="3242"/>
    <cellStyle name="Comma 14 3 3 4 3 2" xfId="7468"/>
    <cellStyle name="Comma 14 3 3 4 3 2 2" xfId="15916"/>
    <cellStyle name="Comma 14 3 3 4 3 3" xfId="11692"/>
    <cellStyle name="Comma 14 3 3 4 4" xfId="5356"/>
    <cellStyle name="Comma 14 3 3 4 4 2" xfId="13804"/>
    <cellStyle name="Comma 14 3 3 4 5" xfId="9580"/>
    <cellStyle name="Comma 14 3 3 5" xfId="1306"/>
    <cellStyle name="Comma 14 3 3 5 2" xfId="2362"/>
    <cellStyle name="Comma 14 3 3 5 2 2" xfId="4474"/>
    <cellStyle name="Comma 14 3 3 5 2 2 2" xfId="8700"/>
    <cellStyle name="Comma 14 3 3 5 2 2 2 2" xfId="17148"/>
    <cellStyle name="Comma 14 3 3 5 2 2 3" xfId="12924"/>
    <cellStyle name="Comma 14 3 3 5 2 3" xfId="6588"/>
    <cellStyle name="Comma 14 3 3 5 2 3 2" xfId="15036"/>
    <cellStyle name="Comma 14 3 3 5 2 4" xfId="10812"/>
    <cellStyle name="Comma 14 3 3 5 3" xfId="3418"/>
    <cellStyle name="Comma 14 3 3 5 3 2" xfId="7644"/>
    <cellStyle name="Comma 14 3 3 5 3 2 2" xfId="16092"/>
    <cellStyle name="Comma 14 3 3 5 3 3" xfId="11868"/>
    <cellStyle name="Comma 14 3 3 5 4" xfId="5532"/>
    <cellStyle name="Comma 14 3 3 5 4 2" xfId="13980"/>
    <cellStyle name="Comma 14 3 3 5 5" xfId="9756"/>
    <cellStyle name="Comma 14 3 3 6" xfId="1482"/>
    <cellStyle name="Comma 14 3 3 6 2" xfId="3594"/>
    <cellStyle name="Comma 14 3 3 6 2 2" xfId="7820"/>
    <cellStyle name="Comma 14 3 3 6 2 2 2" xfId="16268"/>
    <cellStyle name="Comma 14 3 3 6 2 3" xfId="12044"/>
    <cellStyle name="Comma 14 3 3 6 3" xfId="5708"/>
    <cellStyle name="Comma 14 3 3 6 3 2" xfId="14156"/>
    <cellStyle name="Comma 14 3 3 6 4" xfId="9932"/>
    <cellStyle name="Comma 14 3 3 7" xfId="2538"/>
    <cellStyle name="Comma 14 3 3 7 2" xfId="6764"/>
    <cellStyle name="Comma 14 3 3 7 2 2" xfId="15212"/>
    <cellStyle name="Comma 14 3 3 7 3" xfId="10988"/>
    <cellStyle name="Comma 14 3 3 8" xfId="4651"/>
    <cellStyle name="Comma 14 3 3 8 2" xfId="13100"/>
    <cellStyle name="Comma 14 3 3 9" xfId="8876"/>
    <cellStyle name="Comma 14 3 4" xfId="592"/>
    <cellStyle name="Comma 14 3 4 2" xfId="946"/>
    <cellStyle name="Comma 14 3 4 2 2" xfId="2008"/>
    <cellStyle name="Comma 14 3 4 2 2 2" xfId="4120"/>
    <cellStyle name="Comma 14 3 4 2 2 2 2" xfId="8346"/>
    <cellStyle name="Comma 14 3 4 2 2 2 2 2" xfId="16794"/>
    <cellStyle name="Comma 14 3 4 2 2 2 3" xfId="12570"/>
    <cellStyle name="Comma 14 3 4 2 2 3" xfId="6234"/>
    <cellStyle name="Comma 14 3 4 2 2 3 2" xfId="14682"/>
    <cellStyle name="Comma 14 3 4 2 2 4" xfId="10458"/>
    <cellStyle name="Comma 14 3 4 2 3" xfId="3064"/>
    <cellStyle name="Comma 14 3 4 2 3 2" xfId="7290"/>
    <cellStyle name="Comma 14 3 4 2 3 2 2" xfId="15738"/>
    <cellStyle name="Comma 14 3 4 2 3 3" xfId="11514"/>
    <cellStyle name="Comma 14 3 4 2 4" xfId="5178"/>
    <cellStyle name="Comma 14 3 4 2 4 2" xfId="13626"/>
    <cellStyle name="Comma 14 3 4 2 5" xfId="9402"/>
    <cellStyle name="Comma 14 3 4 3" xfId="1656"/>
    <cellStyle name="Comma 14 3 4 3 2" xfId="3768"/>
    <cellStyle name="Comma 14 3 4 3 2 2" xfId="7994"/>
    <cellStyle name="Comma 14 3 4 3 2 2 2" xfId="16442"/>
    <cellStyle name="Comma 14 3 4 3 2 3" xfId="12218"/>
    <cellStyle name="Comma 14 3 4 3 3" xfId="5882"/>
    <cellStyle name="Comma 14 3 4 3 3 2" xfId="14330"/>
    <cellStyle name="Comma 14 3 4 3 4" xfId="10106"/>
    <cellStyle name="Comma 14 3 4 4" xfId="2712"/>
    <cellStyle name="Comma 14 3 4 4 2" xfId="6938"/>
    <cellStyle name="Comma 14 3 4 4 2 2" xfId="15386"/>
    <cellStyle name="Comma 14 3 4 4 3" xfId="11162"/>
    <cellStyle name="Comma 14 3 4 5" xfId="4826"/>
    <cellStyle name="Comma 14 3 4 5 2" xfId="13274"/>
    <cellStyle name="Comma 14 3 4 6" xfId="9050"/>
    <cellStyle name="Comma 14 3 5" xfId="770"/>
    <cellStyle name="Comma 14 3 5 2" xfId="1832"/>
    <cellStyle name="Comma 14 3 5 2 2" xfId="3944"/>
    <cellStyle name="Comma 14 3 5 2 2 2" xfId="8170"/>
    <cellStyle name="Comma 14 3 5 2 2 2 2" xfId="16618"/>
    <cellStyle name="Comma 14 3 5 2 2 3" xfId="12394"/>
    <cellStyle name="Comma 14 3 5 2 3" xfId="6058"/>
    <cellStyle name="Comma 14 3 5 2 3 2" xfId="14506"/>
    <cellStyle name="Comma 14 3 5 2 4" xfId="10282"/>
    <cellStyle name="Comma 14 3 5 3" xfId="2888"/>
    <cellStyle name="Comma 14 3 5 3 2" xfId="7114"/>
    <cellStyle name="Comma 14 3 5 3 2 2" xfId="15562"/>
    <cellStyle name="Comma 14 3 5 3 3" xfId="11338"/>
    <cellStyle name="Comma 14 3 5 4" xfId="5002"/>
    <cellStyle name="Comma 14 3 5 4 2" xfId="13450"/>
    <cellStyle name="Comma 14 3 5 5" xfId="9226"/>
    <cellStyle name="Comma 14 3 6" xfId="1122"/>
    <cellStyle name="Comma 14 3 6 2" xfId="2184"/>
    <cellStyle name="Comma 14 3 6 2 2" xfId="4296"/>
    <cellStyle name="Comma 14 3 6 2 2 2" xfId="8522"/>
    <cellStyle name="Comma 14 3 6 2 2 2 2" xfId="16970"/>
    <cellStyle name="Comma 14 3 6 2 2 3" xfId="12746"/>
    <cellStyle name="Comma 14 3 6 2 3" xfId="6410"/>
    <cellStyle name="Comma 14 3 6 2 3 2" xfId="14858"/>
    <cellStyle name="Comma 14 3 6 2 4" xfId="10634"/>
    <cellStyle name="Comma 14 3 6 3" xfId="3240"/>
    <cellStyle name="Comma 14 3 6 3 2" xfId="7466"/>
    <cellStyle name="Comma 14 3 6 3 2 2" xfId="15914"/>
    <cellStyle name="Comma 14 3 6 3 3" xfId="11690"/>
    <cellStyle name="Comma 14 3 6 4" xfId="5354"/>
    <cellStyle name="Comma 14 3 6 4 2" xfId="13802"/>
    <cellStyle name="Comma 14 3 6 5" xfId="9578"/>
    <cellStyle name="Comma 14 3 7" xfId="1304"/>
    <cellStyle name="Comma 14 3 7 2" xfId="2360"/>
    <cellStyle name="Comma 14 3 7 2 2" xfId="4472"/>
    <cellStyle name="Comma 14 3 7 2 2 2" xfId="8698"/>
    <cellStyle name="Comma 14 3 7 2 2 2 2" xfId="17146"/>
    <cellStyle name="Comma 14 3 7 2 2 3" xfId="12922"/>
    <cellStyle name="Comma 14 3 7 2 3" xfId="6586"/>
    <cellStyle name="Comma 14 3 7 2 3 2" xfId="15034"/>
    <cellStyle name="Comma 14 3 7 2 4" xfId="10810"/>
    <cellStyle name="Comma 14 3 7 3" xfId="3416"/>
    <cellStyle name="Comma 14 3 7 3 2" xfId="7642"/>
    <cellStyle name="Comma 14 3 7 3 2 2" xfId="16090"/>
    <cellStyle name="Comma 14 3 7 3 3" xfId="11866"/>
    <cellStyle name="Comma 14 3 7 4" xfId="5530"/>
    <cellStyle name="Comma 14 3 7 4 2" xfId="13978"/>
    <cellStyle name="Comma 14 3 7 5" xfId="9754"/>
    <cellStyle name="Comma 14 3 8" xfId="1480"/>
    <cellStyle name="Comma 14 3 8 2" xfId="3592"/>
    <cellStyle name="Comma 14 3 8 2 2" xfId="7818"/>
    <cellStyle name="Comma 14 3 8 2 2 2" xfId="16266"/>
    <cellStyle name="Comma 14 3 8 2 3" xfId="12042"/>
    <cellStyle name="Comma 14 3 8 3" xfId="5706"/>
    <cellStyle name="Comma 14 3 8 3 2" xfId="14154"/>
    <cellStyle name="Comma 14 3 8 4" xfId="9930"/>
    <cellStyle name="Comma 14 3 9" xfId="2536"/>
    <cellStyle name="Comma 14 3 9 2" xfId="6762"/>
    <cellStyle name="Comma 14 3 9 2 2" xfId="15210"/>
    <cellStyle name="Comma 14 3 9 3" xfId="10986"/>
    <cellStyle name="Comma 14 4" xfId="17391"/>
    <cellStyle name="Comma 15" xfId="101"/>
    <cellStyle name="Comma 15 10" xfId="4652"/>
    <cellStyle name="Comma 15 10 2" xfId="13101"/>
    <cellStyle name="Comma 15 11" xfId="8877"/>
    <cellStyle name="Comma 15 12" xfId="17356"/>
    <cellStyle name="Comma 15 2" xfId="102"/>
    <cellStyle name="Comma 15 2 2" xfId="596"/>
    <cellStyle name="Comma 15 2 2 2" xfId="950"/>
    <cellStyle name="Comma 15 2 2 2 2" xfId="2012"/>
    <cellStyle name="Comma 15 2 2 2 2 2" xfId="4124"/>
    <cellStyle name="Comma 15 2 2 2 2 2 2" xfId="8350"/>
    <cellStyle name="Comma 15 2 2 2 2 2 2 2" xfId="16798"/>
    <cellStyle name="Comma 15 2 2 2 2 2 3" xfId="12574"/>
    <cellStyle name="Comma 15 2 2 2 2 3" xfId="6238"/>
    <cellStyle name="Comma 15 2 2 2 2 3 2" xfId="14686"/>
    <cellStyle name="Comma 15 2 2 2 2 4" xfId="10462"/>
    <cellStyle name="Comma 15 2 2 2 3" xfId="3068"/>
    <cellStyle name="Comma 15 2 2 2 3 2" xfId="7294"/>
    <cellStyle name="Comma 15 2 2 2 3 2 2" xfId="15742"/>
    <cellStyle name="Comma 15 2 2 2 3 3" xfId="11518"/>
    <cellStyle name="Comma 15 2 2 2 4" xfId="5182"/>
    <cellStyle name="Comma 15 2 2 2 4 2" xfId="13630"/>
    <cellStyle name="Comma 15 2 2 2 5" xfId="9406"/>
    <cellStyle name="Comma 15 2 2 3" xfId="1660"/>
    <cellStyle name="Comma 15 2 2 3 2" xfId="3772"/>
    <cellStyle name="Comma 15 2 2 3 2 2" xfId="7998"/>
    <cellStyle name="Comma 15 2 2 3 2 2 2" xfId="16446"/>
    <cellStyle name="Comma 15 2 2 3 2 3" xfId="12222"/>
    <cellStyle name="Comma 15 2 2 3 3" xfId="5886"/>
    <cellStyle name="Comma 15 2 2 3 3 2" xfId="14334"/>
    <cellStyle name="Comma 15 2 2 3 4" xfId="10110"/>
    <cellStyle name="Comma 15 2 2 4" xfId="2716"/>
    <cellStyle name="Comma 15 2 2 4 2" xfId="6942"/>
    <cellStyle name="Comma 15 2 2 4 2 2" xfId="15390"/>
    <cellStyle name="Comma 15 2 2 4 3" xfId="11166"/>
    <cellStyle name="Comma 15 2 2 5" xfId="4830"/>
    <cellStyle name="Comma 15 2 2 5 2" xfId="13278"/>
    <cellStyle name="Comma 15 2 2 6" xfId="9054"/>
    <cellStyle name="Comma 15 2 3" xfId="774"/>
    <cellStyle name="Comma 15 2 3 2" xfId="1836"/>
    <cellStyle name="Comma 15 2 3 2 2" xfId="3948"/>
    <cellStyle name="Comma 15 2 3 2 2 2" xfId="8174"/>
    <cellStyle name="Comma 15 2 3 2 2 2 2" xfId="16622"/>
    <cellStyle name="Comma 15 2 3 2 2 3" xfId="12398"/>
    <cellStyle name="Comma 15 2 3 2 3" xfId="6062"/>
    <cellStyle name="Comma 15 2 3 2 3 2" xfId="14510"/>
    <cellStyle name="Comma 15 2 3 2 4" xfId="10286"/>
    <cellStyle name="Comma 15 2 3 3" xfId="2892"/>
    <cellStyle name="Comma 15 2 3 3 2" xfId="7118"/>
    <cellStyle name="Comma 15 2 3 3 2 2" xfId="15566"/>
    <cellStyle name="Comma 15 2 3 3 3" xfId="11342"/>
    <cellStyle name="Comma 15 2 3 4" xfId="5006"/>
    <cellStyle name="Comma 15 2 3 4 2" xfId="13454"/>
    <cellStyle name="Comma 15 2 3 5" xfId="9230"/>
    <cellStyle name="Comma 15 2 4" xfId="1126"/>
    <cellStyle name="Comma 15 2 4 2" xfId="2188"/>
    <cellStyle name="Comma 15 2 4 2 2" xfId="4300"/>
    <cellStyle name="Comma 15 2 4 2 2 2" xfId="8526"/>
    <cellStyle name="Comma 15 2 4 2 2 2 2" xfId="16974"/>
    <cellStyle name="Comma 15 2 4 2 2 3" xfId="12750"/>
    <cellStyle name="Comma 15 2 4 2 3" xfId="6414"/>
    <cellStyle name="Comma 15 2 4 2 3 2" xfId="14862"/>
    <cellStyle name="Comma 15 2 4 2 4" xfId="10638"/>
    <cellStyle name="Comma 15 2 4 3" xfId="3244"/>
    <cellStyle name="Comma 15 2 4 3 2" xfId="7470"/>
    <cellStyle name="Comma 15 2 4 3 2 2" xfId="15918"/>
    <cellStyle name="Comma 15 2 4 3 3" xfId="11694"/>
    <cellStyle name="Comma 15 2 4 4" xfId="5358"/>
    <cellStyle name="Comma 15 2 4 4 2" xfId="13806"/>
    <cellStyle name="Comma 15 2 4 5" xfId="9582"/>
    <cellStyle name="Comma 15 2 5" xfId="1308"/>
    <cellStyle name="Comma 15 2 5 2" xfId="2364"/>
    <cellStyle name="Comma 15 2 5 2 2" xfId="4476"/>
    <cellStyle name="Comma 15 2 5 2 2 2" xfId="8702"/>
    <cellStyle name="Comma 15 2 5 2 2 2 2" xfId="17150"/>
    <cellStyle name="Comma 15 2 5 2 2 3" xfId="12926"/>
    <cellStyle name="Comma 15 2 5 2 3" xfId="6590"/>
    <cellStyle name="Comma 15 2 5 2 3 2" xfId="15038"/>
    <cellStyle name="Comma 15 2 5 2 4" xfId="10814"/>
    <cellStyle name="Comma 15 2 5 3" xfId="3420"/>
    <cellStyle name="Comma 15 2 5 3 2" xfId="7646"/>
    <cellStyle name="Comma 15 2 5 3 2 2" xfId="16094"/>
    <cellStyle name="Comma 15 2 5 3 3" xfId="11870"/>
    <cellStyle name="Comma 15 2 5 4" xfId="5534"/>
    <cellStyle name="Comma 15 2 5 4 2" xfId="13982"/>
    <cellStyle name="Comma 15 2 5 5" xfId="9758"/>
    <cellStyle name="Comma 15 2 6" xfId="1484"/>
    <cellStyle name="Comma 15 2 6 2" xfId="3596"/>
    <cellStyle name="Comma 15 2 6 2 2" xfId="7822"/>
    <cellStyle name="Comma 15 2 6 2 2 2" xfId="16270"/>
    <cellStyle name="Comma 15 2 6 2 3" xfId="12046"/>
    <cellStyle name="Comma 15 2 6 3" xfId="5710"/>
    <cellStyle name="Comma 15 2 6 3 2" xfId="14158"/>
    <cellStyle name="Comma 15 2 6 4" xfId="9934"/>
    <cellStyle name="Comma 15 2 7" xfId="2540"/>
    <cellStyle name="Comma 15 2 7 2" xfId="6766"/>
    <cellStyle name="Comma 15 2 7 2 2" xfId="15214"/>
    <cellStyle name="Comma 15 2 7 3" xfId="10990"/>
    <cellStyle name="Comma 15 2 8" xfId="4653"/>
    <cellStyle name="Comma 15 2 8 2" xfId="13102"/>
    <cellStyle name="Comma 15 2 9" xfId="8878"/>
    <cellStyle name="Comma 15 3" xfId="103"/>
    <cellStyle name="Comma 15 3 2" xfId="597"/>
    <cellStyle name="Comma 15 3 2 2" xfId="951"/>
    <cellStyle name="Comma 15 3 2 2 2" xfId="2013"/>
    <cellStyle name="Comma 15 3 2 2 2 2" xfId="4125"/>
    <cellStyle name="Comma 15 3 2 2 2 2 2" xfId="8351"/>
    <cellStyle name="Comma 15 3 2 2 2 2 2 2" xfId="16799"/>
    <cellStyle name="Comma 15 3 2 2 2 2 3" xfId="12575"/>
    <cellStyle name="Comma 15 3 2 2 2 3" xfId="6239"/>
    <cellStyle name="Comma 15 3 2 2 2 3 2" xfId="14687"/>
    <cellStyle name="Comma 15 3 2 2 2 4" xfId="10463"/>
    <cellStyle name="Comma 15 3 2 2 3" xfId="3069"/>
    <cellStyle name="Comma 15 3 2 2 3 2" xfId="7295"/>
    <cellStyle name="Comma 15 3 2 2 3 2 2" xfId="15743"/>
    <cellStyle name="Comma 15 3 2 2 3 3" xfId="11519"/>
    <cellStyle name="Comma 15 3 2 2 4" xfId="5183"/>
    <cellStyle name="Comma 15 3 2 2 4 2" xfId="13631"/>
    <cellStyle name="Comma 15 3 2 2 5" xfId="9407"/>
    <cellStyle name="Comma 15 3 2 3" xfId="1661"/>
    <cellStyle name="Comma 15 3 2 3 2" xfId="3773"/>
    <cellStyle name="Comma 15 3 2 3 2 2" xfId="7999"/>
    <cellStyle name="Comma 15 3 2 3 2 2 2" xfId="16447"/>
    <cellStyle name="Comma 15 3 2 3 2 3" xfId="12223"/>
    <cellStyle name="Comma 15 3 2 3 3" xfId="5887"/>
    <cellStyle name="Comma 15 3 2 3 3 2" xfId="14335"/>
    <cellStyle name="Comma 15 3 2 3 4" xfId="10111"/>
    <cellStyle name="Comma 15 3 2 4" xfId="2717"/>
    <cellStyle name="Comma 15 3 2 4 2" xfId="6943"/>
    <cellStyle name="Comma 15 3 2 4 2 2" xfId="15391"/>
    <cellStyle name="Comma 15 3 2 4 3" xfId="11167"/>
    <cellStyle name="Comma 15 3 2 5" xfId="4831"/>
    <cellStyle name="Comma 15 3 2 5 2" xfId="13279"/>
    <cellStyle name="Comma 15 3 2 6" xfId="9055"/>
    <cellStyle name="Comma 15 3 3" xfId="775"/>
    <cellStyle name="Comma 15 3 3 2" xfId="1837"/>
    <cellStyle name="Comma 15 3 3 2 2" xfId="3949"/>
    <cellStyle name="Comma 15 3 3 2 2 2" xfId="8175"/>
    <cellStyle name="Comma 15 3 3 2 2 2 2" xfId="16623"/>
    <cellStyle name="Comma 15 3 3 2 2 3" xfId="12399"/>
    <cellStyle name="Comma 15 3 3 2 3" xfId="6063"/>
    <cellStyle name="Comma 15 3 3 2 3 2" xfId="14511"/>
    <cellStyle name="Comma 15 3 3 2 4" xfId="10287"/>
    <cellStyle name="Comma 15 3 3 3" xfId="2893"/>
    <cellStyle name="Comma 15 3 3 3 2" xfId="7119"/>
    <cellStyle name="Comma 15 3 3 3 2 2" xfId="15567"/>
    <cellStyle name="Comma 15 3 3 3 3" xfId="11343"/>
    <cellStyle name="Comma 15 3 3 4" xfId="5007"/>
    <cellStyle name="Comma 15 3 3 4 2" xfId="13455"/>
    <cellStyle name="Comma 15 3 3 5" xfId="9231"/>
    <cellStyle name="Comma 15 3 4" xfId="1127"/>
    <cellStyle name="Comma 15 3 4 2" xfId="2189"/>
    <cellStyle name="Comma 15 3 4 2 2" xfId="4301"/>
    <cellStyle name="Comma 15 3 4 2 2 2" xfId="8527"/>
    <cellStyle name="Comma 15 3 4 2 2 2 2" xfId="16975"/>
    <cellStyle name="Comma 15 3 4 2 2 3" xfId="12751"/>
    <cellStyle name="Comma 15 3 4 2 3" xfId="6415"/>
    <cellStyle name="Comma 15 3 4 2 3 2" xfId="14863"/>
    <cellStyle name="Comma 15 3 4 2 4" xfId="10639"/>
    <cellStyle name="Comma 15 3 4 3" xfId="3245"/>
    <cellStyle name="Comma 15 3 4 3 2" xfId="7471"/>
    <cellStyle name="Comma 15 3 4 3 2 2" xfId="15919"/>
    <cellStyle name="Comma 15 3 4 3 3" xfId="11695"/>
    <cellStyle name="Comma 15 3 4 4" xfId="5359"/>
    <cellStyle name="Comma 15 3 4 4 2" xfId="13807"/>
    <cellStyle name="Comma 15 3 4 5" xfId="9583"/>
    <cellStyle name="Comma 15 3 5" xfId="1309"/>
    <cellStyle name="Comma 15 3 5 2" xfId="2365"/>
    <cellStyle name="Comma 15 3 5 2 2" xfId="4477"/>
    <cellStyle name="Comma 15 3 5 2 2 2" xfId="8703"/>
    <cellStyle name="Comma 15 3 5 2 2 2 2" xfId="17151"/>
    <cellStyle name="Comma 15 3 5 2 2 3" xfId="12927"/>
    <cellStyle name="Comma 15 3 5 2 3" xfId="6591"/>
    <cellStyle name="Comma 15 3 5 2 3 2" xfId="15039"/>
    <cellStyle name="Comma 15 3 5 2 4" xfId="10815"/>
    <cellStyle name="Comma 15 3 5 3" xfId="3421"/>
    <cellStyle name="Comma 15 3 5 3 2" xfId="7647"/>
    <cellStyle name="Comma 15 3 5 3 2 2" xfId="16095"/>
    <cellStyle name="Comma 15 3 5 3 3" xfId="11871"/>
    <cellStyle name="Comma 15 3 5 4" xfId="5535"/>
    <cellStyle name="Comma 15 3 5 4 2" xfId="13983"/>
    <cellStyle name="Comma 15 3 5 5" xfId="9759"/>
    <cellStyle name="Comma 15 3 6" xfId="1485"/>
    <cellStyle name="Comma 15 3 6 2" xfId="3597"/>
    <cellStyle name="Comma 15 3 6 2 2" xfId="7823"/>
    <cellStyle name="Comma 15 3 6 2 2 2" xfId="16271"/>
    <cellStyle name="Comma 15 3 6 2 3" xfId="12047"/>
    <cellStyle name="Comma 15 3 6 3" xfId="5711"/>
    <cellStyle name="Comma 15 3 6 3 2" xfId="14159"/>
    <cellStyle name="Comma 15 3 6 4" xfId="9935"/>
    <cellStyle name="Comma 15 3 7" xfId="2541"/>
    <cellStyle name="Comma 15 3 7 2" xfId="6767"/>
    <cellStyle name="Comma 15 3 7 2 2" xfId="15215"/>
    <cellStyle name="Comma 15 3 7 3" xfId="10991"/>
    <cellStyle name="Comma 15 3 8" xfId="4654"/>
    <cellStyle name="Comma 15 3 8 2" xfId="13103"/>
    <cellStyle name="Comma 15 3 9" xfId="8879"/>
    <cellStyle name="Comma 15 4" xfId="595"/>
    <cellStyle name="Comma 15 4 2" xfId="949"/>
    <cellStyle name="Comma 15 4 2 2" xfId="2011"/>
    <cellStyle name="Comma 15 4 2 2 2" xfId="4123"/>
    <cellStyle name="Comma 15 4 2 2 2 2" xfId="8349"/>
    <cellStyle name="Comma 15 4 2 2 2 2 2" xfId="16797"/>
    <cellStyle name="Comma 15 4 2 2 2 3" xfId="12573"/>
    <cellStyle name="Comma 15 4 2 2 3" xfId="6237"/>
    <cellStyle name="Comma 15 4 2 2 3 2" xfId="14685"/>
    <cellStyle name="Comma 15 4 2 2 4" xfId="10461"/>
    <cellStyle name="Comma 15 4 2 3" xfId="3067"/>
    <cellStyle name="Comma 15 4 2 3 2" xfId="7293"/>
    <cellStyle name="Comma 15 4 2 3 2 2" xfId="15741"/>
    <cellStyle name="Comma 15 4 2 3 3" xfId="11517"/>
    <cellStyle name="Comma 15 4 2 4" xfId="5181"/>
    <cellStyle name="Comma 15 4 2 4 2" xfId="13629"/>
    <cellStyle name="Comma 15 4 2 5" xfId="9405"/>
    <cellStyle name="Comma 15 4 3" xfId="1659"/>
    <cellStyle name="Comma 15 4 3 2" xfId="3771"/>
    <cellStyle name="Comma 15 4 3 2 2" xfId="7997"/>
    <cellStyle name="Comma 15 4 3 2 2 2" xfId="16445"/>
    <cellStyle name="Comma 15 4 3 2 3" xfId="12221"/>
    <cellStyle name="Comma 15 4 3 3" xfId="5885"/>
    <cellStyle name="Comma 15 4 3 3 2" xfId="14333"/>
    <cellStyle name="Comma 15 4 3 4" xfId="10109"/>
    <cellStyle name="Comma 15 4 4" xfId="2715"/>
    <cellStyle name="Comma 15 4 4 2" xfId="6941"/>
    <cellStyle name="Comma 15 4 4 2 2" xfId="15389"/>
    <cellStyle name="Comma 15 4 4 3" xfId="11165"/>
    <cellStyle name="Comma 15 4 5" xfId="4829"/>
    <cellStyle name="Comma 15 4 5 2" xfId="13277"/>
    <cellStyle name="Comma 15 4 6" xfId="9053"/>
    <cellStyle name="Comma 15 5" xfId="773"/>
    <cellStyle name="Comma 15 5 2" xfId="1835"/>
    <cellStyle name="Comma 15 5 2 2" xfId="3947"/>
    <cellStyle name="Comma 15 5 2 2 2" xfId="8173"/>
    <cellStyle name="Comma 15 5 2 2 2 2" xfId="16621"/>
    <cellStyle name="Comma 15 5 2 2 3" xfId="12397"/>
    <cellStyle name="Comma 15 5 2 3" xfId="6061"/>
    <cellStyle name="Comma 15 5 2 3 2" xfId="14509"/>
    <cellStyle name="Comma 15 5 2 4" xfId="10285"/>
    <cellStyle name="Comma 15 5 3" xfId="2891"/>
    <cellStyle name="Comma 15 5 3 2" xfId="7117"/>
    <cellStyle name="Comma 15 5 3 2 2" xfId="15565"/>
    <cellStyle name="Comma 15 5 3 3" xfId="11341"/>
    <cellStyle name="Comma 15 5 4" xfId="5005"/>
    <cellStyle name="Comma 15 5 4 2" xfId="13453"/>
    <cellStyle name="Comma 15 5 5" xfId="9229"/>
    <cellStyle name="Comma 15 6" xfId="1125"/>
    <cellStyle name="Comma 15 6 2" xfId="2187"/>
    <cellStyle name="Comma 15 6 2 2" xfId="4299"/>
    <cellStyle name="Comma 15 6 2 2 2" xfId="8525"/>
    <cellStyle name="Comma 15 6 2 2 2 2" xfId="16973"/>
    <cellStyle name="Comma 15 6 2 2 3" xfId="12749"/>
    <cellStyle name="Comma 15 6 2 3" xfId="6413"/>
    <cellStyle name="Comma 15 6 2 3 2" xfId="14861"/>
    <cellStyle name="Comma 15 6 2 4" xfId="10637"/>
    <cellStyle name="Comma 15 6 3" xfId="3243"/>
    <cellStyle name="Comma 15 6 3 2" xfId="7469"/>
    <cellStyle name="Comma 15 6 3 2 2" xfId="15917"/>
    <cellStyle name="Comma 15 6 3 3" xfId="11693"/>
    <cellStyle name="Comma 15 6 4" xfId="5357"/>
    <cellStyle name="Comma 15 6 4 2" xfId="13805"/>
    <cellStyle name="Comma 15 6 5" xfId="9581"/>
    <cellStyle name="Comma 15 7" xfId="1307"/>
    <cellStyle name="Comma 15 7 2" xfId="2363"/>
    <cellStyle name="Comma 15 7 2 2" xfId="4475"/>
    <cellStyle name="Comma 15 7 2 2 2" xfId="8701"/>
    <cellStyle name="Comma 15 7 2 2 2 2" xfId="17149"/>
    <cellStyle name="Comma 15 7 2 2 3" xfId="12925"/>
    <cellStyle name="Comma 15 7 2 3" xfId="6589"/>
    <cellStyle name="Comma 15 7 2 3 2" xfId="15037"/>
    <cellStyle name="Comma 15 7 2 4" xfId="10813"/>
    <cellStyle name="Comma 15 7 3" xfId="3419"/>
    <cellStyle name="Comma 15 7 3 2" xfId="7645"/>
    <cellStyle name="Comma 15 7 3 2 2" xfId="16093"/>
    <cellStyle name="Comma 15 7 3 3" xfId="11869"/>
    <cellStyle name="Comma 15 7 4" xfId="5533"/>
    <cellStyle name="Comma 15 7 4 2" xfId="13981"/>
    <cellStyle name="Comma 15 7 5" xfId="9757"/>
    <cellStyle name="Comma 15 8" xfId="1483"/>
    <cellStyle name="Comma 15 8 2" xfId="3595"/>
    <cellStyle name="Comma 15 8 2 2" xfId="7821"/>
    <cellStyle name="Comma 15 8 2 2 2" xfId="16269"/>
    <cellStyle name="Comma 15 8 2 3" xfId="12045"/>
    <cellStyle name="Comma 15 8 3" xfId="5709"/>
    <cellStyle name="Comma 15 8 3 2" xfId="14157"/>
    <cellStyle name="Comma 15 8 4" xfId="9933"/>
    <cellStyle name="Comma 15 9" xfId="2539"/>
    <cellStyle name="Comma 15 9 2" xfId="6765"/>
    <cellStyle name="Comma 15 9 2 2" xfId="15213"/>
    <cellStyle name="Comma 15 9 3" xfId="10989"/>
    <cellStyle name="Comma 16" xfId="104"/>
    <cellStyle name="Comma 16 2" xfId="17416"/>
    <cellStyle name="Comma 17" xfId="105"/>
    <cellStyle name="Comma 17 2" xfId="17445"/>
    <cellStyle name="Comma 18" xfId="106"/>
    <cellStyle name="Comma 18 10" xfId="4655"/>
    <cellStyle name="Comma 18 10 2" xfId="13104"/>
    <cellStyle name="Comma 18 11" xfId="8880"/>
    <cellStyle name="Comma 18 12" xfId="17384"/>
    <cellStyle name="Comma 18 2" xfId="107"/>
    <cellStyle name="Comma 18 2 2" xfId="599"/>
    <cellStyle name="Comma 18 2 2 2" xfId="953"/>
    <cellStyle name="Comma 18 2 2 2 2" xfId="2015"/>
    <cellStyle name="Comma 18 2 2 2 2 2" xfId="4127"/>
    <cellStyle name="Comma 18 2 2 2 2 2 2" xfId="8353"/>
    <cellStyle name="Comma 18 2 2 2 2 2 2 2" xfId="16801"/>
    <cellStyle name="Comma 18 2 2 2 2 2 3" xfId="12577"/>
    <cellStyle name="Comma 18 2 2 2 2 3" xfId="6241"/>
    <cellStyle name="Comma 18 2 2 2 2 3 2" xfId="14689"/>
    <cellStyle name="Comma 18 2 2 2 2 4" xfId="10465"/>
    <cellStyle name="Comma 18 2 2 2 3" xfId="3071"/>
    <cellStyle name="Comma 18 2 2 2 3 2" xfId="7297"/>
    <cellStyle name="Comma 18 2 2 2 3 2 2" xfId="15745"/>
    <cellStyle name="Comma 18 2 2 2 3 3" xfId="11521"/>
    <cellStyle name="Comma 18 2 2 2 4" xfId="5185"/>
    <cellStyle name="Comma 18 2 2 2 4 2" xfId="13633"/>
    <cellStyle name="Comma 18 2 2 2 5" xfId="9409"/>
    <cellStyle name="Comma 18 2 2 3" xfId="1663"/>
    <cellStyle name="Comma 18 2 2 3 2" xfId="3775"/>
    <cellStyle name="Comma 18 2 2 3 2 2" xfId="8001"/>
    <cellStyle name="Comma 18 2 2 3 2 2 2" xfId="16449"/>
    <cellStyle name="Comma 18 2 2 3 2 3" xfId="12225"/>
    <cellStyle name="Comma 18 2 2 3 3" xfId="5889"/>
    <cellStyle name="Comma 18 2 2 3 3 2" xfId="14337"/>
    <cellStyle name="Comma 18 2 2 3 4" xfId="10113"/>
    <cellStyle name="Comma 18 2 2 4" xfId="2719"/>
    <cellStyle name="Comma 18 2 2 4 2" xfId="6945"/>
    <cellStyle name="Comma 18 2 2 4 2 2" xfId="15393"/>
    <cellStyle name="Comma 18 2 2 4 3" xfId="11169"/>
    <cellStyle name="Comma 18 2 2 5" xfId="4833"/>
    <cellStyle name="Comma 18 2 2 5 2" xfId="13281"/>
    <cellStyle name="Comma 18 2 2 6" xfId="9057"/>
    <cellStyle name="Comma 18 2 3" xfId="777"/>
    <cellStyle name="Comma 18 2 3 2" xfId="1839"/>
    <cellStyle name="Comma 18 2 3 2 2" xfId="3951"/>
    <cellStyle name="Comma 18 2 3 2 2 2" xfId="8177"/>
    <cellStyle name="Comma 18 2 3 2 2 2 2" xfId="16625"/>
    <cellStyle name="Comma 18 2 3 2 2 3" xfId="12401"/>
    <cellStyle name="Comma 18 2 3 2 3" xfId="6065"/>
    <cellStyle name="Comma 18 2 3 2 3 2" xfId="14513"/>
    <cellStyle name="Comma 18 2 3 2 4" xfId="10289"/>
    <cellStyle name="Comma 18 2 3 3" xfId="2895"/>
    <cellStyle name="Comma 18 2 3 3 2" xfId="7121"/>
    <cellStyle name="Comma 18 2 3 3 2 2" xfId="15569"/>
    <cellStyle name="Comma 18 2 3 3 3" xfId="11345"/>
    <cellStyle name="Comma 18 2 3 4" xfId="5009"/>
    <cellStyle name="Comma 18 2 3 4 2" xfId="13457"/>
    <cellStyle name="Comma 18 2 3 5" xfId="9233"/>
    <cellStyle name="Comma 18 2 4" xfId="1129"/>
    <cellStyle name="Comma 18 2 4 2" xfId="2191"/>
    <cellStyle name="Comma 18 2 4 2 2" xfId="4303"/>
    <cellStyle name="Comma 18 2 4 2 2 2" xfId="8529"/>
    <cellStyle name="Comma 18 2 4 2 2 2 2" xfId="16977"/>
    <cellStyle name="Comma 18 2 4 2 2 3" xfId="12753"/>
    <cellStyle name="Comma 18 2 4 2 3" xfId="6417"/>
    <cellStyle name="Comma 18 2 4 2 3 2" xfId="14865"/>
    <cellStyle name="Comma 18 2 4 2 4" xfId="10641"/>
    <cellStyle name="Comma 18 2 4 3" xfId="3247"/>
    <cellStyle name="Comma 18 2 4 3 2" xfId="7473"/>
    <cellStyle name="Comma 18 2 4 3 2 2" xfId="15921"/>
    <cellStyle name="Comma 18 2 4 3 3" xfId="11697"/>
    <cellStyle name="Comma 18 2 4 4" xfId="5361"/>
    <cellStyle name="Comma 18 2 4 4 2" xfId="13809"/>
    <cellStyle name="Comma 18 2 4 5" xfId="9585"/>
    <cellStyle name="Comma 18 2 5" xfId="1311"/>
    <cellStyle name="Comma 18 2 5 2" xfId="2367"/>
    <cellStyle name="Comma 18 2 5 2 2" xfId="4479"/>
    <cellStyle name="Comma 18 2 5 2 2 2" xfId="8705"/>
    <cellStyle name="Comma 18 2 5 2 2 2 2" xfId="17153"/>
    <cellStyle name="Comma 18 2 5 2 2 3" xfId="12929"/>
    <cellStyle name="Comma 18 2 5 2 3" xfId="6593"/>
    <cellStyle name="Comma 18 2 5 2 3 2" xfId="15041"/>
    <cellStyle name="Comma 18 2 5 2 4" xfId="10817"/>
    <cellStyle name="Comma 18 2 5 3" xfId="3423"/>
    <cellStyle name="Comma 18 2 5 3 2" xfId="7649"/>
    <cellStyle name="Comma 18 2 5 3 2 2" xfId="16097"/>
    <cellStyle name="Comma 18 2 5 3 3" xfId="11873"/>
    <cellStyle name="Comma 18 2 5 4" xfId="5537"/>
    <cellStyle name="Comma 18 2 5 4 2" xfId="13985"/>
    <cellStyle name="Comma 18 2 5 5" xfId="9761"/>
    <cellStyle name="Comma 18 2 6" xfId="1487"/>
    <cellStyle name="Comma 18 2 6 2" xfId="3599"/>
    <cellStyle name="Comma 18 2 6 2 2" xfId="7825"/>
    <cellStyle name="Comma 18 2 6 2 2 2" xfId="16273"/>
    <cellStyle name="Comma 18 2 6 2 3" xfId="12049"/>
    <cellStyle name="Comma 18 2 6 3" xfId="5713"/>
    <cellStyle name="Comma 18 2 6 3 2" xfId="14161"/>
    <cellStyle name="Comma 18 2 6 4" xfId="9937"/>
    <cellStyle name="Comma 18 2 7" xfId="2543"/>
    <cellStyle name="Comma 18 2 7 2" xfId="6769"/>
    <cellStyle name="Comma 18 2 7 2 2" xfId="15217"/>
    <cellStyle name="Comma 18 2 7 3" xfId="10993"/>
    <cellStyle name="Comma 18 2 8" xfId="4656"/>
    <cellStyle name="Comma 18 2 8 2" xfId="13105"/>
    <cellStyle name="Comma 18 2 9" xfId="8881"/>
    <cellStyle name="Comma 18 3" xfId="108"/>
    <cellStyle name="Comma 18 3 2" xfId="600"/>
    <cellStyle name="Comma 18 3 2 2" xfId="954"/>
    <cellStyle name="Comma 18 3 2 2 2" xfId="2016"/>
    <cellStyle name="Comma 18 3 2 2 2 2" xfId="4128"/>
    <cellStyle name="Comma 18 3 2 2 2 2 2" xfId="8354"/>
    <cellStyle name="Comma 18 3 2 2 2 2 2 2" xfId="16802"/>
    <cellStyle name="Comma 18 3 2 2 2 2 3" xfId="12578"/>
    <cellStyle name="Comma 18 3 2 2 2 3" xfId="6242"/>
    <cellStyle name="Comma 18 3 2 2 2 3 2" xfId="14690"/>
    <cellStyle name="Comma 18 3 2 2 2 4" xfId="10466"/>
    <cellStyle name="Comma 18 3 2 2 3" xfId="3072"/>
    <cellStyle name="Comma 18 3 2 2 3 2" xfId="7298"/>
    <cellStyle name="Comma 18 3 2 2 3 2 2" xfId="15746"/>
    <cellStyle name="Comma 18 3 2 2 3 3" xfId="11522"/>
    <cellStyle name="Comma 18 3 2 2 4" xfId="5186"/>
    <cellStyle name="Comma 18 3 2 2 4 2" xfId="13634"/>
    <cellStyle name="Comma 18 3 2 2 5" xfId="9410"/>
    <cellStyle name="Comma 18 3 2 3" xfId="1664"/>
    <cellStyle name="Comma 18 3 2 3 2" xfId="3776"/>
    <cellStyle name="Comma 18 3 2 3 2 2" xfId="8002"/>
    <cellStyle name="Comma 18 3 2 3 2 2 2" xfId="16450"/>
    <cellStyle name="Comma 18 3 2 3 2 3" xfId="12226"/>
    <cellStyle name="Comma 18 3 2 3 3" xfId="5890"/>
    <cellStyle name="Comma 18 3 2 3 3 2" xfId="14338"/>
    <cellStyle name="Comma 18 3 2 3 4" xfId="10114"/>
    <cellStyle name="Comma 18 3 2 4" xfId="2720"/>
    <cellStyle name="Comma 18 3 2 4 2" xfId="6946"/>
    <cellStyle name="Comma 18 3 2 4 2 2" xfId="15394"/>
    <cellStyle name="Comma 18 3 2 4 3" xfId="11170"/>
    <cellStyle name="Comma 18 3 2 5" xfId="4834"/>
    <cellStyle name="Comma 18 3 2 5 2" xfId="13282"/>
    <cellStyle name="Comma 18 3 2 6" xfId="9058"/>
    <cellStyle name="Comma 18 3 3" xfId="778"/>
    <cellStyle name="Comma 18 3 3 2" xfId="1840"/>
    <cellStyle name="Comma 18 3 3 2 2" xfId="3952"/>
    <cellStyle name="Comma 18 3 3 2 2 2" xfId="8178"/>
    <cellStyle name="Comma 18 3 3 2 2 2 2" xfId="16626"/>
    <cellStyle name="Comma 18 3 3 2 2 3" xfId="12402"/>
    <cellStyle name="Comma 18 3 3 2 3" xfId="6066"/>
    <cellStyle name="Comma 18 3 3 2 3 2" xfId="14514"/>
    <cellStyle name="Comma 18 3 3 2 4" xfId="10290"/>
    <cellStyle name="Comma 18 3 3 3" xfId="2896"/>
    <cellStyle name="Comma 18 3 3 3 2" xfId="7122"/>
    <cellStyle name="Comma 18 3 3 3 2 2" xfId="15570"/>
    <cellStyle name="Comma 18 3 3 3 3" xfId="11346"/>
    <cellStyle name="Comma 18 3 3 4" xfId="5010"/>
    <cellStyle name="Comma 18 3 3 4 2" xfId="13458"/>
    <cellStyle name="Comma 18 3 3 5" xfId="9234"/>
    <cellStyle name="Comma 18 3 4" xfId="1130"/>
    <cellStyle name="Comma 18 3 4 2" xfId="2192"/>
    <cellStyle name="Comma 18 3 4 2 2" xfId="4304"/>
    <cellStyle name="Comma 18 3 4 2 2 2" xfId="8530"/>
    <cellStyle name="Comma 18 3 4 2 2 2 2" xfId="16978"/>
    <cellStyle name="Comma 18 3 4 2 2 3" xfId="12754"/>
    <cellStyle name="Comma 18 3 4 2 3" xfId="6418"/>
    <cellStyle name="Comma 18 3 4 2 3 2" xfId="14866"/>
    <cellStyle name="Comma 18 3 4 2 4" xfId="10642"/>
    <cellStyle name="Comma 18 3 4 3" xfId="3248"/>
    <cellStyle name="Comma 18 3 4 3 2" xfId="7474"/>
    <cellStyle name="Comma 18 3 4 3 2 2" xfId="15922"/>
    <cellStyle name="Comma 18 3 4 3 3" xfId="11698"/>
    <cellStyle name="Comma 18 3 4 4" xfId="5362"/>
    <cellStyle name="Comma 18 3 4 4 2" xfId="13810"/>
    <cellStyle name="Comma 18 3 4 5" xfId="9586"/>
    <cellStyle name="Comma 18 3 5" xfId="1312"/>
    <cellStyle name="Comma 18 3 5 2" xfId="2368"/>
    <cellStyle name="Comma 18 3 5 2 2" xfId="4480"/>
    <cellStyle name="Comma 18 3 5 2 2 2" xfId="8706"/>
    <cellStyle name="Comma 18 3 5 2 2 2 2" xfId="17154"/>
    <cellStyle name="Comma 18 3 5 2 2 3" xfId="12930"/>
    <cellStyle name="Comma 18 3 5 2 3" xfId="6594"/>
    <cellStyle name="Comma 18 3 5 2 3 2" xfId="15042"/>
    <cellStyle name="Comma 18 3 5 2 4" xfId="10818"/>
    <cellStyle name="Comma 18 3 5 3" xfId="3424"/>
    <cellStyle name="Comma 18 3 5 3 2" xfId="7650"/>
    <cellStyle name="Comma 18 3 5 3 2 2" xfId="16098"/>
    <cellStyle name="Comma 18 3 5 3 3" xfId="11874"/>
    <cellStyle name="Comma 18 3 5 4" xfId="5538"/>
    <cellStyle name="Comma 18 3 5 4 2" xfId="13986"/>
    <cellStyle name="Comma 18 3 5 5" xfId="9762"/>
    <cellStyle name="Comma 18 3 6" xfId="1488"/>
    <cellStyle name="Comma 18 3 6 2" xfId="3600"/>
    <cellStyle name="Comma 18 3 6 2 2" xfId="7826"/>
    <cellStyle name="Comma 18 3 6 2 2 2" xfId="16274"/>
    <cellStyle name="Comma 18 3 6 2 3" xfId="12050"/>
    <cellStyle name="Comma 18 3 6 3" xfId="5714"/>
    <cellStyle name="Comma 18 3 6 3 2" xfId="14162"/>
    <cellStyle name="Comma 18 3 6 4" xfId="9938"/>
    <cellStyle name="Comma 18 3 7" xfId="2544"/>
    <cellStyle name="Comma 18 3 7 2" xfId="6770"/>
    <cellStyle name="Comma 18 3 7 2 2" xfId="15218"/>
    <cellStyle name="Comma 18 3 7 3" xfId="10994"/>
    <cellStyle name="Comma 18 3 8" xfId="4657"/>
    <cellStyle name="Comma 18 3 8 2" xfId="13106"/>
    <cellStyle name="Comma 18 3 9" xfId="8882"/>
    <cellStyle name="Comma 18 4" xfId="598"/>
    <cellStyle name="Comma 18 4 2" xfId="952"/>
    <cellStyle name="Comma 18 4 2 2" xfId="2014"/>
    <cellStyle name="Comma 18 4 2 2 2" xfId="4126"/>
    <cellStyle name="Comma 18 4 2 2 2 2" xfId="8352"/>
    <cellStyle name="Comma 18 4 2 2 2 2 2" xfId="16800"/>
    <cellStyle name="Comma 18 4 2 2 2 3" xfId="12576"/>
    <cellStyle name="Comma 18 4 2 2 3" xfId="6240"/>
    <cellStyle name="Comma 18 4 2 2 3 2" xfId="14688"/>
    <cellStyle name="Comma 18 4 2 2 4" xfId="10464"/>
    <cellStyle name="Comma 18 4 2 3" xfId="3070"/>
    <cellStyle name="Comma 18 4 2 3 2" xfId="7296"/>
    <cellStyle name="Comma 18 4 2 3 2 2" xfId="15744"/>
    <cellStyle name="Comma 18 4 2 3 3" xfId="11520"/>
    <cellStyle name="Comma 18 4 2 4" xfId="5184"/>
    <cellStyle name="Comma 18 4 2 4 2" xfId="13632"/>
    <cellStyle name="Comma 18 4 2 5" xfId="9408"/>
    <cellStyle name="Comma 18 4 3" xfId="1662"/>
    <cellStyle name="Comma 18 4 3 2" xfId="3774"/>
    <cellStyle name="Comma 18 4 3 2 2" xfId="8000"/>
    <cellStyle name="Comma 18 4 3 2 2 2" xfId="16448"/>
    <cellStyle name="Comma 18 4 3 2 3" xfId="12224"/>
    <cellStyle name="Comma 18 4 3 3" xfId="5888"/>
    <cellStyle name="Comma 18 4 3 3 2" xfId="14336"/>
    <cellStyle name="Comma 18 4 3 4" xfId="10112"/>
    <cellStyle name="Comma 18 4 4" xfId="2718"/>
    <cellStyle name="Comma 18 4 4 2" xfId="6944"/>
    <cellStyle name="Comma 18 4 4 2 2" xfId="15392"/>
    <cellStyle name="Comma 18 4 4 3" xfId="11168"/>
    <cellStyle name="Comma 18 4 5" xfId="4832"/>
    <cellStyle name="Comma 18 4 5 2" xfId="13280"/>
    <cellStyle name="Comma 18 4 6" xfId="9056"/>
    <cellStyle name="Comma 18 5" xfId="776"/>
    <cellStyle name="Comma 18 5 2" xfId="1838"/>
    <cellStyle name="Comma 18 5 2 2" xfId="3950"/>
    <cellStyle name="Comma 18 5 2 2 2" xfId="8176"/>
    <cellStyle name="Comma 18 5 2 2 2 2" xfId="16624"/>
    <cellStyle name="Comma 18 5 2 2 3" xfId="12400"/>
    <cellStyle name="Comma 18 5 2 3" xfId="6064"/>
    <cellStyle name="Comma 18 5 2 3 2" xfId="14512"/>
    <cellStyle name="Comma 18 5 2 4" xfId="10288"/>
    <cellStyle name="Comma 18 5 3" xfId="2894"/>
    <cellStyle name="Comma 18 5 3 2" xfId="7120"/>
    <cellStyle name="Comma 18 5 3 2 2" xfId="15568"/>
    <cellStyle name="Comma 18 5 3 3" xfId="11344"/>
    <cellStyle name="Comma 18 5 4" xfId="5008"/>
    <cellStyle name="Comma 18 5 4 2" xfId="13456"/>
    <cellStyle name="Comma 18 5 5" xfId="9232"/>
    <cellStyle name="Comma 18 6" xfId="1128"/>
    <cellStyle name="Comma 18 6 2" xfId="2190"/>
    <cellStyle name="Comma 18 6 2 2" xfId="4302"/>
    <cellStyle name="Comma 18 6 2 2 2" xfId="8528"/>
    <cellStyle name="Comma 18 6 2 2 2 2" xfId="16976"/>
    <cellStyle name="Comma 18 6 2 2 3" xfId="12752"/>
    <cellStyle name="Comma 18 6 2 3" xfId="6416"/>
    <cellStyle name="Comma 18 6 2 3 2" xfId="14864"/>
    <cellStyle name="Comma 18 6 2 4" xfId="10640"/>
    <cellStyle name="Comma 18 6 3" xfId="3246"/>
    <cellStyle name="Comma 18 6 3 2" xfId="7472"/>
    <cellStyle name="Comma 18 6 3 2 2" xfId="15920"/>
    <cellStyle name="Comma 18 6 3 3" xfId="11696"/>
    <cellStyle name="Comma 18 6 4" xfId="5360"/>
    <cellStyle name="Comma 18 6 4 2" xfId="13808"/>
    <cellStyle name="Comma 18 6 5" xfId="9584"/>
    <cellStyle name="Comma 18 7" xfId="1310"/>
    <cellStyle name="Comma 18 7 2" xfId="2366"/>
    <cellStyle name="Comma 18 7 2 2" xfId="4478"/>
    <cellStyle name="Comma 18 7 2 2 2" xfId="8704"/>
    <cellStyle name="Comma 18 7 2 2 2 2" xfId="17152"/>
    <cellStyle name="Comma 18 7 2 2 3" xfId="12928"/>
    <cellStyle name="Comma 18 7 2 3" xfId="6592"/>
    <cellStyle name="Comma 18 7 2 3 2" xfId="15040"/>
    <cellStyle name="Comma 18 7 2 4" xfId="10816"/>
    <cellStyle name="Comma 18 7 3" xfId="3422"/>
    <cellStyle name="Comma 18 7 3 2" xfId="7648"/>
    <cellStyle name="Comma 18 7 3 2 2" xfId="16096"/>
    <cellStyle name="Comma 18 7 3 3" xfId="11872"/>
    <cellStyle name="Comma 18 7 4" xfId="5536"/>
    <cellStyle name="Comma 18 7 4 2" xfId="13984"/>
    <cellStyle name="Comma 18 7 5" xfId="9760"/>
    <cellStyle name="Comma 18 8" xfId="1486"/>
    <cellStyle name="Comma 18 8 2" xfId="3598"/>
    <cellStyle name="Comma 18 8 2 2" xfId="7824"/>
    <cellStyle name="Comma 18 8 2 2 2" xfId="16272"/>
    <cellStyle name="Comma 18 8 2 3" xfId="12048"/>
    <cellStyle name="Comma 18 8 3" xfId="5712"/>
    <cellStyle name="Comma 18 8 3 2" xfId="14160"/>
    <cellStyle name="Comma 18 8 4" xfId="9936"/>
    <cellStyle name="Comma 18 9" xfId="2542"/>
    <cellStyle name="Comma 18 9 2" xfId="6768"/>
    <cellStyle name="Comma 18 9 2 2" xfId="15216"/>
    <cellStyle name="Comma 18 9 3" xfId="10992"/>
    <cellStyle name="Comma 19" xfId="109"/>
    <cellStyle name="Comma 19 10" xfId="4658"/>
    <cellStyle name="Comma 19 10 2" xfId="13107"/>
    <cellStyle name="Comma 19 11" xfId="8883"/>
    <cellStyle name="Comma 19 2" xfId="110"/>
    <cellStyle name="Comma 19 2 2" xfId="602"/>
    <cellStyle name="Comma 19 2 2 2" xfId="956"/>
    <cellStyle name="Comma 19 2 2 2 2" xfId="2018"/>
    <cellStyle name="Comma 19 2 2 2 2 2" xfId="4130"/>
    <cellStyle name="Comma 19 2 2 2 2 2 2" xfId="8356"/>
    <cellStyle name="Comma 19 2 2 2 2 2 2 2" xfId="16804"/>
    <cellStyle name="Comma 19 2 2 2 2 2 3" xfId="12580"/>
    <cellStyle name="Comma 19 2 2 2 2 3" xfId="6244"/>
    <cellStyle name="Comma 19 2 2 2 2 3 2" xfId="14692"/>
    <cellStyle name="Comma 19 2 2 2 2 4" xfId="10468"/>
    <cellStyle name="Comma 19 2 2 2 3" xfId="3074"/>
    <cellStyle name="Comma 19 2 2 2 3 2" xfId="7300"/>
    <cellStyle name="Comma 19 2 2 2 3 2 2" xfId="15748"/>
    <cellStyle name="Comma 19 2 2 2 3 3" xfId="11524"/>
    <cellStyle name="Comma 19 2 2 2 4" xfId="5188"/>
    <cellStyle name="Comma 19 2 2 2 4 2" xfId="13636"/>
    <cellStyle name="Comma 19 2 2 2 5" xfId="9412"/>
    <cellStyle name="Comma 19 2 2 3" xfId="1666"/>
    <cellStyle name="Comma 19 2 2 3 2" xfId="3778"/>
    <cellStyle name="Comma 19 2 2 3 2 2" xfId="8004"/>
    <cellStyle name="Comma 19 2 2 3 2 2 2" xfId="16452"/>
    <cellStyle name="Comma 19 2 2 3 2 3" xfId="12228"/>
    <cellStyle name="Comma 19 2 2 3 3" xfId="5892"/>
    <cellStyle name="Comma 19 2 2 3 3 2" xfId="14340"/>
    <cellStyle name="Comma 19 2 2 3 4" xfId="10116"/>
    <cellStyle name="Comma 19 2 2 4" xfId="2722"/>
    <cellStyle name="Comma 19 2 2 4 2" xfId="6948"/>
    <cellStyle name="Comma 19 2 2 4 2 2" xfId="15396"/>
    <cellStyle name="Comma 19 2 2 4 3" xfId="11172"/>
    <cellStyle name="Comma 19 2 2 5" xfId="4836"/>
    <cellStyle name="Comma 19 2 2 5 2" xfId="13284"/>
    <cellStyle name="Comma 19 2 2 6" xfId="9060"/>
    <cellStyle name="Comma 19 2 3" xfId="780"/>
    <cellStyle name="Comma 19 2 3 2" xfId="1842"/>
    <cellStyle name="Comma 19 2 3 2 2" xfId="3954"/>
    <cellStyle name="Comma 19 2 3 2 2 2" xfId="8180"/>
    <cellStyle name="Comma 19 2 3 2 2 2 2" xfId="16628"/>
    <cellStyle name="Comma 19 2 3 2 2 3" xfId="12404"/>
    <cellStyle name="Comma 19 2 3 2 3" xfId="6068"/>
    <cellStyle name="Comma 19 2 3 2 3 2" xfId="14516"/>
    <cellStyle name="Comma 19 2 3 2 4" xfId="10292"/>
    <cellStyle name="Comma 19 2 3 3" xfId="2898"/>
    <cellStyle name="Comma 19 2 3 3 2" xfId="7124"/>
    <cellStyle name="Comma 19 2 3 3 2 2" xfId="15572"/>
    <cellStyle name="Comma 19 2 3 3 3" xfId="11348"/>
    <cellStyle name="Comma 19 2 3 4" xfId="5012"/>
    <cellStyle name="Comma 19 2 3 4 2" xfId="13460"/>
    <cellStyle name="Comma 19 2 3 5" xfId="9236"/>
    <cellStyle name="Comma 19 2 4" xfId="1132"/>
    <cellStyle name="Comma 19 2 4 2" xfId="2194"/>
    <cellStyle name="Comma 19 2 4 2 2" xfId="4306"/>
    <cellStyle name="Comma 19 2 4 2 2 2" xfId="8532"/>
    <cellStyle name="Comma 19 2 4 2 2 2 2" xfId="16980"/>
    <cellStyle name="Comma 19 2 4 2 2 3" xfId="12756"/>
    <cellStyle name="Comma 19 2 4 2 3" xfId="6420"/>
    <cellStyle name="Comma 19 2 4 2 3 2" xfId="14868"/>
    <cellStyle name="Comma 19 2 4 2 4" xfId="10644"/>
    <cellStyle name="Comma 19 2 4 3" xfId="3250"/>
    <cellStyle name="Comma 19 2 4 3 2" xfId="7476"/>
    <cellStyle name="Comma 19 2 4 3 2 2" xfId="15924"/>
    <cellStyle name="Comma 19 2 4 3 3" xfId="11700"/>
    <cellStyle name="Comma 19 2 4 4" xfId="5364"/>
    <cellStyle name="Comma 19 2 4 4 2" xfId="13812"/>
    <cellStyle name="Comma 19 2 4 5" xfId="9588"/>
    <cellStyle name="Comma 19 2 5" xfId="1314"/>
    <cellStyle name="Comma 19 2 5 2" xfId="2370"/>
    <cellStyle name="Comma 19 2 5 2 2" xfId="4482"/>
    <cellStyle name="Comma 19 2 5 2 2 2" xfId="8708"/>
    <cellStyle name="Comma 19 2 5 2 2 2 2" xfId="17156"/>
    <cellStyle name="Comma 19 2 5 2 2 3" xfId="12932"/>
    <cellStyle name="Comma 19 2 5 2 3" xfId="6596"/>
    <cellStyle name="Comma 19 2 5 2 3 2" xfId="15044"/>
    <cellStyle name="Comma 19 2 5 2 4" xfId="10820"/>
    <cellStyle name="Comma 19 2 5 3" xfId="3426"/>
    <cellStyle name="Comma 19 2 5 3 2" xfId="7652"/>
    <cellStyle name="Comma 19 2 5 3 2 2" xfId="16100"/>
    <cellStyle name="Comma 19 2 5 3 3" xfId="11876"/>
    <cellStyle name="Comma 19 2 5 4" xfId="5540"/>
    <cellStyle name="Comma 19 2 5 4 2" xfId="13988"/>
    <cellStyle name="Comma 19 2 5 5" xfId="9764"/>
    <cellStyle name="Comma 19 2 6" xfId="1490"/>
    <cellStyle name="Comma 19 2 6 2" xfId="3602"/>
    <cellStyle name="Comma 19 2 6 2 2" xfId="7828"/>
    <cellStyle name="Comma 19 2 6 2 2 2" xfId="16276"/>
    <cellStyle name="Comma 19 2 6 2 3" xfId="12052"/>
    <cellStyle name="Comma 19 2 6 3" xfId="5716"/>
    <cellStyle name="Comma 19 2 6 3 2" xfId="14164"/>
    <cellStyle name="Comma 19 2 6 4" xfId="9940"/>
    <cellStyle name="Comma 19 2 7" xfId="2546"/>
    <cellStyle name="Comma 19 2 7 2" xfId="6772"/>
    <cellStyle name="Comma 19 2 7 2 2" xfId="15220"/>
    <cellStyle name="Comma 19 2 7 3" xfId="10996"/>
    <cellStyle name="Comma 19 2 8" xfId="4659"/>
    <cellStyle name="Comma 19 2 8 2" xfId="13108"/>
    <cellStyle name="Comma 19 2 9" xfId="8884"/>
    <cellStyle name="Comma 19 3" xfId="111"/>
    <cellStyle name="Comma 19 3 2" xfId="603"/>
    <cellStyle name="Comma 19 3 2 2" xfId="957"/>
    <cellStyle name="Comma 19 3 2 2 2" xfId="2019"/>
    <cellStyle name="Comma 19 3 2 2 2 2" xfId="4131"/>
    <cellStyle name="Comma 19 3 2 2 2 2 2" xfId="8357"/>
    <cellStyle name="Comma 19 3 2 2 2 2 2 2" xfId="16805"/>
    <cellStyle name="Comma 19 3 2 2 2 2 3" xfId="12581"/>
    <cellStyle name="Comma 19 3 2 2 2 3" xfId="6245"/>
    <cellStyle name="Comma 19 3 2 2 2 3 2" xfId="14693"/>
    <cellStyle name="Comma 19 3 2 2 2 4" xfId="10469"/>
    <cellStyle name="Comma 19 3 2 2 3" xfId="3075"/>
    <cellStyle name="Comma 19 3 2 2 3 2" xfId="7301"/>
    <cellStyle name="Comma 19 3 2 2 3 2 2" xfId="15749"/>
    <cellStyle name="Comma 19 3 2 2 3 3" xfId="11525"/>
    <cellStyle name="Comma 19 3 2 2 4" xfId="5189"/>
    <cellStyle name="Comma 19 3 2 2 4 2" xfId="13637"/>
    <cellStyle name="Comma 19 3 2 2 5" xfId="9413"/>
    <cellStyle name="Comma 19 3 2 3" xfId="1667"/>
    <cellStyle name="Comma 19 3 2 3 2" xfId="3779"/>
    <cellStyle name="Comma 19 3 2 3 2 2" xfId="8005"/>
    <cellStyle name="Comma 19 3 2 3 2 2 2" xfId="16453"/>
    <cellStyle name="Comma 19 3 2 3 2 3" xfId="12229"/>
    <cellStyle name="Comma 19 3 2 3 3" xfId="5893"/>
    <cellStyle name="Comma 19 3 2 3 3 2" xfId="14341"/>
    <cellStyle name="Comma 19 3 2 3 4" xfId="10117"/>
    <cellStyle name="Comma 19 3 2 4" xfId="2723"/>
    <cellStyle name="Comma 19 3 2 4 2" xfId="6949"/>
    <cellStyle name="Comma 19 3 2 4 2 2" xfId="15397"/>
    <cellStyle name="Comma 19 3 2 4 3" xfId="11173"/>
    <cellStyle name="Comma 19 3 2 5" xfId="4837"/>
    <cellStyle name="Comma 19 3 2 5 2" xfId="13285"/>
    <cellStyle name="Comma 19 3 2 6" xfId="9061"/>
    <cellStyle name="Comma 19 3 3" xfId="781"/>
    <cellStyle name="Comma 19 3 3 2" xfId="1843"/>
    <cellStyle name="Comma 19 3 3 2 2" xfId="3955"/>
    <cellStyle name="Comma 19 3 3 2 2 2" xfId="8181"/>
    <cellStyle name="Comma 19 3 3 2 2 2 2" xfId="16629"/>
    <cellStyle name="Comma 19 3 3 2 2 3" xfId="12405"/>
    <cellStyle name="Comma 19 3 3 2 3" xfId="6069"/>
    <cellStyle name="Comma 19 3 3 2 3 2" xfId="14517"/>
    <cellStyle name="Comma 19 3 3 2 4" xfId="10293"/>
    <cellStyle name="Comma 19 3 3 3" xfId="2899"/>
    <cellStyle name="Comma 19 3 3 3 2" xfId="7125"/>
    <cellStyle name="Comma 19 3 3 3 2 2" xfId="15573"/>
    <cellStyle name="Comma 19 3 3 3 3" xfId="11349"/>
    <cellStyle name="Comma 19 3 3 4" xfId="5013"/>
    <cellStyle name="Comma 19 3 3 4 2" xfId="13461"/>
    <cellStyle name="Comma 19 3 3 5" xfId="9237"/>
    <cellStyle name="Comma 19 3 4" xfId="1133"/>
    <cellStyle name="Comma 19 3 4 2" xfId="2195"/>
    <cellStyle name="Comma 19 3 4 2 2" xfId="4307"/>
    <cellStyle name="Comma 19 3 4 2 2 2" xfId="8533"/>
    <cellStyle name="Comma 19 3 4 2 2 2 2" xfId="16981"/>
    <cellStyle name="Comma 19 3 4 2 2 3" xfId="12757"/>
    <cellStyle name="Comma 19 3 4 2 3" xfId="6421"/>
    <cellStyle name="Comma 19 3 4 2 3 2" xfId="14869"/>
    <cellStyle name="Comma 19 3 4 2 4" xfId="10645"/>
    <cellStyle name="Comma 19 3 4 3" xfId="3251"/>
    <cellStyle name="Comma 19 3 4 3 2" xfId="7477"/>
    <cellStyle name="Comma 19 3 4 3 2 2" xfId="15925"/>
    <cellStyle name="Comma 19 3 4 3 3" xfId="11701"/>
    <cellStyle name="Comma 19 3 4 4" xfId="5365"/>
    <cellStyle name="Comma 19 3 4 4 2" xfId="13813"/>
    <cellStyle name="Comma 19 3 4 5" xfId="9589"/>
    <cellStyle name="Comma 19 3 5" xfId="1315"/>
    <cellStyle name="Comma 19 3 5 2" xfId="2371"/>
    <cellStyle name="Comma 19 3 5 2 2" xfId="4483"/>
    <cellStyle name="Comma 19 3 5 2 2 2" xfId="8709"/>
    <cellStyle name="Comma 19 3 5 2 2 2 2" xfId="17157"/>
    <cellStyle name="Comma 19 3 5 2 2 3" xfId="12933"/>
    <cellStyle name="Comma 19 3 5 2 3" xfId="6597"/>
    <cellStyle name="Comma 19 3 5 2 3 2" xfId="15045"/>
    <cellStyle name="Comma 19 3 5 2 4" xfId="10821"/>
    <cellStyle name="Comma 19 3 5 3" xfId="3427"/>
    <cellStyle name="Comma 19 3 5 3 2" xfId="7653"/>
    <cellStyle name="Comma 19 3 5 3 2 2" xfId="16101"/>
    <cellStyle name="Comma 19 3 5 3 3" xfId="11877"/>
    <cellStyle name="Comma 19 3 5 4" xfId="5541"/>
    <cellStyle name="Comma 19 3 5 4 2" xfId="13989"/>
    <cellStyle name="Comma 19 3 5 5" xfId="9765"/>
    <cellStyle name="Comma 19 3 6" xfId="1491"/>
    <cellStyle name="Comma 19 3 6 2" xfId="3603"/>
    <cellStyle name="Comma 19 3 6 2 2" xfId="7829"/>
    <cellStyle name="Comma 19 3 6 2 2 2" xfId="16277"/>
    <cellStyle name="Comma 19 3 6 2 3" xfId="12053"/>
    <cellStyle name="Comma 19 3 6 3" xfId="5717"/>
    <cellStyle name="Comma 19 3 6 3 2" xfId="14165"/>
    <cellStyle name="Comma 19 3 6 4" xfId="9941"/>
    <cellStyle name="Comma 19 3 7" xfId="2547"/>
    <cellStyle name="Comma 19 3 7 2" xfId="6773"/>
    <cellStyle name="Comma 19 3 7 2 2" xfId="15221"/>
    <cellStyle name="Comma 19 3 7 3" xfId="10997"/>
    <cellStyle name="Comma 19 3 8" xfId="4660"/>
    <cellStyle name="Comma 19 3 8 2" xfId="13109"/>
    <cellStyle name="Comma 19 3 9" xfId="8885"/>
    <cellStyle name="Comma 19 4" xfId="601"/>
    <cellStyle name="Comma 19 4 2" xfId="955"/>
    <cellStyle name="Comma 19 4 2 2" xfId="2017"/>
    <cellStyle name="Comma 19 4 2 2 2" xfId="4129"/>
    <cellStyle name="Comma 19 4 2 2 2 2" xfId="8355"/>
    <cellStyle name="Comma 19 4 2 2 2 2 2" xfId="16803"/>
    <cellStyle name="Comma 19 4 2 2 2 3" xfId="12579"/>
    <cellStyle name="Comma 19 4 2 2 3" xfId="6243"/>
    <cellStyle name="Comma 19 4 2 2 3 2" xfId="14691"/>
    <cellStyle name="Comma 19 4 2 2 4" xfId="10467"/>
    <cellStyle name="Comma 19 4 2 3" xfId="3073"/>
    <cellStyle name="Comma 19 4 2 3 2" xfId="7299"/>
    <cellStyle name="Comma 19 4 2 3 2 2" xfId="15747"/>
    <cellStyle name="Comma 19 4 2 3 3" xfId="11523"/>
    <cellStyle name="Comma 19 4 2 4" xfId="5187"/>
    <cellStyle name="Comma 19 4 2 4 2" xfId="13635"/>
    <cellStyle name="Comma 19 4 2 5" xfId="9411"/>
    <cellStyle name="Comma 19 4 3" xfId="1665"/>
    <cellStyle name="Comma 19 4 3 2" xfId="3777"/>
    <cellStyle name="Comma 19 4 3 2 2" xfId="8003"/>
    <cellStyle name="Comma 19 4 3 2 2 2" xfId="16451"/>
    <cellStyle name="Comma 19 4 3 2 3" xfId="12227"/>
    <cellStyle name="Comma 19 4 3 3" xfId="5891"/>
    <cellStyle name="Comma 19 4 3 3 2" xfId="14339"/>
    <cellStyle name="Comma 19 4 3 4" xfId="10115"/>
    <cellStyle name="Comma 19 4 4" xfId="2721"/>
    <cellStyle name="Comma 19 4 4 2" xfId="6947"/>
    <cellStyle name="Comma 19 4 4 2 2" xfId="15395"/>
    <cellStyle name="Comma 19 4 4 3" xfId="11171"/>
    <cellStyle name="Comma 19 4 5" xfId="4835"/>
    <cellStyle name="Comma 19 4 5 2" xfId="13283"/>
    <cellStyle name="Comma 19 4 6" xfId="9059"/>
    <cellStyle name="Comma 19 5" xfId="779"/>
    <cellStyle name="Comma 19 5 2" xfId="1841"/>
    <cellStyle name="Comma 19 5 2 2" xfId="3953"/>
    <cellStyle name="Comma 19 5 2 2 2" xfId="8179"/>
    <cellStyle name="Comma 19 5 2 2 2 2" xfId="16627"/>
    <cellStyle name="Comma 19 5 2 2 3" xfId="12403"/>
    <cellStyle name="Comma 19 5 2 3" xfId="6067"/>
    <cellStyle name="Comma 19 5 2 3 2" xfId="14515"/>
    <cellStyle name="Comma 19 5 2 4" xfId="10291"/>
    <cellStyle name="Comma 19 5 3" xfId="2897"/>
    <cellStyle name="Comma 19 5 3 2" xfId="7123"/>
    <cellStyle name="Comma 19 5 3 2 2" xfId="15571"/>
    <cellStyle name="Comma 19 5 3 3" xfId="11347"/>
    <cellStyle name="Comma 19 5 4" xfId="5011"/>
    <cellStyle name="Comma 19 5 4 2" xfId="13459"/>
    <cellStyle name="Comma 19 5 5" xfId="9235"/>
    <cellStyle name="Comma 19 6" xfId="1131"/>
    <cellStyle name="Comma 19 6 2" xfId="2193"/>
    <cellStyle name="Comma 19 6 2 2" xfId="4305"/>
    <cellStyle name="Comma 19 6 2 2 2" xfId="8531"/>
    <cellStyle name="Comma 19 6 2 2 2 2" xfId="16979"/>
    <cellStyle name="Comma 19 6 2 2 3" xfId="12755"/>
    <cellStyle name="Comma 19 6 2 3" xfId="6419"/>
    <cellStyle name="Comma 19 6 2 3 2" xfId="14867"/>
    <cellStyle name="Comma 19 6 2 4" xfId="10643"/>
    <cellStyle name="Comma 19 6 3" xfId="3249"/>
    <cellStyle name="Comma 19 6 3 2" xfId="7475"/>
    <cellStyle name="Comma 19 6 3 2 2" xfId="15923"/>
    <cellStyle name="Comma 19 6 3 3" xfId="11699"/>
    <cellStyle name="Comma 19 6 4" xfId="5363"/>
    <cellStyle name="Comma 19 6 4 2" xfId="13811"/>
    <cellStyle name="Comma 19 6 5" xfId="9587"/>
    <cellStyle name="Comma 19 7" xfId="1313"/>
    <cellStyle name="Comma 19 7 2" xfId="2369"/>
    <cellStyle name="Comma 19 7 2 2" xfId="4481"/>
    <cellStyle name="Comma 19 7 2 2 2" xfId="8707"/>
    <cellStyle name="Comma 19 7 2 2 2 2" xfId="17155"/>
    <cellStyle name="Comma 19 7 2 2 3" xfId="12931"/>
    <cellStyle name="Comma 19 7 2 3" xfId="6595"/>
    <cellStyle name="Comma 19 7 2 3 2" xfId="15043"/>
    <cellStyle name="Comma 19 7 2 4" xfId="10819"/>
    <cellStyle name="Comma 19 7 3" xfId="3425"/>
    <cellStyle name="Comma 19 7 3 2" xfId="7651"/>
    <cellStyle name="Comma 19 7 3 2 2" xfId="16099"/>
    <cellStyle name="Comma 19 7 3 3" xfId="11875"/>
    <cellStyle name="Comma 19 7 4" xfId="5539"/>
    <cellStyle name="Comma 19 7 4 2" xfId="13987"/>
    <cellStyle name="Comma 19 7 5" xfId="9763"/>
    <cellStyle name="Comma 19 8" xfId="1489"/>
    <cellStyle name="Comma 19 8 2" xfId="3601"/>
    <cellStyle name="Comma 19 8 2 2" xfId="7827"/>
    <cellStyle name="Comma 19 8 2 2 2" xfId="16275"/>
    <cellStyle name="Comma 19 8 2 3" xfId="12051"/>
    <cellStyle name="Comma 19 8 3" xfId="5715"/>
    <cellStyle name="Comma 19 8 3 2" xfId="14163"/>
    <cellStyle name="Comma 19 8 4" xfId="9939"/>
    <cellStyle name="Comma 19 9" xfId="2545"/>
    <cellStyle name="Comma 19 9 2" xfId="6771"/>
    <cellStyle name="Comma 19 9 2 2" xfId="15219"/>
    <cellStyle name="Comma 19 9 3" xfId="10995"/>
    <cellStyle name="Comma 2" xfId="112"/>
    <cellStyle name="Comma 2 2" xfId="113"/>
    <cellStyle name="Comma 2 2 2" xfId="114"/>
    <cellStyle name="Comma 2 2 2 2" xfId="115"/>
    <cellStyle name="Comma 2 2 3" xfId="116"/>
    <cellStyle name="Comma 2 2 4" xfId="117"/>
    <cellStyle name="Comma 2 2 4 10" xfId="4661"/>
    <cellStyle name="Comma 2 2 4 10 2" xfId="13110"/>
    <cellStyle name="Comma 2 2 4 11" xfId="8886"/>
    <cellStyle name="Comma 2 2 4 2" xfId="118"/>
    <cellStyle name="Comma 2 2 4 2 2" xfId="605"/>
    <cellStyle name="Comma 2 2 4 2 2 2" xfId="959"/>
    <cellStyle name="Comma 2 2 4 2 2 2 2" xfId="2021"/>
    <cellStyle name="Comma 2 2 4 2 2 2 2 2" xfId="4133"/>
    <cellStyle name="Comma 2 2 4 2 2 2 2 2 2" xfId="8359"/>
    <cellStyle name="Comma 2 2 4 2 2 2 2 2 2 2" xfId="16807"/>
    <cellStyle name="Comma 2 2 4 2 2 2 2 2 3" xfId="12583"/>
    <cellStyle name="Comma 2 2 4 2 2 2 2 3" xfId="6247"/>
    <cellStyle name="Comma 2 2 4 2 2 2 2 3 2" xfId="14695"/>
    <cellStyle name="Comma 2 2 4 2 2 2 2 4" xfId="10471"/>
    <cellStyle name="Comma 2 2 4 2 2 2 3" xfId="3077"/>
    <cellStyle name="Comma 2 2 4 2 2 2 3 2" xfId="7303"/>
    <cellStyle name="Comma 2 2 4 2 2 2 3 2 2" xfId="15751"/>
    <cellStyle name="Comma 2 2 4 2 2 2 3 3" xfId="11527"/>
    <cellStyle name="Comma 2 2 4 2 2 2 4" xfId="5191"/>
    <cellStyle name="Comma 2 2 4 2 2 2 4 2" xfId="13639"/>
    <cellStyle name="Comma 2 2 4 2 2 2 5" xfId="9415"/>
    <cellStyle name="Comma 2 2 4 2 2 3" xfId="1669"/>
    <cellStyle name="Comma 2 2 4 2 2 3 2" xfId="3781"/>
    <cellStyle name="Comma 2 2 4 2 2 3 2 2" xfId="8007"/>
    <cellStyle name="Comma 2 2 4 2 2 3 2 2 2" xfId="16455"/>
    <cellStyle name="Comma 2 2 4 2 2 3 2 3" xfId="12231"/>
    <cellStyle name="Comma 2 2 4 2 2 3 3" xfId="5895"/>
    <cellStyle name="Comma 2 2 4 2 2 3 3 2" xfId="14343"/>
    <cellStyle name="Comma 2 2 4 2 2 3 4" xfId="10119"/>
    <cellStyle name="Comma 2 2 4 2 2 4" xfId="2725"/>
    <cellStyle name="Comma 2 2 4 2 2 4 2" xfId="6951"/>
    <cellStyle name="Comma 2 2 4 2 2 4 2 2" xfId="15399"/>
    <cellStyle name="Comma 2 2 4 2 2 4 3" xfId="11175"/>
    <cellStyle name="Comma 2 2 4 2 2 5" xfId="4839"/>
    <cellStyle name="Comma 2 2 4 2 2 5 2" xfId="13287"/>
    <cellStyle name="Comma 2 2 4 2 2 6" xfId="9063"/>
    <cellStyle name="Comma 2 2 4 2 3" xfId="783"/>
    <cellStyle name="Comma 2 2 4 2 3 2" xfId="1845"/>
    <cellStyle name="Comma 2 2 4 2 3 2 2" xfId="3957"/>
    <cellStyle name="Comma 2 2 4 2 3 2 2 2" xfId="8183"/>
    <cellStyle name="Comma 2 2 4 2 3 2 2 2 2" xfId="16631"/>
    <cellStyle name="Comma 2 2 4 2 3 2 2 3" xfId="12407"/>
    <cellStyle name="Comma 2 2 4 2 3 2 3" xfId="6071"/>
    <cellStyle name="Comma 2 2 4 2 3 2 3 2" xfId="14519"/>
    <cellStyle name="Comma 2 2 4 2 3 2 4" xfId="10295"/>
    <cellStyle name="Comma 2 2 4 2 3 3" xfId="2901"/>
    <cellStyle name="Comma 2 2 4 2 3 3 2" xfId="7127"/>
    <cellStyle name="Comma 2 2 4 2 3 3 2 2" xfId="15575"/>
    <cellStyle name="Comma 2 2 4 2 3 3 3" xfId="11351"/>
    <cellStyle name="Comma 2 2 4 2 3 4" xfId="5015"/>
    <cellStyle name="Comma 2 2 4 2 3 4 2" xfId="13463"/>
    <cellStyle name="Comma 2 2 4 2 3 5" xfId="9239"/>
    <cellStyle name="Comma 2 2 4 2 4" xfId="1135"/>
    <cellStyle name="Comma 2 2 4 2 4 2" xfId="2197"/>
    <cellStyle name="Comma 2 2 4 2 4 2 2" xfId="4309"/>
    <cellStyle name="Comma 2 2 4 2 4 2 2 2" xfId="8535"/>
    <cellStyle name="Comma 2 2 4 2 4 2 2 2 2" xfId="16983"/>
    <cellStyle name="Comma 2 2 4 2 4 2 2 3" xfId="12759"/>
    <cellStyle name="Comma 2 2 4 2 4 2 3" xfId="6423"/>
    <cellStyle name="Comma 2 2 4 2 4 2 3 2" xfId="14871"/>
    <cellStyle name="Comma 2 2 4 2 4 2 4" xfId="10647"/>
    <cellStyle name="Comma 2 2 4 2 4 3" xfId="3253"/>
    <cellStyle name="Comma 2 2 4 2 4 3 2" xfId="7479"/>
    <cellStyle name="Comma 2 2 4 2 4 3 2 2" xfId="15927"/>
    <cellStyle name="Comma 2 2 4 2 4 3 3" xfId="11703"/>
    <cellStyle name="Comma 2 2 4 2 4 4" xfId="5367"/>
    <cellStyle name="Comma 2 2 4 2 4 4 2" xfId="13815"/>
    <cellStyle name="Comma 2 2 4 2 4 5" xfId="9591"/>
    <cellStyle name="Comma 2 2 4 2 5" xfId="1317"/>
    <cellStyle name="Comma 2 2 4 2 5 2" xfId="2373"/>
    <cellStyle name="Comma 2 2 4 2 5 2 2" xfId="4485"/>
    <cellStyle name="Comma 2 2 4 2 5 2 2 2" xfId="8711"/>
    <cellStyle name="Comma 2 2 4 2 5 2 2 2 2" xfId="17159"/>
    <cellStyle name="Comma 2 2 4 2 5 2 2 3" xfId="12935"/>
    <cellStyle name="Comma 2 2 4 2 5 2 3" xfId="6599"/>
    <cellStyle name="Comma 2 2 4 2 5 2 3 2" xfId="15047"/>
    <cellStyle name="Comma 2 2 4 2 5 2 4" xfId="10823"/>
    <cellStyle name="Comma 2 2 4 2 5 3" xfId="3429"/>
    <cellStyle name="Comma 2 2 4 2 5 3 2" xfId="7655"/>
    <cellStyle name="Comma 2 2 4 2 5 3 2 2" xfId="16103"/>
    <cellStyle name="Comma 2 2 4 2 5 3 3" xfId="11879"/>
    <cellStyle name="Comma 2 2 4 2 5 4" xfId="5543"/>
    <cellStyle name="Comma 2 2 4 2 5 4 2" xfId="13991"/>
    <cellStyle name="Comma 2 2 4 2 5 5" xfId="9767"/>
    <cellStyle name="Comma 2 2 4 2 6" xfId="1493"/>
    <cellStyle name="Comma 2 2 4 2 6 2" xfId="3605"/>
    <cellStyle name="Comma 2 2 4 2 6 2 2" xfId="7831"/>
    <cellStyle name="Comma 2 2 4 2 6 2 2 2" xfId="16279"/>
    <cellStyle name="Comma 2 2 4 2 6 2 3" xfId="12055"/>
    <cellStyle name="Comma 2 2 4 2 6 3" xfId="5719"/>
    <cellStyle name="Comma 2 2 4 2 6 3 2" xfId="14167"/>
    <cellStyle name="Comma 2 2 4 2 6 4" xfId="9943"/>
    <cellStyle name="Comma 2 2 4 2 7" xfId="2549"/>
    <cellStyle name="Comma 2 2 4 2 7 2" xfId="6775"/>
    <cellStyle name="Comma 2 2 4 2 7 2 2" xfId="15223"/>
    <cellStyle name="Comma 2 2 4 2 7 3" xfId="10999"/>
    <cellStyle name="Comma 2 2 4 2 8" xfId="4662"/>
    <cellStyle name="Comma 2 2 4 2 8 2" xfId="13111"/>
    <cellStyle name="Comma 2 2 4 2 9" xfId="8887"/>
    <cellStyle name="Comma 2 2 4 3" xfId="119"/>
    <cellStyle name="Comma 2 2 4 3 2" xfId="606"/>
    <cellStyle name="Comma 2 2 4 3 2 2" xfId="960"/>
    <cellStyle name="Comma 2 2 4 3 2 2 2" xfId="2022"/>
    <cellStyle name="Comma 2 2 4 3 2 2 2 2" xfId="4134"/>
    <cellStyle name="Comma 2 2 4 3 2 2 2 2 2" xfId="8360"/>
    <cellStyle name="Comma 2 2 4 3 2 2 2 2 2 2" xfId="16808"/>
    <cellStyle name="Comma 2 2 4 3 2 2 2 2 3" xfId="12584"/>
    <cellStyle name="Comma 2 2 4 3 2 2 2 3" xfId="6248"/>
    <cellStyle name="Comma 2 2 4 3 2 2 2 3 2" xfId="14696"/>
    <cellStyle name="Comma 2 2 4 3 2 2 2 4" xfId="10472"/>
    <cellStyle name="Comma 2 2 4 3 2 2 3" xfId="3078"/>
    <cellStyle name="Comma 2 2 4 3 2 2 3 2" xfId="7304"/>
    <cellStyle name="Comma 2 2 4 3 2 2 3 2 2" xfId="15752"/>
    <cellStyle name="Comma 2 2 4 3 2 2 3 3" xfId="11528"/>
    <cellStyle name="Comma 2 2 4 3 2 2 4" xfId="5192"/>
    <cellStyle name="Comma 2 2 4 3 2 2 4 2" xfId="13640"/>
    <cellStyle name="Comma 2 2 4 3 2 2 5" xfId="9416"/>
    <cellStyle name="Comma 2 2 4 3 2 3" xfId="1670"/>
    <cellStyle name="Comma 2 2 4 3 2 3 2" xfId="3782"/>
    <cellStyle name="Comma 2 2 4 3 2 3 2 2" xfId="8008"/>
    <cellStyle name="Comma 2 2 4 3 2 3 2 2 2" xfId="16456"/>
    <cellStyle name="Comma 2 2 4 3 2 3 2 3" xfId="12232"/>
    <cellStyle name="Comma 2 2 4 3 2 3 3" xfId="5896"/>
    <cellStyle name="Comma 2 2 4 3 2 3 3 2" xfId="14344"/>
    <cellStyle name="Comma 2 2 4 3 2 3 4" xfId="10120"/>
    <cellStyle name="Comma 2 2 4 3 2 4" xfId="2726"/>
    <cellStyle name="Comma 2 2 4 3 2 4 2" xfId="6952"/>
    <cellStyle name="Comma 2 2 4 3 2 4 2 2" xfId="15400"/>
    <cellStyle name="Comma 2 2 4 3 2 4 3" xfId="11176"/>
    <cellStyle name="Comma 2 2 4 3 2 5" xfId="4840"/>
    <cellStyle name="Comma 2 2 4 3 2 5 2" xfId="13288"/>
    <cellStyle name="Comma 2 2 4 3 2 6" xfId="9064"/>
    <cellStyle name="Comma 2 2 4 3 3" xfId="784"/>
    <cellStyle name="Comma 2 2 4 3 3 2" xfId="1846"/>
    <cellStyle name="Comma 2 2 4 3 3 2 2" xfId="3958"/>
    <cellStyle name="Comma 2 2 4 3 3 2 2 2" xfId="8184"/>
    <cellStyle name="Comma 2 2 4 3 3 2 2 2 2" xfId="16632"/>
    <cellStyle name="Comma 2 2 4 3 3 2 2 3" xfId="12408"/>
    <cellStyle name="Comma 2 2 4 3 3 2 3" xfId="6072"/>
    <cellStyle name="Comma 2 2 4 3 3 2 3 2" xfId="14520"/>
    <cellStyle name="Comma 2 2 4 3 3 2 4" xfId="10296"/>
    <cellStyle name="Comma 2 2 4 3 3 3" xfId="2902"/>
    <cellStyle name="Comma 2 2 4 3 3 3 2" xfId="7128"/>
    <cellStyle name="Comma 2 2 4 3 3 3 2 2" xfId="15576"/>
    <cellStyle name="Comma 2 2 4 3 3 3 3" xfId="11352"/>
    <cellStyle name="Comma 2 2 4 3 3 4" xfId="5016"/>
    <cellStyle name="Comma 2 2 4 3 3 4 2" xfId="13464"/>
    <cellStyle name="Comma 2 2 4 3 3 5" xfId="9240"/>
    <cellStyle name="Comma 2 2 4 3 4" xfId="1136"/>
    <cellStyle name="Comma 2 2 4 3 4 2" xfId="2198"/>
    <cellStyle name="Comma 2 2 4 3 4 2 2" xfId="4310"/>
    <cellStyle name="Comma 2 2 4 3 4 2 2 2" xfId="8536"/>
    <cellStyle name="Comma 2 2 4 3 4 2 2 2 2" xfId="16984"/>
    <cellStyle name="Comma 2 2 4 3 4 2 2 3" xfId="12760"/>
    <cellStyle name="Comma 2 2 4 3 4 2 3" xfId="6424"/>
    <cellStyle name="Comma 2 2 4 3 4 2 3 2" xfId="14872"/>
    <cellStyle name="Comma 2 2 4 3 4 2 4" xfId="10648"/>
    <cellStyle name="Comma 2 2 4 3 4 3" xfId="3254"/>
    <cellStyle name="Comma 2 2 4 3 4 3 2" xfId="7480"/>
    <cellStyle name="Comma 2 2 4 3 4 3 2 2" xfId="15928"/>
    <cellStyle name="Comma 2 2 4 3 4 3 3" xfId="11704"/>
    <cellStyle name="Comma 2 2 4 3 4 4" xfId="5368"/>
    <cellStyle name="Comma 2 2 4 3 4 4 2" xfId="13816"/>
    <cellStyle name="Comma 2 2 4 3 4 5" xfId="9592"/>
    <cellStyle name="Comma 2 2 4 3 5" xfId="1318"/>
    <cellStyle name="Comma 2 2 4 3 5 2" xfId="2374"/>
    <cellStyle name="Comma 2 2 4 3 5 2 2" xfId="4486"/>
    <cellStyle name="Comma 2 2 4 3 5 2 2 2" xfId="8712"/>
    <cellStyle name="Comma 2 2 4 3 5 2 2 2 2" xfId="17160"/>
    <cellStyle name="Comma 2 2 4 3 5 2 2 3" xfId="12936"/>
    <cellStyle name="Comma 2 2 4 3 5 2 3" xfId="6600"/>
    <cellStyle name="Comma 2 2 4 3 5 2 3 2" xfId="15048"/>
    <cellStyle name="Comma 2 2 4 3 5 2 4" xfId="10824"/>
    <cellStyle name="Comma 2 2 4 3 5 3" xfId="3430"/>
    <cellStyle name="Comma 2 2 4 3 5 3 2" xfId="7656"/>
    <cellStyle name="Comma 2 2 4 3 5 3 2 2" xfId="16104"/>
    <cellStyle name="Comma 2 2 4 3 5 3 3" xfId="11880"/>
    <cellStyle name="Comma 2 2 4 3 5 4" xfId="5544"/>
    <cellStyle name="Comma 2 2 4 3 5 4 2" xfId="13992"/>
    <cellStyle name="Comma 2 2 4 3 5 5" xfId="9768"/>
    <cellStyle name="Comma 2 2 4 3 6" xfId="1494"/>
    <cellStyle name="Comma 2 2 4 3 6 2" xfId="3606"/>
    <cellStyle name="Comma 2 2 4 3 6 2 2" xfId="7832"/>
    <cellStyle name="Comma 2 2 4 3 6 2 2 2" xfId="16280"/>
    <cellStyle name="Comma 2 2 4 3 6 2 3" xfId="12056"/>
    <cellStyle name="Comma 2 2 4 3 6 3" xfId="5720"/>
    <cellStyle name="Comma 2 2 4 3 6 3 2" xfId="14168"/>
    <cellStyle name="Comma 2 2 4 3 6 4" xfId="9944"/>
    <cellStyle name="Comma 2 2 4 3 7" xfId="2550"/>
    <cellStyle name="Comma 2 2 4 3 7 2" xfId="6776"/>
    <cellStyle name="Comma 2 2 4 3 7 2 2" xfId="15224"/>
    <cellStyle name="Comma 2 2 4 3 7 3" xfId="11000"/>
    <cellStyle name="Comma 2 2 4 3 8" xfId="4663"/>
    <cellStyle name="Comma 2 2 4 3 8 2" xfId="13112"/>
    <cellStyle name="Comma 2 2 4 3 9" xfId="8888"/>
    <cellStyle name="Comma 2 2 4 4" xfId="604"/>
    <cellStyle name="Comma 2 2 4 4 2" xfId="958"/>
    <cellStyle name="Comma 2 2 4 4 2 2" xfId="2020"/>
    <cellStyle name="Comma 2 2 4 4 2 2 2" xfId="4132"/>
    <cellStyle name="Comma 2 2 4 4 2 2 2 2" xfId="8358"/>
    <cellStyle name="Comma 2 2 4 4 2 2 2 2 2" xfId="16806"/>
    <cellStyle name="Comma 2 2 4 4 2 2 2 3" xfId="12582"/>
    <cellStyle name="Comma 2 2 4 4 2 2 3" xfId="6246"/>
    <cellStyle name="Comma 2 2 4 4 2 2 3 2" xfId="14694"/>
    <cellStyle name="Comma 2 2 4 4 2 2 4" xfId="10470"/>
    <cellStyle name="Comma 2 2 4 4 2 3" xfId="3076"/>
    <cellStyle name="Comma 2 2 4 4 2 3 2" xfId="7302"/>
    <cellStyle name="Comma 2 2 4 4 2 3 2 2" xfId="15750"/>
    <cellStyle name="Comma 2 2 4 4 2 3 3" xfId="11526"/>
    <cellStyle name="Comma 2 2 4 4 2 4" xfId="5190"/>
    <cellStyle name="Comma 2 2 4 4 2 4 2" xfId="13638"/>
    <cellStyle name="Comma 2 2 4 4 2 5" xfId="9414"/>
    <cellStyle name="Comma 2 2 4 4 3" xfId="1668"/>
    <cellStyle name="Comma 2 2 4 4 3 2" xfId="3780"/>
    <cellStyle name="Comma 2 2 4 4 3 2 2" xfId="8006"/>
    <cellStyle name="Comma 2 2 4 4 3 2 2 2" xfId="16454"/>
    <cellStyle name="Comma 2 2 4 4 3 2 3" xfId="12230"/>
    <cellStyle name="Comma 2 2 4 4 3 3" xfId="5894"/>
    <cellStyle name="Comma 2 2 4 4 3 3 2" xfId="14342"/>
    <cellStyle name="Comma 2 2 4 4 3 4" xfId="10118"/>
    <cellStyle name="Comma 2 2 4 4 4" xfId="2724"/>
    <cellStyle name="Comma 2 2 4 4 4 2" xfId="6950"/>
    <cellStyle name="Comma 2 2 4 4 4 2 2" xfId="15398"/>
    <cellStyle name="Comma 2 2 4 4 4 3" xfId="11174"/>
    <cellStyle name="Comma 2 2 4 4 5" xfId="4838"/>
    <cellStyle name="Comma 2 2 4 4 5 2" xfId="13286"/>
    <cellStyle name="Comma 2 2 4 4 6" xfId="9062"/>
    <cellStyle name="Comma 2 2 4 5" xfId="782"/>
    <cellStyle name="Comma 2 2 4 5 2" xfId="1844"/>
    <cellStyle name="Comma 2 2 4 5 2 2" xfId="3956"/>
    <cellStyle name="Comma 2 2 4 5 2 2 2" xfId="8182"/>
    <cellStyle name="Comma 2 2 4 5 2 2 2 2" xfId="16630"/>
    <cellStyle name="Comma 2 2 4 5 2 2 3" xfId="12406"/>
    <cellStyle name="Comma 2 2 4 5 2 3" xfId="6070"/>
    <cellStyle name="Comma 2 2 4 5 2 3 2" xfId="14518"/>
    <cellStyle name="Comma 2 2 4 5 2 4" xfId="10294"/>
    <cellStyle name="Comma 2 2 4 5 3" xfId="2900"/>
    <cellStyle name="Comma 2 2 4 5 3 2" xfId="7126"/>
    <cellStyle name="Comma 2 2 4 5 3 2 2" xfId="15574"/>
    <cellStyle name="Comma 2 2 4 5 3 3" xfId="11350"/>
    <cellStyle name="Comma 2 2 4 5 4" xfId="5014"/>
    <cellStyle name="Comma 2 2 4 5 4 2" xfId="13462"/>
    <cellStyle name="Comma 2 2 4 5 5" xfId="9238"/>
    <cellStyle name="Comma 2 2 4 6" xfId="1134"/>
    <cellStyle name="Comma 2 2 4 6 2" xfId="2196"/>
    <cellStyle name="Comma 2 2 4 6 2 2" xfId="4308"/>
    <cellStyle name="Comma 2 2 4 6 2 2 2" xfId="8534"/>
    <cellStyle name="Comma 2 2 4 6 2 2 2 2" xfId="16982"/>
    <cellStyle name="Comma 2 2 4 6 2 2 3" xfId="12758"/>
    <cellStyle name="Comma 2 2 4 6 2 3" xfId="6422"/>
    <cellStyle name="Comma 2 2 4 6 2 3 2" xfId="14870"/>
    <cellStyle name="Comma 2 2 4 6 2 4" xfId="10646"/>
    <cellStyle name="Comma 2 2 4 6 3" xfId="3252"/>
    <cellStyle name="Comma 2 2 4 6 3 2" xfId="7478"/>
    <cellStyle name="Comma 2 2 4 6 3 2 2" xfId="15926"/>
    <cellStyle name="Comma 2 2 4 6 3 3" xfId="11702"/>
    <cellStyle name="Comma 2 2 4 6 4" xfId="5366"/>
    <cellStyle name="Comma 2 2 4 6 4 2" xfId="13814"/>
    <cellStyle name="Comma 2 2 4 6 5" xfId="9590"/>
    <cellStyle name="Comma 2 2 4 7" xfId="1316"/>
    <cellStyle name="Comma 2 2 4 7 2" xfId="2372"/>
    <cellStyle name="Comma 2 2 4 7 2 2" xfId="4484"/>
    <cellStyle name="Comma 2 2 4 7 2 2 2" xfId="8710"/>
    <cellStyle name="Comma 2 2 4 7 2 2 2 2" xfId="17158"/>
    <cellStyle name="Comma 2 2 4 7 2 2 3" xfId="12934"/>
    <cellStyle name="Comma 2 2 4 7 2 3" xfId="6598"/>
    <cellStyle name="Comma 2 2 4 7 2 3 2" xfId="15046"/>
    <cellStyle name="Comma 2 2 4 7 2 4" xfId="10822"/>
    <cellStyle name="Comma 2 2 4 7 3" xfId="3428"/>
    <cellStyle name="Comma 2 2 4 7 3 2" xfId="7654"/>
    <cellStyle name="Comma 2 2 4 7 3 2 2" xfId="16102"/>
    <cellStyle name="Comma 2 2 4 7 3 3" xfId="11878"/>
    <cellStyle name="Comma 2 2 4 7 4" xfId="5542"/>
    <cellStyle name="Comma 2 2 4 7 4 2" xfId="13990"/>
    <cellStyle name="Comma 2 2 4 7 5" xfId="9766"/>
    <cellStyle name="Comma 2 2 4 8" xfId="1492"/>
    <cellStyle name="Comma 2 2 4 8 2" xfId="3604"/>
    <cellStyle name="Comma 2 2 4 8 2 2" xfId="7830"/>
    <cellStyle name="Comma 2 2 4 8 2 2 2" xfId="16278"/>
    <cellStyle name="Comma 2 2 4 8 2 3" xfId="12054"/>
    <cellStyle name="Comma 2 2 4 8 3" xfId="5718"/>
    <cellStyle name="Comma 2 2 4 8 3 2" xfId="14166"/>
    <cellStyle name="Comma 2 2 4 8 4" xfId="9942"/>
    <cellStyle name="Comma 2 2 4 9" xfId="2548"/>
    <cellStyle name="Comma 2 2 4 9 2" xfId="6774"/>
    <cellStyle name="Comma 2 2 4 9 2 2" xfId="15222"/>
    <cellStyle name="Comma 2 2 4 9 3" xfId="10998"/>
    <cellStyle name="Comma 2 2 5" xfId="120"/>
    <cellStyle name="Comma 2 2 5 2" xfId="607"/>
    <cellStyle name="Comma 2 2 6" xfId="121"/>
    <cellStyle name="Comma 2 3" xfId="122"/>
    <cellStyle name="Comma 2 3 2" xfId="123"/>
    <cellStyle name="Comma 2 3 3" xfId="124"/>
    <cellStyle name="Comma 2 4" xfId="125"/>
    <cellStyle name="Comma 2 5" xfId="126"/>
    <cellStyle name="Comma 2 6" xfId="127"/>
    <cellStyle name="Comma 20" xfId="128"/>
    <cellStyle name="Comma 20 10" xfId="4664"/>
    <cellStyle name="Comma 20 10 2" xfId="13113"/>
    <cellStyle name="Comma 20 11" xfId="8889"/>
    <cellStyle name="Comma 20 2" xfId="129"/>
    <cellStyle name="Comma 20 2 2" xfId="609"/>
    <cellStyle name="Comma 20 2 2 2" xfId="962"/>
    <cellStyle name="Comma 20 2 2 2 2" xfId="2024"/>
    <cellStyle name="Comma 20 2 2 2 2 2" xfId="4136"/>
    <cellStyle name="Comma 20 2 2 2 2 2 2" xfId="8362"/>
    <cellStyle name="Comma 20 2 2 2 2 2 2 2" xfId="16810"/>
    <cellStyle name="Comma 20 2 2 2 2 2 3" xfId="12586"/>
    <cellStyle name="Comma 20 2 2 2 2 3" xfId="6250"/>
    <cellStyle name="Comma 20 2 2 2 2 3 2" xfId="14698"/>
    <cellStyle name="Comma 20 2 2 2 2 4" xfId="10474"/>
    <cellStyle name="Comma 20 2 2 2 3" xfId="3080"/>
    <cellStyle name="Comma 20 2 2 2 3 2" xfId="7306"/>
    <cellStyle name="Comma 20 2 2 2 3 2 2" xfId="15754"/>
    <cellStyle name="Comma 20 2 2 2 3 3" xfId="11530"/>
    <cellStyle name="Comma 20 2 2 2 4" xfId="5194"/>
    <cellStyle name="Comma 20 2 2 2 4 2" xfId="13642"/>
    <cellStyle name="Comma 20 2 2 2 5" xfId="9418"/>
    <cellStyle name="Comma 20 2 2 3" xfId="1672"/>
    <cellStyle name="Comma 20 2 2 3 2" xfId="3784"/>
    <cellStyle name="Comma 20 2 2 3 2 2" xfId="8010"/>
    <cellStyle name="Comma 20 2 2 3 2 2 2" xfId="16458"/>
    <cellStyle name="Comma 20 2 2 3 2 3" xfId="12234"/>
    <cellStyle name="Comma 20 2 2 3 3" xfId="5898"/>
    <cellStyle name="Comma 20 2 2 3 3 2" xfId="14346"/>
    <cellStyle name="Comma 20 2 2 3 4" xfId="10122"/>
    <cellStyle name="Comma 20 2 2 4" xfId="2728"/>
    <cellStyle name="Comma 20 2 2 4 2" xfId="6954"/>
    <cellStyle name="Comma 20 2 2 4 2 2" xfId="15402"/>
    <cellStyle name="Comma 20 2 2 4 3" xfId="11178"/>
    <cellStyle name="Comma 20 2 2 5" xfId="4842"/>
    <cellStyle name="Comma 20 2 2 5 2" xfId="13290"/>
    <cellStyle name="Comma 20 2 2 6" xfId="9066"/>
    <cellStyle name="Comma 20 2 3" xfId="786"/>
    <cellStyle name="Comma 20 2 3 2" xfId="1848"/>
    <cellStyle name="Comma 20 2 3 2 2" xfId="3960"/>
    <cellStyle name="Comma 20 2 3 2 2 2" xfId="8186"/>
    <cellStyle name="Comma 20 2 3 2 2 2 2" xfId="16634"/>
    <cellStyle name="Comma 20 2 3 2 2 3" xfId="12410"/>
    <cellStyle name="Comma 20 2 3 2 3" xfId="6074"/>
    <cellStyle name="Comma 20 2 3 2 3 2" xfId="14522"/>
    <cellStyle name="Comma 20 2 3 2 4" xfId="10298"/>
    <cellStyle name="Comma 20 2 3 3" xfId="2904"/>
    <cellStyle name="Comma 20 2 3 3 2" xfId="7130"/>
    <cellStyle name="Comma 20 2 3 3 2 2" xfId="15578"/>
    <cellStyle name="Comma 20 2 3 3 3" xfId="11354"/>
    <cellStyle name="Comma 20 2 3 4" xfId="5018"/>
    <cellStyle name="Comma 20 2 3 4 2" xfId="13466"/>
    <cellStyle name="Comma 20 2 3 5" xfId="9242"/>
    <cellStyle name="Comma 20 2 4" xfId="1138"/>
    <cellStyle name="Comma 20 2 4 2" xfId="2200"/>
    <cellStyle name="Comma 20 2 4 2 2" xfId="4312"/>
    <cellStyle name="Comma 20 2 4 2 2 2" xfId="8538"/>
    <cellStyle name="Comma 20 2 4 2 2 2 2" xfId="16986"/>
    <cellStyle name="Comma 20 2 4 2 2 3" xfId="12762"/>
    <cellStyle name="Comma 20 2 4 2 3" xfId="6426"/>
    <cellStyle name="Comma 20 2 4 2 3 2" xfId="14874"/>
    <cellStyle name="Comma 20 2 4 2 4" xfId="10650"/>
    <cellStyle name="Comma 20 2 4 3" xfId="3256"/>
    <cellStyle name="Comma 20 2 4 3 2" xfId="7482"/>
    <cellStyle name="Comma 20 2 4 3 2 2" xfId="15930"/>
    <cellStyle name="Comma 20 2 4 3 3" xfId="11706"/>
    <cellStyle name="Comma 20 2 4 4" xfId="5370"/>
    <cellStyle name="Comma 20 2 4 4 2" xfId="13818"/>
    <cellStyle name="Comma 20 2 4 5" xfId="9594"/>
    <cellStyle name="Comma 20 2 5" xfId="1320"/>
    <cellStyle name="Comma 20 2 5 2" xfId="2376"/>
    <cellStyle name="Comma 20 2 5 2 2" xfId="4488"/>
    <cellStyle name="Comma 20 2 5 2 2 2" xfId="8714"/>
    <cellStyle name="Comma 20 2 5 2 2 2 2" xfId="17162"/>
    <cellStyle name="Comma 20 2 5 2 2 3" xfId="12938"/>
    <cellStyle name="Comma 20 2 5 2 3" xfId="6602"/>
    <cellStyle name="Comma 20 2 5 2 3 2" xfId="15050"/>
    <cellStyle name="Comma 20 2 5 2 4" xfId="10826"/>
    <cellStyle name="Comma 20 2 5 3" xfId="3432"/>
    <cellStyle name="Comma 20 2 5 3 2" xfId="7658"/>
    <cellStyle name="Comma 20 2 5 3 2 2" xfId="16106"/>
    <cellStyle name="Comma 20 2 5 3 3" xfId="11882"/>
    <cellStyle name="Comma 20 2 5 4" xfId="5546"/>
    <cellStyle name="Comma 20 2 5 4 2" xfId="13994"/>
    <cellStyle name="Comma 20 2 5 5" xfId="9770"/>
    <cellStyle name="Comma 20 2 6" xfId="1496"/>
    <cellStyle name="Comma 20 2 6 2" xfId="3608"/>
    <cellStyle name="Comma 20 2 6 2 2" xfId="7834"/>
    <cellStyle name="Comma 20 2 6 2 2 2" xfId="16282"/>
    <cellStyle name="Comma 20 2 6 2 3" xfId="12058"/>
    <cellStyle name="Comma 20 2 6 3" xfId="5722"/>
    <cellStyle name="Comma 20 2 6 3 2" xfId="14170"/>
    <cellStyle name="Comma 20 2 6 4" xfId="9946"/>
    <cellStyle name="Comma 20 2 7" xfId="2552"/>
    <cellStyle name="Comma 20 2 7 2" xfId="6778"/>
    <cellStyle name="Comma 20 2 7 2 2" xfId="15226"/>
    <cellStyle name="Comma 20 2 7 3" xfId="11002"/>
    <cellStyle name="Comma 20 2 8" xfId="4665"/>
    <cellStyle name="Comma 20 2 8 2" xfId="13114"/>
    <cellStyle name="Comma 20 2 9" xfId="8890"/>
    <cellStyle name="Comma 20 3" xfId="130"/>
    <cellStyle name="Comma 20 3 2" xfId="610"/>
    <cellStyle name="Comma 20 3 2 2" xfId="963"/>
    <cellStyle name="Comma 20 3 2 2 2" xfId="2025"/>
    <cellStyle name="Comma 20 3 2 2 2 2" xfId="4137"/>
    <cellStyle name="Comma 20 3 2 2 2 2 2" xfId="8363"/>
    <cellStyle name="Comma 20 3 2 2 2 2 2 2" xfId="16811"/>
    <cellStyle name="Comma 20 3 2 2 2 2 3" xfId="12587"/>
    <cellStyle name="Comma 20 3 2 2 2 3" xfId="6251"/>
    <cellStyle name="Comma 20 3 2 2 2 3 2" xfId="14699"/>
    <cellStyle name="Comma 20 3 2 2 2 4" xfId="10475"/>
    <cellStyle name="Comma 20 3 2 2 3" xfId="3081"/>
    <cellStyle name="Comma 20 3 2 2 3 2" xfId="7307"/>
    <cellStyle name="Comma 20 3 2 2 3 2 2" xfId="15755"/>
    <cellStyle name="Comma 20 3 2 2 3 3" xfId="11531"/>
    <cellStyle name="Comma 20 3 2 2 4" xfId="5195"/>
    <cellStyle name="Comma 20 3 2 2 4 2" xfId="13643"/>
    <cellStyle name="Comma 20 3 2 2 5" xfId="9419"/>
    <cellStyle name="Comma 20 3 2 3" xfId="1673"/>
    <cellStyle name="Comma 20 3 2 3 2" xfId="3785"/>
    <cellStyle name="Comma 20 3 2 3 2 2" xfId="8011"/>
    <cellStyle name="Comma 20 3 2 3 2 2 2" xfId="16459"/>
    <cellStyle name="Comma 20 3 2 3 2 3" xfId="12235"/>
    <cellStyle name="Comma 20 3 2 3 3" xfId="5899"/>
    <cellStyle name="Comma 20 3 2 3 3 2" xfId="14347"/>
    <cellStyle name="Comma 20 3 2 3 4" xfId="10123"/>
    <cellStyle name="Comma 20 3 2 4" xfId="2729"/>
    <cellStyle name="Comma 20 3 2 4 2" xfId="6955"/>
    <cellStyle name="Comma 20 3 2 4 2 2" xfId="15403"/>
    <cellStyle name="Comma 20 3 2 4 3" xfId="11179"/>
    <cellStyle name="Comma 20 3 2 5" xfId="4843"/>
    <cellStyle name="Comma 20 3 2 5 2" xfId="13291"/>
    <cellStyle name="Comma 20 3 2 6" xfId="9067"/>
    <cellStyle name="Comma 20 3 3" xfId="787"/>
    <cellStyle name="Comma 20 3 3 2" xfId="1849"/>
    <cellStyle name="Comma 20 3 3 2 2" xfId="3961"/>
    <cellStyle name="Comma 20 3 3 2 2 2" xfId="8187"/>
    <cellStyle name="Comma 20 3 3 2 2 2 2" xfId="16635"/>
    <cellStyle name="Comma 20 3 3 2 2 3" xfId="12411"/>
    <cellStyle name="Comma 20 3 3 2 3" xfId="6075"/>
    <cellStyle name="Comma 20 3 3 2 3 2" xfId="14523"/>
    <cellStyle name="Comma 20 3 3 2 4" xfId="10299"/>
    <cellStyle name="Comma 20 3 3 3" xfId="2905"/>
    <cellStyle name="Comma 20 3 3 3 2" xfId="7131"/>
    <cellStyle name="Comma 20 3 3 3 2 2" xfId="15579"/>
    <cellStyle name="Comma 20 3 3 3 3" xfId="11355"/>
    <cellStyle name="Comma 20 3 3 4" xfId="5019"/>
    <cellStyle name="Comma 20 3 3 4 2" xfId="13467"/>
    <cellStyle name="Comma 20 3 3 5" xfId="9243"/>
    <cellStyle name="Comma 20 3 4" xfId="1139"/>
    <cellStyle name="Comma 20 3 4 2" xfId="2201"/>
    <cellStyle name="Comma 20 3 4 2 2" xfId="4313"/>
    <cellStyle name="Comma 20 3 4 2 2 2" xfId="8539"/>
    <cellStyle name="Comma 20 3 4 2 2 2 2" xfId="16987"/>
    <cellStyle name="Comma 20 3 4 2 2 3" xfId="12763"/>
    <cellStyle name="Comma 20 3 4 2 3" xfId="6427"/>
    <cellStyle name="Comma 20 3 4 2 3 2" xfId="14875"/>
    <cellStyle name="Comma 20 3 4 2 4" xfId="10651"/>
    <cellStyle name="Comma 20 3 4 3" xfId="3257"/>
    <cellStyle name="Comma 20 3 4 3 2" xfId="7483"/>
    <cellStyle name="Comma 20 3 4 3 2 2" xfId="15931"/>
    <cellStyle name="Comma 20 3 4 3 3" xfId="11707"/>
    <cellStyle name="Comma 20 3 4 4" xfId="5371"/>
    <cellStyle name="Comma 20 3 4 4 2" xfId="13819"/>
    <cellStyle name="Comma 20 3 4 5" xfId="9595"/>
    <cellStyle name="Comma 20 3 5" xfId="1321"/>
    <cellStyle name="Comma 20 3 5 2" xfId="2377"/>
    <cellStyle name="Comma 20 3 5 2 2" xfId="4489"/>
    <cellStyle name="Comma 20 3 5 2 2 2" xfId="8715"/>
    <cellStyle name="Comma 20 3 5 2 2 2 2" xfId="17163"/>
    <cellStyle name="Comma 20 3 5 2 2 3" xfId="12939"/>
    <cellStyle name="Comma 20 3 5 2 3" xfId="6603"/>
    <cellStyle name="Comma 20 3 5 2 3 2" xfId="15051"/>
    <cellStyle name="Comma 20 3 5 2 4" xfId="10827"/>
    <cellStyle name="Comma 20 3 5 3" xfId="3433"/>
    <cellStyle name="Comma 20 3 5 3 2" xfId="7659"/>
    <cellStyle name="Comma 20 3 5 3 2 2" xfId="16107"/>
    <cellStyle name="Comma 20 3 5 3 3" xfId="11883"/>
    <cellStyle name="Comma 20 3 5 4" xfId="5547"/>
    <cellStyle name="Comma 20 3 5 4 2" xfId="13995"/>
    <cellStyle name="Comma 20 3 5 5" xfId="9771"/>
    <cellStyle name="Comma 20 3 6" xfId="1497"/>
    <cellStyle name="Comma 20 3 6 2" xfId="3609"/>
    <cellStyle name="Comma 20 3 6 2 2" xfId="7835"/>
    <cellStyle name="Comma 20 3 6 2 2 2" xfId="16283"/>
    <cellStyle name="Comma 20 3 6 2 3" xfId="12059"/>
    <cellStyle name="Comma 20 3 6 3" xfId="5723"/>
    <cellStyle name="Comma 20 3 6 3 2" xfId="14171"/>
    <cellStyle name="Comma 20 3 6 4" xfId="9947"/>
    <cellStyle name="Comma 20 3 7" xfId="2553"/>
    <cellStyle name="Comma 20 3 7 2" xfId="6779"/>
    <cellStyle name="Comma 20 3 7 2 2" xfId="15227"/>
    <cellStyle name="Comma 20 3 7 3" xfId="11003"/>
    <cellStyle name="Comma 20 3 8" xfId="4666"/>
    <cellStyle name="Comma 20 3 8 2" xfId="13115"/>
    <cellStyle name="Comma 20 3 9" xfId="8891"/>
    <cellStyle name="Comma 20 4" xfId="608"/>
    <cellStyle name="Comma 20 4 2" xfId="961"/>
    <cellStyle name="Comma 20 4 2 2" xfId="2023"/>
    <cellStyle name="Comma 20 4 2 2 2" xfId="4135"/>
    <cellStyle name="Comma 20 4 2 2 2 2" xfId="8361"/>
    <cellStyle name="Comma 20 4 2 2 2 2 2" xfId="16809"/>
    <cellStyle name="Comma 20 4 2 2 2 3" xfId="12585"/>
    <cellStyle name="Comma 20 4 2 2 3" xfId="6249"/>
    <cellStyle name="Comma 20 4 2 2 3 2" xfId="14697"/>
    <cellStyle name="Comma 20 4 2 2 4" xfId="10473"/>
    <cellStyle name="Comma 20 4 2 3" xfId="3079"/>
    <cellStyle name="Comma 20 4 2 3 2" xfId="7305"/>
    <cellStyle name="Comma 20 4 2 3 2 2" xfId="15753"/>
    <cellStyle name="Comma 20 4 2 3 3" xfId="11529"/>
    <cellStyle name="Comma 20 4 2 4" xfId="5193"/>
    <cellStyle name="Comma 20 4 2 4 2" xfId="13641"/>
    <cellStyle name="Comma 20 4 2 5" xfId="9417"/>
    <cellStyle name="Comma 20 4 3" xfId="1671"/>
    <cellStyle name="Comma 20 4 3 2" xfId="3783"/>
    <cellStyle name="Comma 20 4 3 2 2" xfId="8009"/>
    <cellStyle name="Comma 20 4 3 2 2 2" xfId="16457"/>
    <cellStyle name="Comma 20 4 3 2 3" xfId="12233"/>
    <cellStyle name="Comma 20 4 3 3" xfId="5897"/>
    <cellStyle name="Comma 20 4 3 3 2" xfId="14345"/>
    <cellStyle name="Comma 20 4 3 4" xfId="10121"/>
    <cellStyle name="Comma 20 4 4" xfId="2727"/>
    <cellStyle name="Comma 20 4 4 2" xfId="6953"/>
    <cellStyle name="Comma 20 4 4 2 2" xfId="15401"/>
    <cellStyle name="Comma 20 4 4 3" xfId="11177"/>
    <cellStyle name="Comma 20 4 5" xfId="4841"/>
    <cellStyle name="Comma 20 4 5 2" xfId="13289"/>
    <cellStyle name="Comma 20 4 6" xfId="9065"/>
    <cellStyle name="Comma 20 5" xfId="785"/>
    <cellStyle name="Comma 20 5 2" xfId="1847"/>
    <cellStyle name="Comma 20 5 2 2" xfId="3959"/>
    <cellStyle name="Comma 20 5 2 2 2" xfId="8185"/>
    <cellStyle name="Comma 20 5 2 2 2 2" xfId="16633"/>
    <cellStyle name="Comma 20 5 2 2 3" xfId="12409"/>
    <cellStyle name="Comma 20 5 2 3" xfId="6073"/>
    <cellStyle name="Comma 20 5 2 3 2" xfId="14521"/>
    <cellStyle name="Comma 20 5 2 4" xfId="10297"/>
    <cellStyle name="Comma 20 5 3" xfId="2903"/>
    <cellStyle name="Comma 20 5 3 2" xfId="7129"/>
    <cellStyle name="Comma 20 5 3 2 2" xfId="15577"/>
    <cellStyle name="Comma 20 5 3 3" xfId="11353"/>
    <cellStyle name="Comma 20 5 4" xfId="5017"/>
    <cellStyle name="Comma 20 5 4 2" xfId="13465"/>
    <cellStyle name="Comma 20 5 5" xfId="9241"/>
    <cellStyle name="Comma 20 6" xfId="1137"/>
    <cellStyle name="Comma 20 6 2" xfId="2199"/>
    <cellStyle name="Comma 20 6 2 2" xfId="4311"/>
    <cellStyle name="Comma 20 6 2 2 2" xfId="8537"/>
    <cellStyle name="Comma 20 6 2 2 2 2" xfId="16985"/>
    <cellStyle name="Comma 20 6 2 2 3" xfId="12761"/>
    <cellStyle name="Comma 20 6 2 3" xfId="6425"/>
    <cellStyle name="Comma 20 6 2 3 2" xfId="14873"/>
    <cellStyle name="Comma 20 6 2 4" xfId="10649"/>
    <cellStyle name="Comma 20 6 3" xfId="3255"/>
    <cellStyle name="Comma 20 6 3 2" xfId="7481"/>
    <cellStyle name="Comma 20 6 3 2 2" xfId="15929"/>
    <cellStyle name="Comma 20 6 3 3" xfId="11705"/>
    <cellStyle name="Comma 20 6 4" xfId="5369"/>
    <cellStyle name="Comma 20 6 4 2" xfId="13817"/>
    <cellStyle name="Comma 20 6 5" xfId="9593"/>
    <cellStyle name="Comma 20 7" xfId="1319"/>
    <cellStyle name="Comma 20 7 2" xfId="2375"/>
    <cellStyle name="Comma 20 7 2 2" xfId="4487"/>
    <cellStyle name="Comma 20 7 2 2 2" xfId="8713"/>
    <cellStyle name="Comma 20 7 2 2 2 2" xfId="17161"/>
    <cellStyle name="Comma 20 7 2 2 3" xfId="12937"/>
    <cellStyle name="Comma 20 7 2 3" xfId="6601"/>
    <cellStyle name="Comma 20 7 2 3 2" xfId="15049"/>
    <cellStyle name="Comma 20 7 2 4" xfId="10825"/>
    <cellStyle name="Comma 20 7 3" xfId="3431"/>
    <cellStyle name="Comma 20 7 3 2" xfId="7657"/>
    <cellStyle name="Comma 20 7 3 2 2" xfId="16105"/>
    <cellStyle name="Comma 20 7 3 3" xfId="11881"/>
    <cellStyle name="Comma 20 7 4" xfId="5545"/>
    <cellStyle name="Comma 20 7 4 2" xfId="13993"/>
    <cellStyle name="Comma 20 7 5" xfId="9769"/>
    <cellStyle name="Comma 20 8" xfId="1495"/>
    <cellStyle name="Comma 20 8 2" xfId="3607"/>
    <cellStyle name="Comma 20 8 2 2" xfId="7833"/>
    <cellStyle name="Comma 20 8 2 2 2" xfId="16281"/>
    <cellStyle name="Comma 20 8 2 3" xfId="12057"/>
    <cellStyle name="Comma 20 8 3" xfId="5721"/>
    <cellStyle name="Comma 20 8 3 2" xfId="14169"/>
    <cellStyle name="Comma 20 8 4" xfId="9945"/>
    <cellStyle name="Comma 20 9" xfId="2551"/>
    <cellStyle name="Comma 20 9 2" xfId="6777"/>
    <cellStyle name="Comma 20 9 2 2" xfId="15225"/>
    <cellStyle name="Comma 20 9 3" xfId="11001"/>
    <cellStyle name="Comma 21" xfId="131"/>
    <cellStyle name="Comma 22" xfId="132"/>
    <cellStyle name="Comma 23" xfId="133"/>
    <cellStyle name="Comma 24" xfId="134"/>
    <cellStyle name="Comma 25" xfId="135"/>
    <cellStyle name="Comma 26" xfId="136"/>
    <cellStyle name="Comma 27" xfId="137"/>
    <cellStyle name="Comma 28" xfId="138"/>
    <cellStyle name="Comma 29" xfId="139"/>
    <cellStyle name="Comma 3" xfId="140"/>
    <cellStyle name="Comma 3 2" xfId="141"/>
    <cellStyle name="Comma 3 2 2" xfId="142"/>
    <cellStyle name="Comma 3 2 2 2" xfId="143"/>
    <cellStyle name="Comma 3 2 2 3" xfId="144"/>
    <cellStyle name="Comma 3 2 3" xfId="145"/>
    <cellStyle name="Comma 3 2 4" xfId="146"/>
    <cellStyle name="Comma 3 2 5" xfId="147"/>
    <cellStyle name="Comma 3 3" xfId="148"/>
    <cellStyle name="Comma 3 3 2" xfId="149"/>
    <cellStyle name="Comma 3 3 3" xfId="150"/>
    <cellStyle name="Comma 3 4" xfId="151"/>
    <cellStyle name="Comma 3 5" xfId="152"/>
    <cellStyle name="Comma 30" xfId="153"/>
    <cellStyle name="Comma 31" xfId="154"/>
    <cellStyle name="Comma 32" xfId="155"/>
    <cellStyle name="Comma 33" xfId="156"/>
    <cellStyle name="Comma 33 10" xfId="8892"/>
    <cellStyle name="Comma 33 2" xfId="157"/>
    <cellStyle name="Comma 33 2 2" xfId="612"/>
    <cellStyle name="Comma 33 2 2 2" xfId="965"/>
    <cellStyle name="Comma 33 2 2 2 2" xfId="2027"/>
    <cellStyle name="Comma 33 2 2 2 2 2" xfId="4139"/>
    <cellStyle name="Comma 33 2 2 2 2 2 2" xfId="8365"/>
    <cellStyle name="Comma 33 2 2 2 2 2 2 2" xfId="16813"/>
    <cellStyle name="Comma 33 2 2 2 2 2 3" xfId="12589"/>
    <cellStyle name="Comma 33 2 2 2 2 3" xfId="6253"/>
    <cellStyle name="Comma 33 2 2 2 2 3 2" xfId="14701"/>
    <cellStyle name="Comma 33 2 2 2 2 4" xfId="10477"/>
    <cellStyle name="Comma 33 2 2 2 3" xfId="3083"/>
    <cellStyle name="Comma 33 2 2 2 3 2" xfId="7309"/>
    <cellStyle name="Comma 33 2 2 2 3 2 2" xfId="15757"/>
    <cellStyle name="Comma 33 2 2 2 3 3" xfId="11533"/>
    <cellStyle name="Comma 33 2 2 2 4" xfId="5197"/>
    <cellStyle name="Comma 33 2 2 2 4 2" xfId="13645"/>
    <cellStyle name="Comma 33 2 2 2 5" xfId="9421"/>
    <cellStyle name="Comma 33 2 2 3" xfId="1675"/>
    <cellStyle name="Comma 33 2 2 3 2" xfId="3787"/>
    <cellStyle name="Comma 33 2 2 3 2 2" xfId="8013"/>
    <cellStyle name="Comma 33 2 2 3 2 2 2" xfId="16461"/>
    <cellStyle name="Comma 33 2 2 3 2 3" xfId="12237"/>
    <cellStyle name="Comma 33 2 2 3 3" xfId="5901"/>
    <cellStyle name="Comma 33 2 2 3 3 2" xfId="14349"/>
    <cellStyle name="Comma 33 2 2 3 4" xfId="10125"/>
    <cellStyle name="Comma 33 2 2 4" xfId="2731"/>
    <cellStyle name="Comma 33 2 2 4 2" xfId="6957"/>
    <cellStyle name="Comma 33 2 2 4 2 2" xfId="15405"/>
    <cellStyle name="Comma 33 2 2 4 3" xfId="11181"/>
    <cellStyle name="Comma 33 2 2 5" xfId="4845"/>
    <cellStyle name="Comma 33 2 2 5 2" xfId="13293"/>
    <cellStyle name="Comma 33 2 2 6" xfId="9069"/>
    <cellStyle name="Comma 33 2 3" xfId="789"/>
    <cellStyle name="Comma 33 2 3 2" xfId="1851"/>
    <cellStyle name="Comma 33 2 3 2 2" xfId="3963"/>
    <cellStyle name="Comma 33 2 3 2 2 2" xfId="8189"/>
    <cellStyle name="Comma 33 2 3 2 2 2 2" xfId="16637"/>
    <cellStyle name="Comma 33 2 3 2 2 3" xfId="12413"/>
    <cellStyle name="Comma 33 2 3 2 3" xfId="6077"/>
    <cellStyle name="Comma 33 2 3 2 3 2" xfId="14525"/>
    <cellStyle name="Comma 33 2 3 2 4" xfId="10301"/>
    <cellStyle name="Comma 33 2 3 3" xfId="2907"/>
    <cellStyle name="Comma 33 2 3 3 2" xfId="7133"/>
    <cellStyle name="Comma 33 2 3 3 2 2" xfId="15581"/>
    <cellStyle name="Comma 33 2 3 3 3" xfId="11357"/>
    <cellStyle name="Comma 33 2 3 4" xfId="5021"/>
    <cellStyle name="Comma 33 2 3 4 2" xfId="13469"/>
    <cellStyle name="Comma 33 2 3 5" xfId="9245"/>
    <cellStyle name="Comma 33 2 4" xfId="1141"/>
    <cellStyle name="Comma 33 2 4 2" xfId="2203"/>
    <cellStyle name="Comma 33 2 4 2 2" xfId="4315"/>
    <cellStyle name="Comma 33 2 4 2 2 2" xfId="8541"/>
    <cellStyle name="Comma 33 2 4 2 2 2 2" xfId="16989"/>
    <cellStyle name="Comma 33 2 4 2 2 3" xfId="12765"/>
    <cellStyle name="Comma 33 2 4 2 3" xfId="6429"/>
    <cellStyle name="Comma 33 2 4 2 3 2" xfId="14877"/>
    <cellStyle name="Comma 33 2 4 2 4" xfId="10653"/>
    <cellStyle name="Comma 33 2 4 3" xfId="3259"/>
    <cellStyle name="Comma 33 2 4 3 2" xfId="7485"/>
    <cellStyle name="Comma 33 2 4 3 2 2" xfId="15933"/>
    <cellStyle name="Comma 33 2 4 3 3" xfId="11709"/>
    <cellStyle name="Comma 33 2 4 4" xfId="5373"/>
    <cellStyle name="Comma 33 2 4 4 2" xfId="13821"/>
    <cellStyle name="Comma 33 2 4 5" xfId="9597"/>
    <cellStyle name="Comma 33 2 5" xfId="1323"/>
    <cellStyle name="Comma 33 2 5 2" xfId="2379"/>
    <cellStyle name="Comma 33 2 5 2 2" xfId="4491"/>
    <cellStyle name="Comma 33 2 5 2 2 2" xfId="8717"/>
    <cellStyle name="Comma 33 2 5 2 2 2 2" xfId="17165"/>
    <cellStyle name="Comma 33 2 5 2 2 3" xfId="12941"/>
    <cellStyle name="Comma 33 2 5 2 3" xfId="6605"/>
    <cellStyle name="Comma 33 2 5 2 3 2" xfId="15053"/>
    <cellStyle name="Comma 33 2 5 2 4" xfId="10829"/>
    <cellStyle name="Comma 33 2 5 3" xfId="3435"/>
    <cellStyle name="Comma 33 2 5 3 2" xfId="7661"/>
    <cellStyle name="Comma 33 2 5 3 2 2" xfId="16109"/>
    <cellStyle name="Comma 33 2 5 3 3" xfId="11885"/>
    <cellStyle name="Comma 33 2 5 4" xfId="5549"/>
    <cellStyle name="Comma 33 2 5 4 2" xfId="13997"/>
    <cellStyle name="Comma 33 2 5 5" xfId="9773"/>
    <cellStyle name="Comma 33 2 6" xfId="1499"/>
    <cellStyle name="Comma 33 2 6 2" xfId="3611"/>
    <cellStyle name="Comma 33 2 6 2 2" xfId="7837"/>
    <cellStyle name="Comma 33 2 6 2 2 2" xfId="16285"/>
    <cellStyle name="Comma 33 2 6 2 3" xfId="12061"/>
    <cellStyle name="Comma 33 2 6 3" xfId="5725"/>
    <cellStyle name="Comma 33 2 6 3 2" xfId="14173"/>
    <cellStyle name="Comma 33 2 6 4" xfId="9949"/>
    <cellStyle name="Comma 33 2 7" xfId="2555"/>
    <cellStyle name="Comma 33 2 7 2" xfId="6781"/>
    <cellStyle name="Comma 33 2 7 2 2" xfId="15229"/>
    <cellStyle name="Comma 33 2 7 3" xfId="11005"/>
    <cellStyle name="Comma 33 2 8" xfId="4668"/>
    <cellStyle name="Comma 33 2 8 2" xfId="13117"/>
    <cellStyle name="Comma 33 2 9" xfId="8893"/>
    <cellStyle name="Comma 33 3" xfId="611"/>
    <cellStyle name="Comma 33 3 2" xfId="964"/>
    <cellStyle name="Comma 33 3 2 2" xfId="2026"/>
    <cellStyle name="Comma 33 3 2 2 2" xfId="4138"/>
    <cellStyle name="Comma 33 3 2 2 2 2" xfId="8364"/>
    <cellStyle name="Comma 33 3 2 2 2 2 2" xfId="16812"/>
    <cellStyle name="Comma 33 3 2 2 2 3" xfId="12588"/>
    <cellStyle name="Comma 33 3 2 2 3" xfId="6252"/>
    <cellStyle name="Comma 33 3 2 2 3 2" xfId="14700"/>
    <cellStyle name="Comma 33 3 2 2 4" xfId="10476"/>
    <cellStyle name="Comma 33 3 2 3" xfId="3082"/>
    <cellStyle name="Comma 33 3 2 3 2" xfId="7308"/>
    <cellStyle name="Comma 33 3 2 3 2 2" xfId="15756"/>
    <cellStyle name="Comma 33 3 2 3 3" xfId="11532"/>
    <cellStyle name="Comma 33 3 2 4" xfId="5196"/>
    <cellStyle name="Comma 33 3 2 4 2" xfId="13644"/>
    <cellStyle name="Comma 33 3 2 5" xfId="9420"/>
    <cellStyle name="Comma 33 3 3" xfId="1674"/>
    <cellStyle name="Comma 33 3 3 2" xfId="3786"/>
    <cellStyle name="Comma 33 3 3 2 2" xfId="8012"/>
    <cellStyle name="Comma 33 3 3 2 2 2" xfId="16460"/>
    <cellStyle name="Comma 33 3 3 2 3" xfId="12236"/>
    <cellStyle name="Comma 33 3 3 3" xfId="5900"/>
    <cellStyle name="Comma 33 3 3 3 2" xfId="14348"/>
    <cellStyle name="Comma 33 3 3 4" xfId="10124"/>
    <cellStyle name="Comma 33 3 4" xfId="2730"/>
    <cellStyle name="Comma 33 3 4 2" xfId="6956"/>
    <cellStyle name="Comma 33 3 4 2 2" xfId="15404"/>
    <cellStyle name="Comma 33 3 4 3" xfId="11180"/>
    <cellStyle name="Comma 33 3 5" xfId="4844"/>
    <cellStyle name="Comma 33 3 5 2" xfId="13292"/>
    <cellStyle name="Comma 33 3 6" xfId="9068"/>
    <cellStyle name="Comma 33 4" xfId="788"/>
    <cellStyle name="Comma 33 4 2" xfId="1850"/>
    <cellStyle name="Comma 33 4 2 2" xfId="3962"/>
    <cellStyle name="Comma 33 4 2 2 2" xfId="8188"/>
    <cellStyle name="Comma 33 4 2 2 2 2" xfId="16636"/>
    <cellStyle name="Comma 33 4 2 2 3" xfId="12412"/>
    <cellStyle name="Comma 33 4 2 3" xfId="6076"/>
    <cellStyle name="Comma 33 4 2 3 2" xfId="14524"/>
    <cellStyle name="Comma 33 4 2 4" xfId="10300"/>
    <cellStyle name="Comma 33 4 3" xfId="2906"/>
    <cellStyle name="Comma 33 4 3 2" xfId="7132"/>
    <cellStyle name="Comma 33 4 3 2 2" xfId="15580"/>
    <cellStyle name="Comma 33 4 3 3" xfId="11356"/>
    <cellStyle name="Comma 33 4 4" xfId="5020"/>
    <cellStyle name="Comma 33 4 4 2" xfId="13468"/>
    <cellStyle name="Comma 33 4 5" xfId="9244"/>
    <cellStyle name="Comma 33 5" xfId="1140"/>
    <cellStyle name="Comma 33 5 2" xfId="2202"/>
    <cellStyle name="Comma 33 5 2 2" xfId="4314"/>
    <cellStyle name="Comma 33 5 2 2 2" xfId="8540"/>
    <cellStyle name="Comma 33 5 2 2 2 2" xfId="16988"/>
    <cellStyle name="Comma 33 5 2 2 3" xfId="12764"/>
    <cellStyle name="Comma 33 5 2 3" xfId="6428"/>
    <cellStyle name="Comma 33 5 2 3 2" xfId="14876"/>
    <cellStyle name="Comma 33 5 2 4" xfId="10652"/>
    <cellStyle name="Comma 33 5 3" xfId="3258"/>
    <cellStyle name="Comma 33 5 3 2" xfId="7484"/>
    <cellStyle name="Comma 33 5 3 2 2" xfId="15932"/>
    <cellStyle name="Comma 33 5 3 3" xfId="11708"/>
    <cellStyle name="Comma 33 5 4" xfId="5372"/>
    <cellStyle name="Comma 33 5 4 2" xfId="13820"/>
    <cellStyle name="Comma 33 5 5" xfId="9596"/>
    <cellStyle name="Comma 33 6" xfId="1322"/>
    <cellStyle name="Comma 33 6 2" xfId="2378"/>
    <cellStyle name="Comma 33 6 2 2" xfId="4490"/>
    <cellStyle name="Comma 33 6 2 2 2" xfId="8716"/>
    <cellStyle name="Comma 33 6 2 2 2 2" xfId="17164"/>
    <cellStyle name="Comma 33 6 2 2 3" xfId="12940"/>
    <cellStyle name="Comma 33 6 2 3" xfId="6604"/>
    <cellStyle name="Comma 33 6 2 3 2" xfId="15052"/>
    <cellStyle name="Comma 33 6 2 4" xfId="10828"/>
    <cellStyle name="Comma 33 6 3" xfId="3434"/>
    <cellStyle name="Comma 33 6 3 2" xfId="7660"/>
    <cellStyle name="Comma 33 6 3 2 2" xfId="16108"/>
    <cellStyle name="Comma 33 6 3 3" xfId="11884"/>
    <cellStyle name="Comma 33 6 4" xfId="5548"/>
    <cellStyle name="Comma 33 6 4 2" xfId="13996"/>
    <cellStyle name="Comma 33 6 5" xfId="9772"/>
    <cellStyle name="Comma 33 7" xfId="1498"/>
    <cellStyle name="Comma 33 7 2" xfId="3610"/>
    <cellStyle name="Comma 33 7 2 2" xfId="7836"/>
    <cellStyle name="Comma 33 7 2 2 2" xfId="16284"/>
    <cellStyle name="Comma 33 7 2 3" xfId="12060"/>
    <cellStyle name="Comma 33 7 3" xfId="5724"/>
    <cellStyle name="Comma 33 7 3 2" xfId="14172"/>
    <cellStyle name="Comma 33 7 4" xfId="9948"/>
    <cellStyle name="Comma 33 8" xfId="2554"/>
    <cellStyle name="Comma 33 8 2" xfId="6780"/>
    <cellStyle name="Comma 33 8 2 2" xfId="15228"/>
    <cellStyle name="Comma 33 8 3" xfId="11004"/>
    <cellStyle name="Comma 33 9" xfId="4667"/>
    <cellStyle name="Comma 33 9 2" xfId="13116"/>
    <cellStyle name="Comma 34" xfId="158"/>
    <cellStyle name="Comma 34 10" xfId="8894"/>
    <cellStyle name="Comma 34 2" xfId="159"/>
    <cellStyle name="Comma 34 2 2" xfId="614"/>
    <cellStyle name="Comma 34 2 2 2" xfId="967"/>
    <cellStyle name="Comma 34 2 2 2 2" xfId="2029"/>
    <cellStyle name="Comma 34 2 2 2 2 2" xfId="4141"/>
    <cellStyle name="Comma 34 2 2 2 2 2 2" xfId="8367"/>
    <cellStyle name="Comma 34 2 2 2 2 2 2 2" xfId="16815"/>
    <cellStyle name="Comma 34 2 2 2 2 2 3" xfId="12591"/>
    <cellStyle name="Comma 34 2 2 2 2 3" xfId="6255"/>
    <cellStyle name="Comma 34 2 2 2 2 3 2" xfId="14703"/>
    <cellStyle name="Comma 34 2 2 2 2 4" xfId="10479"/>
    <cellStyle name="Comma 34 2 2 2 3" xfId="3085"/>
    <cellStyle name="Comma 34 2 2 2 3 2" xfId="7311"/>
    <cellStyle name="Comma 34 2 2 2 3 2 2" xfId="15759"/>
    <cellStyle name="Comma 34 2 2 2 3 3" xfId="11535"/>
    <cellStyle name="Comma 34 2 2 2 4" xfId="5199"/>
    <cellStyle name="Comma 34 2 2 2 4 2" xfId="13647"/>
    <cellStyle name="Comma 34 2 2 2 5" xfId="9423"/>
    <cellStyle name="Comma 34 2 2 3" xfId="1677"/>
    <cellStyle name="Comma 34 2 2 3 2" xfId="3789"/>
    <cellStyle name="Comma 34 2 2 3 2 2" xfId="8015"/>
    <cellStyle name="Comma 34 2 2 3 2 2 2" xfId="16463"/>
    <cellStyle name="Comma 34 2 2 3 2 3" xfId="12239"/>
    <cellStyle name="Comma 34 2 2 3 3" xfId="5903"/>
    <cellStyle name="Comma 34 2 2 3 3 2" xfId="14351"/>
    <cellStyle name="Comma 34 2 2 3 4" xfId="10127"/>
    <cellStyle name="Comma 34 2 2 4" xfId="2733"/>
    <cellStyle name="Comma 34 2 2 4 2" xfId="6959"/>
    <cellStyle name="Comma 34 2 2 4 2 2" xfId="15407"/>
    <cellStyle name="Comma 34 2 2 4 3" xfId="11183"/>
    <cellStyle name="Comma 34 2 2 5" xfId="4847"/>
    <cellStyle name="Comma 34 2 2 5 2" xfId="13295"/>
    <cellStyle name="Comma 34 2 2 6" xfId="9071"/>
    <cellStyle name="Comma 34 2 3" xfId="791"/>
    <cellStyle name="Comma 34 2 3 2" xfId="1853"/>
    <cellStyle name="Comma 34 2 3 2 2" xfId="3965"/>
    <cellStyle name="Comma 34 2 3 2 2 2" xfId="8191"/>
    <cellStyle name="Comma 34 2 3 2 2 2 2" xfId="16639"/>
    <cellStyle name="Comma 34 2 3 2 2 3" xfId="12415"/>
    <cellStyle name="Comma 34 2 3 2 3" xfId="6079"/>
    <cellStyle name="Comma 34 2 3 2 3 2" xfId="14527"/>
    <cellStyle name="Comma 34 2 3 2 4" xfId="10303"/>
    <cellStyle name="Comma 34 2 3 3" xfId="2909"/>
    <cellStyle name="Comma 34 2 3 3 2" xfId="7135"/>
    <cellStyle name="Comma 34 2 3 3 2 2" xfId="15583"/>
    <cellStyle name="Comma 34 2 3 3 3" xfId="11359"/>
    <cellStyle name="Comma 34 2 3 4" xfId="5023"/>
    <cellStyle name="Comma 34 2 3 4 2" xfId="13471"/>
    <cellStyle name="Comma 34 2 3 5" xfId="9247"/>
    <cellStyle name="Comma 34 2 4" xfId="1143"/>
    <cellStyle name="Comma 34 2 4 2" xfId="2205"/>
    <cellStyle name="Comma 34 2 4 2 2" xfId="4317"/>
    <cellStyle name="Comma 34 2 4 2 2 2" xfId="8543"/>
    <cellStyle name="Comma 34 2 4 2 2 2 2" xfId="16991"/>
    <cellStyle name="Comma 34 2 4 2 2 3" xfId="12767"/>
    <cellStyle name="Comma 34 2 4 2 3" xfId="6431"/>
    <cellStyle name="Comma 34 2 4 2 3 2" xfId="14879"/>
    <cellStyle name="Comma 34 2 4 2 4" xfId="10655"/>
    <cellStyle name="Comma 34 2 4 3" xfId="3261"/>
    <cellStyle name="Comma 34 2 4 3 2" xfId="7487"/>
    <cellStyle name="Comma 34 2 4 3 2 2" xfId="15935"/>
    <cellStyle name="Comma 34 2 4 3 3" xfId="11711"/>
    <cellStyle name="Comma 34 2 4 4" xfId="5375"/>
    <cellStyle name="Comma 34 2 4 4 2" xfId="13823"/>
    <cellStyle name="Comma 34 2 4 5" xfId="9599"/>
    <cellStyle name="Comma 34 2 5" xfId="1325"/>
    <cellStyle name="Comma 34 2 5 2" xfId="2381"/>
    <cellStyle name="Comma 34 2 5 2 2" xfId="4493"/>
    <cellStyle name="Comma 34 2 5 2 2 2" xfId="8719"/>
    <cellStyle name="Comma 34 2 5 2 2 2 2" xfId="17167"/>
    <cellStyle name="Comma 34 2 5 2 2 3" xfId="12943"/>
    <cellStyle name="Comma 34 2 5 2 3" xfId="6607"/>
    <cellStyle name="Comma 34 2 5 2 3 2" xfId="15055"/>
    <cellStyle name="Comma 34 2 5 2 4" xfId="10831"/>
    <cellStyle name="Comma 34 2 5 3" xfId="3437"/>
    <cellStyle name="Comma 34 2 5 3 2" xfId="7663"/>
    <cellStyle name="Comma 34 2 5 3 2 2" xfId="16111"/>
    <cellStyle name="Comma 34 2 5 3 3" xfId="11887"/>
    <cellStyle name="Comma 34 2 5 4" xfId="5551"/>
    <cellStyle name="Comma 34 2 5 4 2" xfId="13999"/>
    <cellStyle name="Comma 34 2 5 5" xfId="9775"/>
    <cellStyle name="Comma 34 2 6" xfId="1501"/>
    <cellStyle name="Comma 34 2 6 2" xfId="3613"/>
    <cellStyle name="Comma 34 2 6 2 2" xfId="7839"/>
    <cellStyle name="Comma 34 2 6 2 2 2" xfId="16287"/>
    <cellStyle name="Comma 34 2 6 2 3" xfId="12063"/>
    <cellStyle name="Comma 34 2 6 3" xfId="5727"/>
    <cellStyle name="Comma 34 2 6 3 2" xfId="14175"/>
    <cellStyle name="Comma 34 2 6 4" xfId="9951"/>
    <cellStyle name="Comma 34 2 7" xfId="2557"/>
    <cellStyle name="Comma 34 2 7 2" xfId="6783"/>
    <cellStyle name="Comma 34 2 7 2 2" xfId="15231"/>
    <cellStyle name="Comma 34 2 7 3" xfId="11007"/>
    <cellStyle name="Comma 34 2 8" xfId="4670"/>
    <cellStyle name="Comma 34 2 8 2" xfId="13119"/>
    <cellStyle name="Comma 34 2 9" xfId="8895"/>
    <cellStyle name="Comma 34 3" xfId="613"/>
    <cellStyle name="Comma 34 3 2" xfId="966"/>
    <cellStyle name="Comma 34 3 2 2" xfId="2028"/>
    <cellStyle name="Comma 34 3 2 2 2" xfId="4140"/>
    <cellStyle name="Comma 34 3 2 2 2 2" xfId="8366"/>
    <cellStyle name="Comma 34 3 2 2 2 2 2" xfId="16814"/>
    <cellStyle name="Comma 34 3 2 2 2 3" xfId="12590"/>
    <cellStyle name="Comma 34 3 2 2 3" xfId="6254"/>
    <cellStyle name="Comma 34 3 2 2 3 2" xfId="14702"/>
    <cellStyle name="Comma 34 3 2 2 4" xfId="10478"/>
    <cellStyle name="Comma 34 3 2 3" xfId="3084"/>
    <cellStyle name="Comma 34 3 2 3 2" xfId="7310"/>
    <cellStyle name="Comma 34 3 2 3 2 2" xfId="15758"/>
    <cellStyle name="Comma 34 3 2 3 3" xfId="11534"/>
    <cellStyle name="Comma 34 3 2 4" xfId="5198"/>
    <cellStyle name="Comma 34 3 2 4 2" xfId="13646"/>
    <cellStyle name="Comma 34 3 2 5" xfId="9422"/>
    <cellStyle name="Comma 34 3 3" xfId="1676"/>
    <cellStyle name="Comma 34 3 3 2" xfId="3788"/>
    <cellStyle name="Comma 34 3 3 2 2" xfId="8014"/>
    <cellStyle name="Comma 34 3 3 2 2 2" xfId="16462"/>
    <cellStyle name="Comma 34 3 3 2 3" xfId="12238"/>
    <cellStyle name="Comma 34 3 3 3" xfId="5902"/>
    <cellStyle name="Comma 34 3 3 3 2" xfId="14350"/>
    <cellStyle name="Comma 34 3 3 4" xfId="10126"/>
    <cellStyle name="Comma 34 3 4" xfId="2732"/>
    <cellStyle name="Comma 34 3 4 2" xfId="6958"/>
    <cellStyle name="Comma 34 3 4 2 2" xfId="15406"/>
    <cellStyle name="Comma 34 3 4 3" xfId="11182"/>
    <cellStyle name="Comma 34 3 5" xfId="4846"/>
    <cellStyle name="Comma 34 3 5 2" xfId="13294"/>
    <cellStyle name="Comma 34 3 6" xfId="9070"/>
    <cellStyle name="Comma 34 4" xfId="790"/>
    <cellStyle name="Comma 34 4 2" xfId="1852"/>
    <cellStyle name="Comma 34 4 2 2" xfId="3964"/>
    <cellStyle name="Comma 34 4 2 2 2" xfId="8190"/>
    <cellStyle name="Comma 34 4 2 2 2 2" xfId="16638"/>
    <cellStyle name="Comma 34 4 2 2 3" xfId="12414"/>
    <cellStyle name="Comma 34 4 2 3" xfId="6078"/>
    <cellStyle name="Comma 34 4 2 3 2" xfId="14526"/>
    <cellStyle name="Comma 34 4 2 4" xfId="10302"/>
    <cellStyle name="Comma 34 4 3" xfId="2908"/>
    <cellStyle name="Comma 34 4 3 2" xfId="7134"/>
    <cellStyle name="Comma 34 4 3 2 2" xfId="15582"/>
    <cellStyle name="Comma 34 4 3 3" xfId="11358"/>
    <cellStyle name="Comma 34 4 4" xfId="5022"/>
    <cellStyle name="Comma 34 4 4 2" xfId="13470"/>
    <cellStyle name="Comma 34 4 5" xfId="9246"/>
    <cellStyle name="Comma 34 5" xfId="1142"/>
    <cellStyle name="Comma 34 5 2" xfId="2204"/>
    <cellStyle name="Comma 34 5 2 2" xfId="4316"/>
    <cellStyle name="Comma 34 5 2 2 2" xfId="8542"/>
    <cellStyle name="Comma 34 5 2 2 2 2" xfId="16990"/>
    <cellStyle name="Comma 34 5 2 2 3" xfId="12766"/>
    <cellStyle name="Comma 34 5 2 3" xfId="6430"/>
    <cellStyle name="Comma 34 5 2 3 2" xfId="14878"/>
    <cellStyle name="Comma 34 5 2 4" xfId="10654"/>
    <cellStyle name="Comma 34 5 3" xfId="3260"/>
    <cellStyle name="Comma 34 5 3 2" xfId="7486"/>
    <cellStyle name="Comma 34 5 3 2 2" xfId="15934"/>
    <cellStyle name="Comma 34 5 3 3" xfId="11710"/>
    <cellStyle name="Comma 34 5 4" xfId="5374"/>
    <cellStyle name="Comma 34 5 4 2" xfId="13822"/>
    <cellStyle name="Comma 34 5 5" xfId="9598"/>
    <cellStyle name="Comma 34 6" xfId="1324"/>
    <cellStyle name="Comma 34 6 2" xfId="2380"/>
    <cellStyle name="Comma 34 6 2 2" xfId="4492"/>
    <cellStyle name="Comma 34 6 2 2 2" xfId="8718"/>
    <cellStyle name="Comma 34 6 2 2 2 2" xfId="17166"/>
    <cellStyle name="Comma 34 6 2 2 3" xfId="12942"/>
    <cellStyle name="Comma 34 6 2 3" xfId="6606"/>
    <cellStyle name="Comma 34 6 2 3 2" xfId="15054"/>
    <cellStyle name="Comma 34 6 2 4" xfId="10830"/>
    <cellStyle name="Comma 34 6 3" xfId="3436"/>
    <cellStyle name="Comma 34 6 3 2" xfId="7662"/>
    <cellStyle name="Comma 34 6 3 2 2" xfId="16110"/>
    <cellStyle name="Comma 34 6 3 3" xfId="11886"/>
    <cellStyle name="Comma 34 6 4" xfId="5550"/>
    <cellStyle name="Comma 34 6 4 2" xfId="13998"/>
    <cellStyle name="Comma 34 6 5" xfId="9774"/>
    <cellStyle name="Comma 34 7" xfId="1500"/>
    <cellStyle name="Comma 34 7 2" xfId="3612"/>
    <cellStyle name="Comma 34 7 2 2" xfId="7838"/>
    <cellStyle name="Comma 34 7 2 2 2" xfId="16286"/>
    <cellStyle name="Comma 34 7 2 3" xfId="12062"/>
    <cellStyle name="Comma 34 7 3" xfId="5726"/>
    <cellStyle name="Comma 34 7 3 2" xfId="14174"/>
    <cellStyle name="Comma 34 7 4" xfId="9950"/>
    <cellStyle name="Comma 34 8" xfId="2556"/>
    <cellStyle name="Comma 34 8 2" xfId="6782"/>
    <cellStyle name="Comma 34 8 2 2" xfId="15230"/>
    <cellStyle name="Comma 34 8 3" xfId="11006"/>
    <cellStyle name="Comma 34 9" xfId="4669"/>
    <cellStyle name="Comma 34 9 2" xfId="13118"/>
    <cellStyle name="Comma 35" xfId="160"/>
    <cellStyle name="Comma 35 2" xfId="615"/>
    <cellStyle name="Comma 35 2 2" xfId="968"/>
    <cellStyle name="Comma 35 2 2 2" xfId="2030"/>
    <cellStyle name="Comma 35 2 2 2 2" xfId="4142"/>
    <cellStyle name="Comma 35 2 2 2 2 2" xfId="8368"/>
    <cellStyle name="Comma 35 2 2 2 2 2 2" xfId="16816"/>
    <cellStyle name="Comma 35 2 2 2 2 3" xfId="12592"/>
    <cellStyle name="Comma 35 2 2 2 3" xfId="6256"/>
    <cellStyle name="Comma 35 2 2 2 3 2" xfId="14704"/>
    <cellStyle name="Comma 35 2 2 2 4" xfId="10480"/>
    <cellStyle name="Comma 35 2 2 3" xfId="3086"/>
    <cellStyle name="Comma 35 2 2 3 2" xfId="7312"/>
    <cellStyle name="Comma 35 2 2 3 2 2" xfId="15760"/>
    <cellStyle name="Comma 35 2 2 3 3" xfId="11536"/>
    <cellStyle name="Comma 35 2 2 4" xfId="5200"/>
    <cellStyle name="Comma 35 2 2 4 2" xfId="13648"/>
    <cellStyle name="Comma 35 2 2 5" xfId="9424"/>
    <cellStyle name="Comma 35 2 3" xfId="1678"/>
    <cellStyle name="Comma 35 2 3 2" xfId="3790"/>
    <cellStyle name="Comma 35 2 3 2 2" xfId="8016"/>
    <cellStyle name="Comma 35 2 3 2 2 2" xfId="16464"/>
    <cellStyle name="Comma 35 2 3 2 3" xfId="12240"/>
    <cellStyle name="Comma 35 2 3 3" xfId="5904"/>
    <cellStyle name="Comma 35 2 3 3 2" xfId="14352"/>
    <cellStyle name="Comma 35 2 3 4" xfId="10128"/>
    <cellStyle name="Comma 35 2 4" xfId="2734"/>
    <cellStyle name="Comma 35 2 4 2" xfId="6960"/>
    <cellStyle name="Comma 35 2 4 2 2" xfId="15408"/>
    <cellStyle name="Comma 35 2 4 3" xfId="11184"/>
    <cellStyle name="Comma 35 2 5" xfId="4848"/>
    <cellStyle name="Comma 35 2 5 2" xfId="13296"/>
    <cellStyle name="Comma 35 2 6" xfId="9072"/>
    <cellStyle name="Comma 35 3" xfId="792"/>
    <cellStyle name="Comma 35 3 2" xfId="1854"/>
    <cellStyle name="Comma 35 3 2 2" xfId="3966"/>
    <cellStyle name="Comma 35 3 2 2 2" xfId="8192"/>
    <cellStyle name="Comma 35 3 2 2 2 2" xfId="16640"/>
    <cellStyle name="Comma 35 3 2 2 3" xfId="12416"/>
    <cellStyle name="Comma 35 3 2 3" xfId="6080"/>
    <cellStyle name="Comma 35 3 2 3 2" xfId="14528"/>
    <cellStyle name="Comma 35 3 2 4" xfId="10304"/>
    <cellStyle name="Comma 35 3 3" xfId="2910"/>
    <cellStyle name="Comma 35 3 3 2" xfId="7136"/>
    <cellStyle name="Comma 35 3 3 2 2" xfId="15584"/>
    <cellStyle name="Comma 35 3 3 3" xfId="11360"/>
    <cellStyle name="Comma 35 3 4" xfId="5024"/>
    <cellStyle name="Comma 35 3 4 2" xfId="13472"/>
    <cellStyle name="Comma 35 3 5" xfId="9248"/>
    <cellStyle name="Comma 35 4" xfId="1144"/>
    <cellStyle name="Comma 35 4 2" xfId="2206"/>
    <cellStyle name="Comma 35 4 2 2" xfId="4318"/>
    <cellStyle name="Comma 35 4 2 2 2" xfId="8544"/>
    <cellStyle name="Comma 35 4 2 2 2 2" xfId="16992"/>
    <cellStyle name="Comma 35 4 2 2 3" xfId="12768"/>
    <cellStyle name="Comma 35 4 2 3" xfId="6432"/>
    <cellStyle name="Comma 35 4 2 3 2" xfId="14880"/>
    <cellStyle name="Comma 35 4 2 4" xfId="10656"/>
    <cellStyle name="Comma 35 4 3" xfId="3262"/>
    <cellStyle name="Comma 35 4 3 2" xfId="7488"/>
    <cellStyle name="Comma 35 4 3 2 2" xfId="15936"/>
    <cellStyle name="Comma 35 4 3 3" xfId="11712"/>
    <cellStyle name="Comma 35 4 4" xfId="5376"/>
    <cellStyle name="Comma 35 4 4 2" xfId="13824"/>
    <cellStyle name="Comma 35 4 5" xfId="9600"/>
    <cellStyle name="Comma 35 5" xfId="1326"/>
    <cellStyle name="Comma 35 5 2" xfId="2382"/>
    <cellStyle name="Comma 35 5 2 2" xfId="4494"/>
    <cellStyle name="Comma 35 5 2 2 2" xfId="8720"/>
    <cellStyle name="Comma 35 5 2 2 2 2" xfId="17168"/>
    <cellStyle name="Comma 35 5 2 2 3" xfId="12944"/>
    <cellStyle name="Comma 35 5 2 3" xfId="6608"/>
    <cellStyle name="Comma 35 5 2 3 2" xfId="15056"/>
    <cellStyle name="Comma 35 5 2 4" xfId="10832"/>
    <cellStyle name="Comma 35 5 3" xfId="3438"/>
    <cellStyle name="Comma 35 5 3 2" xfId="7664"/>
    <cellStyle name="Comma 35 5 3 2 2" xfId="16112"/>
    <cellStyle name="Comma 35 5 3 3" xfId="11888"/>
    <cellStyle name="Comma 35 5 4" xfId="5552"/>
    <cellStyle name="Comma 35 5 4 2" xfId="14000"/>
    <cellStyle name="Comma 35 5 5" xfId="9776"/>
    <cellStyle name="Comma 35 6" xfId="1502"/>
    <cellStyle name="Comma 35 6 2" xfId="3614"/>
    <cellStyle name="Comma 35 6 2 2" xfId="7840"/>
    <cellStyle name="Comma 35 6 2 2 2" xfId="16288"/>
    <cellStyle name="Comma 35 6 2 3" xfId="12064"/>
    <cellStyle name="Comma 35 6 3" xfId="5728"/>
    <cellStyle name="Comma 35 6 3 2" xfId="14176"/>
    <cellStyle name="Comma 35 6 4" xfId="9952"/>
    <cellStyle name="Comma 35 7" xfId="2558"/>
    <cellStyle name="Comma 35 7 2" xfId="6784"/>
    <cellStyle name="Comma 35 7 2 2" xfId="15232"/>
    <cellStyle name="Comma 35 7 3" xfId="11008"/>
    <cellStyle name="Comma 35 8" xfId="4671"/>
    <cellStyle name="Comma 35 8 2" xfId="13120"/>
    <cellStyle name="Comma 35 9" xfId="8896"/>
    <cellStyle name="Comma 36" xfId="161"/>
    <cellStyle name="Comma 36 2" xfId="616"/>
    <cellStyle name="Comma 36 2 2" xfId="969"/>
    <cellStyle name="Comma 36 2 2 2" xfId="2031"/>
    <cellStyle name="Comma 36 2 2 2 2" xfId="4143"/>
    <cellStyle name="Comma 36 2 2 2 2 2" xfId="8369"/>
    <cellStyle name="Comma 36 2 2 2 2 2 2" xfId="16817"/>
    <cellStyle name="Comma 36 2 2 2 2 3" xfId="12593"/>
    <cellStyle name="Comma 36 2 2 2 3" xfId="6257"/>
    <cellStyle name="Comma 36 2 2 2 3 2" xfId="14705"/>
    <cellStyle name="Comma 36 2 2 2 4" xfId="10481"/>
    <cellStyle name="Comma 36 2 2 3" xfId="3087"/>
    <cellStyle name="Comma 36 2 2 3 2" xfId="7313"/>
    <cellStyle name="Comma 36 2 2 3 2 2" xfId="15761"/>
    <cellStyle name="Comma 36 2 2 3 3" xfId="11537"/>
    <cellStyle name="Comma 36 2 2 4" xfId="5201"/>
    <cellStyle name="Comma 36 2 2 4 2" xfId="13649"/>
    <cellStyle name="Comma 36 2 2 5" xfId="9425"/>
    <cellStyle name="Comma 36 2 3" xfId="1679"/>
    <cellStyle name="Comma 36 2 3 2" xfId="3791"/>
    <cellStyle name="Comma 36 2 3 2 2" xfId="8017"/>
    <cellStyle name="Comma 36 2 3 2 2 2" xfId="16465"/>
    <cellStyle name="Comma 36 2 3 2 3" xfId="12241"/>
    <cellStyle name="Comma 36 2 3 3" xfId="5905"/>
    <cellStyle name="Comma 36 2 3 3 2" xfId="14353"/>
    <cellStyle name="Comma 36 2 3 4" xfId="10129"/>
    <cellStyle name="Comma 36 2 4" xfId="2735"/>
    <cellStyle name="Comma 36 2 4 2" xfId="6961"/>
    <cellStyle name="Comma 36 2 4 2 2" xfId="15409"/>
    <cellStyle name="Comma 36 2 4 3" xfId="11185"/>
    <cellStyle name="Comma 36 2 5" xfId="4849"/>
    <cellStyle name="Comma 36 2 5 2" xfId="13297"/>
    <cellStyle name="Comma 36 2 6" xfId="9073"/>
    <cellStyle name="Comma 36 3" xfId="793"/>
    <cellStyle name="Comma 36 3 2" xfId="1855"/>
    <cellStyle name="Comma 36 3 2 2" xfId="3967"/>
    <cellStyle name="Comma 36 3 2 2 2" xfId="8193"/>
    <cellStyle name="Comma 36 3 2 2 2 2" xfId="16641"/>
    <cellStyle name="Comma 36 3 2 2 3" xfId="12417"/>
    <cellStyle name="Comma 36 3 2 3" xfId="6081"/>
    <cellStyle name="Comma 36 3 2 3 2" xfId="14529"/>
    <cellStyle name="Comma 36 3 2 4" xfId="10305"/>
    <cellStyle name="Comma 36 3 3" xfId="2911"/>
    <cellStyle name="Comma 36 3 3 2" xfId="7137"/>
    <cellStyle name="Comma 36 3 3 2 2" xfId="15585"/>
    <cellStyle name="Comma 36 3 3 3" xfId="11361"/>
    <cellStyle name="Comma 36 3 4" xfId="5025"/>
    <cellStyle name="Comma 36 3 4 2" xfId="13473"/>
    <cellStyle name="Comma 36 3 5" xfId="9249"/>
    <cellStyle name="Comma 36 4" xfId="1145"/>
    <cellStyle name="Comma 36 4 2" xfId="2207"/>
    <cellStyle name="Comma 36 4 2 2" xfId="4319"/>
    <cellStyle name="Comma 36 4 2 2 2" xfId="8545"/>
    <cellStyle name="Comma 36 4 2 2 2 2" xfId="16993"/>
    <cellStyle name="Comma 36 4 2 2 3" xfId="12769"/>
    <cellStyle name="Comma 36 4 2 3" xfId="6433"/>
    <cellStyle name="Comma 36 4 2 3 2" xfId="14881"/>
    <cellStyle name="Comma 36 4 2 4" xfId="10657"/>
    <cellStyle name="Comma 36 4 3" xfId="3263"/>
    <cellStyle name="Comma 36 4 3 2" xfId="7489"/>
    <cellStyle name="Comma 36 4 3 2 2" xfId="15937"/>
    <cellStyle name="Comma 36 4 3 3" xfId="11713"/>
    <cellStyle name="Comma 36 4 4" xfId="5377"/>
    <cellStyle name="Comma 36 4 4 2" xfId="13825"/>
    <cellStyle name="Comma 36 4 5" xfId="9601"/>
    <cellStyle name="Comma 36 5" xfId="1327"/>
    <cellStyle name="Comma 36 5 2" xfId="2383"/>
    <cellStyle name="Comma 36 5 2 2" xfId="4495"/>
    <cellStyle name="Comma 36 5 2 2 2" xfId="8721"/>
    <cellStyle name="Comma 36 5 2 2 2 2" xfId="17169"/>
    <cellStyle name="Comma 36 5 2 2 3" xfId="12945"/>
    <cellStyle name="Comma 36 5 2 3" xfId="6609"/>
    <cellStyle name="Comma 36 5 2 3 2" xfId="15057"/>
    <cellStyle name="Comma 36 5 2 4" xfId="10833"/>
    <cellStyle name="Comma 36 5 3" xfId="3439"/>
    <cellStyle name="Comma 36 5 3 2" xfId="7665"/>
    <cellStyle name="Comma 36 5 3 2 2" xfId="16113"/>
    <cellStyle name="Comma 36 5 3 3" xfId="11889"/>
    <cellStyle name="Comma 36 5 4" xfId="5553"/>
    <cellStyle name="Comma 36 5 4 2" xfId="14001"/>
    <cellStyle name="Comma 36 5 5" xfId="9777"/>
    <cellStyle name="Comma 36 6" xfId="1503"/>
    <cellStyle name="Comma 36 6 2" xfId="3615"/>
    <cellStyle name="Comma 36 6 2 2" xfId="7841"/>
    <cellStyle name="Comma 36 6 2 2 2" xfId="16289"/>
    <cellStyle name="Comma 36 6 2 3" xfId="12065"/>
    <cellStyle name="Comma 36 6 3" xfId="5729"/>
    <cellStyle name="Comma 36 6 3 2" xfId="14177"/>
    <cellStyle name="Comma 36 6 4" xfId="9953"/>
    <cellStyle name="Comma 36 7" xfId="2559"/>
    <cellStyle name="Comma 36 7 2" xfId="6785"/>
    <cellStyle name="Comma 36 7 2 2" xfId="15233"/>
    <cellStyle name="Comma 36 7 3" xfId="11009"/>
    <cellStyle name="Comma 36 8" xfId="4672"/>
    <cellStyle name="Comma 36 8 2" xfId="13121"/>
    <cellStyle name="Comma 36 9" xfId="8897"/>
    <cellStyle name="Comma 37" xfId="162"/>
    <cellStyle name="Comma 37 2" xfId="617"/>
    <cellStyle name="Comma 37 2 2" xfId="970"/>
    <cellStyle name="Comma 37 2 2 2" xfId="2032"/>
    <cellStyle name="Comma 37 2 2 2 2" xfId="4144"/>
    <cellStyle name="Comma 37 2 2 2 2 2" xfId="8370"/>
    <cellStyle name="Comma 37 2 2 2 2 2 2" xfId="16818"/>
    <cellStyle name="Comma 37 2 2 2 2 3" xfId="12594"/>
    <cellStyle name="Comma 37 2 2 2 3" xfId="6258"/>
    <cellStyle name="Comma 37 2 2 2 3 2" xfId="14706"/>
    <cellStyle name="Comma 37 2 2 2 4" xfId="10482"/>
    <cellStyle name="Comma 37 2 2 3" xfId="3088"/>
    <cellStyle name="Comma 37 2 2 3 2" xfId="7314"/>
    <cellStyle name="Comma 37 2 2 3 2 2" xfId="15762"/>
    <cellStyle name="Comma 37 2 2 3 3" xfId="11538"/>
    <cellStyle name="Comma 37 2 2 4" xfId="5202"/>
    <cellStyle name="Comma 37 2 2 4 2" xfId="13650"/>
    <cellStyle name="Comma 37 2 2 5" xfId="9426"/>
    <cellStyle name="Comma 37 2 3" xfId="1680"/>
    <cellStyle name="Comma 37 2 3 2" xfId="3792"/>
    <cellStyle name="Comma 37 2 3 2 2" xfId="8018"/>
    <cellStyle name="Comma 37 2 3 2 2 2" xfId="16466"/>
    <cellStyle name="Comma 37 2 3 2 3" xfId="12242"/>
    <cellStyle name="Comma 37 2 3 3" xfId="5906"/>
    <cellStyle name="Comma 37 2 3 3 2" xfId="14354"/>
    <cellStyle name="Comma 37 2 3 4" xfId="10130"/>
    <cellStyle name="Comma 37 2 4" xfId="2736"/>
    <cellStyle name="Comma 37 2 4 2" xfId="6962"/>
    <cellStyle name="Comma 37 2 4 2 2" xfId="15410"/>
    <cellStyle name="Comma 37 2 4 3" xfId="11186"/>
    <cellStyle name="Comma 37 2 5" xfId="4850"/>
    <cellStyle name="Comma 37 2 5 2" xfId="13298"/>
    <cellStyle name="Comma 37 2 6" xfId="9074"/>
    <cellStyle name="Comma 37 3" xfId="794"/>
    <cellStyle name="Comma 37 3 2" xfId="1856"/>
    <cellStyle name="Comma 37 3 2 2" xfId="3968"/>
    <cellStyle name="Comma 37 3 2 2 2" xfId="8194"/>
    <cellStyle name="Comma 37 3 2 2 2 2" xfId="16642"/>
    <cellStyle name="Comma 37 3 2 2 3" xfId="12418"/>
    <cellStyle name="Comma 37 3 2 3" xfId="6082"/>
    <cellStyle name="Comma 37 3 2 3 2" xfId="14530"/>
    <cellStyle name="Comma 37 3 2 4" xfId="10306"/>
    <cellStyle name="Comma 37 3 3" xfId="2912"/>
    <cellStyle name="Comma 37 3 3 2" xfId="7138"/>
    <cellStyle name="Comma 37 3 3 2 2" xfId="15586"/>
    <cellStyle name="Comma 37 3 3 3" xfId="11362"/>
    <cellStyle name="Comma 37 3 4" xfId="5026"/>
    <cellStyle name="Comma 37 3 4 2" xfId="13474"/>
    <cellStyle name="Comma 37 3 5" xfId="9250"/>
    <cellStyle name="Comma 37 4" xfId="1146"/>
    <cellStyle name="Comma 37 4 2" xfId="2208"/>
    <cellStyle name="Comma 37 4 2 2" xfId="4320"/>
    <cellStyle name="Comma 37 4 2 2 2" xfId="8546"/>
    <cellStyle name="Comma 37 4 2 2 2 2" xfId="16994"/>
    <cellStyle name="Comma 37 4 2 2 3" xfId="12770"/>
    <cellStyle name="Comma 37 4 2 3" xfId="6434"/>
    <cellStyle name="Comma 37 4 2 3 2" xfId="14882"/>
    <cellStyle name="Comma 37 4 2 4" xfId="10658"/>
    <cellStyle name="Comma 37 4 3" xfId="3264"/>
    <cellStyle name="Comma 37 4 3 2" xfId="7490"/>
    <cellStyle name="Comma 37 4 3 2 2" xfId="15938"/>
    <cellStyle name="Comma 37 4 3 3" xfId="11714"/>
    <cellStyle name="Comma 37 4 4" xfId="5378"/>
    <cellStyle name="Comma 37 4 4 2" xfId="13826"/>
    <cellStyle name="Comma 37 4 5" xfId="9602"/>
    <cellStyle name="Comma 37 5" xfId="1328"/>
    <cellStyle name="Comma 37 5 2" xfId="2384"/>
    <cellStyle name="Comma 37 5 2 2" xfId="4496"/>
    <cellStyle name="Comma 37 5 2 2 2" xfId="8722"/>
    <cellStyle name="Comma 37 5 2 2 2 2" xfId="17170"/>
    <cellStyle name="Comma 37 5 2 2 3" xfId="12946"/>
    <cellStyle name="Comma 37 5 2 3" xfId="6610"/>
    <cellStyle name="Comma 37 5 2 3 2" xfId="15058"/>
    <cellStyle name="Comma 37 5 2 4" xfId="10834"/>
    <cellStyle name="Comma 37 5 3" xfId="3440"/>
    <cellStyle name="Comma 37 5 3 2" xfId="7666"/>
    <cellStyle name="Comma 37 5 3 2 2" xfId="16114"/>
    <cellStyle name="Comma 37 5 3 3" xfId="11890"/>
    <cellStyle name="Comma 37 5 4" xfId="5554"/>
    <cellStyle name="Comma 37 5 4 2" xfId="14002"/>
    <cellStyle name="Comma 37 5 5" xfId="9778"/>
    <cellStyle name="Comma 37 6" xfId="1504"/>
    <cellStyle name="Comma 37 6 2" xfId="3616"/>
    <cellStyle name="Comma 37 6 2 2" xfId="7842"/>
    <cellStyle name="Comma 37 6 2 2 2" xfId="16290"/>
    <cellStyle name="Comma 37 6 2 3" xfId="12066"/>
    <cellStyle name="Comma 37 6 3" xfId="5730"/>
    <cellStyle name="Comma 37 6 3 2" xfId="14178"/>
    <cellStyle name="Comma 37 6 4" xfId="9954"/>
    <cellStyle name="Comma 37 7" xfId="2560"/>
    <cellStyle name="Comma 37 7 2" xfId="6786"/>
    <cellStyle name="Comma 37 7 2 2" xfId="15234"/>
    <cellStyle name="Comma 37 7 3" xfId="11010"/>
    <cellStyle name="Comma 37 8" xfId="4673"/>
    <cellStyle name="Comma 37 8 2" xfId="13122"/>
    <cellStyle name="Comma 37 9" xfId="8898"/>
    <cellStyle name="Comma 38" xfId="79"/>
    <cellStyle name="Comma 39" xfId="17320"/>
    <cellStyle name="Comma 4" xfId="163"/>
    <cellStyle name="Comma 4 2" xfId="164"/>
    <cellStyle name="Comma 4 2 2" xfId="165"/>
    <cellStyle name="Comma 4 2 2 2" xfId="166"/>
    <cellStyle name="Comma 4 2 2 3" xfId="167"/>
    <cellStyle name="Comma 4 2 3" xfId="168"/>
    <cellStyle name="Comma 4 2 4" xfId="169"/>
    <cellStyle name="Comma 4 2 5" xfId="170"/>
    <cellStyle name="Comma 4 2 5 2" xfId="618"/>
    <cellStyle name="Comma 4 2 6" xfId="171"/>
    <cellStyle name="Comma 4 3" xfId="172"/>
    <cellStyle name="Comma 4 3 2" xfId="173"/>
    <cellStyle name="Comma 4 4" xfId="174"/>
    <cellStyle name="Comma 4 5" xfId="175"/>
    <cellStyle name="Comma 4 5 10" xfId="4674"/>
    <cellStyle name="Comma 4 5 10 2" xfId="13123"/>
    <cellStyle name="Comma 4 5 11" xfId="8899"/>
    <cellStyle name="Comma 4 5 2" xfId="176"/>
    <cellStyle name="Comma 4 5 2 2" xfId="620"/>
    <cellStyle name="Comma 4 5 2 2 2" xfId="972"/>
    <cellStyle name="Comma 4 5 2 2 2 2" xfId="2034"/>
    <cellStyle name="Comma 4 5 2 2 2 2 2" xfId="4146"/>
    <cellStyle name="Comma 4 5 2 2 2 2 2 2" xfId="8372"/>
    <cellStyle name="Comma 4 5 2 2 2 2 2 2 2" xfId="16820"/>
    <cellStyle name="Comma 4 5 2 2 2 2 2 3" xfId="12596"/>
    <cellStyle name="Comma 4 5 2 2 2 2 3" xfId="6260"/>
    <cellStyle name="Comma 4 5 2 2 2 2 3 2" xfId="14708"/>
    <cellStyle name="Comma 4 5 2 2 2 2 4" xfId="10484"/>
    <cellStyle name="Comma 4 5 2 2 2 3" xfId="3090"/>
    <cellStyle name="Comma 4 5 2 2 2 3 2" xfId="7316"/>
    <cellStyle name="Comma 4 5 2 2 2 3 2 2" xfId="15764"/>
    <cellStyle name="Comma 4 5 2 2 2 3 3" xfId="11540"/>
    <cellStyle name="Comma 4 5 2 2 2 4" xfId="5204"/>
    <cellStyle name="Comma 4 5 2 2 2 4 2" xfId="13652"/>
    <cellStyle name="Comma 4 5 2 2 2 5" xfId="9428"/>
    <cellStyle name="Comma 4 5 2 2 3" xfId="1682"/>
    <cellStyle name="Comma 4 5 2 2 3 2" xfId="3794"/>
    <cellStyle name="Comma 4 5 2 2 3 2 2" xfId="8020"/>
    <cellStyle name="Comma 4 5 2 2 3 2 2 2" xfId="16468"/>
    <cellStyle name="Comma 4 5 2 2 3 2 3" xfId="12244"/>
    <cellStyle name="Comma 4 5 2 2 3 3" xfId="5908"/>
    <cellStyle name="Comma 4 5 2 2 3 3 2" xfId="14356"/>
    <cellStyle name="Comma 4 5 2 2 3 4" xfId="10132"/>
    <cellStyle name="Comma 4 5 2 2 4" xfId="2738"/>
    <cellStyle name="Comma 4 5 2 2 4 2" xfId="6964"/>
    <cellStyle name="Comma 4 5 2 2 4 2 2" xfId="15412"/>
    <cellStyle name="Comma 4 5 2 2 4 3" xfId="11188"/>
    <cellStyle name="Comma 4 5 2 2 5" xfId="4852"/>
    <cellStyle name="Comma 4 5 2 2 5 2" xfId="13300"/>
    <cellStyle name="Comma 4 5 2 2 6" xfId="9076"/>
    <cellStyle name="Comma 4 5 2 3" xfId="796"/>
    <cellStyle name="Comma 4 5 2 3 2" xfId="1858"/>
    <cellStyle name="Comma 4 5 2 3 2 2" xfId="3970"/>
    <cellStyle name="Comma 4 5 2 3 2 2 2" xfId="8196"/>
    <cellStyle name="Comma 4 5 2 3 2 2 2 2" xfId="16644"/>
    <cellStyle name="Comma 4 5 2 3 2 2 3" xfId="12420"/>
    <cellStyle name="Comma 4 5 2 3 2 3" xfId="6084"/>
    <cellStyle name="Comma 4 5 2 3 2 3 2" xfId="14532"/>
    <cellStyle name="Comma 4 5 2 3 2 4" xfId="10308"/>
    <cellStyle name="Comma 4 5 2 3 3" xfId="2914"/>
    <cellStyle name="Comma 4 5 2 3 3 2" xfId="7140"/>
    <cellStyle name="Comma 4 5 2 3 3 2 2" xfId="15588"/>
    <cellStyle name="Comma 4 5 2 3 3 3" xfId="11364"/>
    <cellStyle name="Comma 4 5 2 3 4" xfId="5028"/>
    <cellStyle name="Comma 4 5 2 3 4 2" xfId="13476"/>
    <cellStyle name="Comma 4 5 2 3 5" xfId="9252"/>
    <cellStyle name="Comma 4 5 2 4" xfId="1148"/>
    <cellStyle name="Comma 4 5 2 4 2" xfId="2210"/>
    <cellStyle name="Comma 4 5 2 4 2 2" xfId="4322"/>
    <cellStyle name="Comma 4 5 2 4 2 2 2" xfId="8548"/>
    <cellStyle name="Comma 4 5 2 4 2 2 2 2" xfId="16996"/>
    <cellStyle name="Comma 4 5 2 4 2 2 3" xfId="12772"/>
    <cellStyle name="Comma 4 5 2 4 2 3" xfId="6436"/>
    <cellStyle name="Comma 4 5 2 4 2 3 2" xfId="14884"/>
    <cellStyle name="Comma 4 5 2 4 2 4" xfId="10660"/>
    <cellStyle name="Comma 4 5 2 4 3" xfId="3266"/>
    <cellStyle name="Comma 4 5 2 4 3 2" xfId="7492"/>
    <cellStyle name="Comma 4 5 2 4 3 2 2" xfId="15940"/>
    <cellStyle name="Comma 4 5 2 4 3 3" xfId="11716"/>
    <cellStyle name="Comma 4 5 2 4 4" xfId="5380"/>
    <cellStyle name="Comma 4 5 2 4 4 2" xfId="13828"/>
    <cellStyle name="Comma 4 5 2 4 5" xfId="9604"/>
    <cellStyle name="Comma 4 5 2 5" xfId="1330"/>
    <cellStyle name="Comma 4 5 2 5 2" xfId="2386"/>
    <cellStyle name="Comma 4 5 2 5 2 2" xfId="4498"/>
    <cellStyle name="Comma 4 5 2 5 2 2 2" xfId="8724"/>
    <cellStyle name="Comma 4 5 2 5 2 2 2 2" xfId="17172"/>
    <cellStyle name="Comma 4 5 2 5 2 2 3" xfId="12948"/>
    <cellStyle name="Comma 4 5 2 5 2 3" xfId="6612"/>
    <cellStyle name="Comma 4 5 2 5 2 3 2" xfId="15060"/>
    <cellStyle name="Comma 4 5 2 5 2 4" xfId="10836"/>
    <cellStyle name="Comma 4 5 2 5 3" xfId="3442"/>
    <cellStyle name="Comma 4 5 2 5 3 2" xfId="7668"/>
    <cellStyle name="Comma 4 5 2 5 3 2 2" xfId="16116"/>
    <cellStyle name="Comma 4 5 2 5 3 3" xfId="11892"/>
    <cellStyle name="Comma 4 5 2 5 4" xfId="5556"/>
    <cellStyle name="Comma 4 5 2 5 4 2" xfId="14004"/>
    <cellStyle name="Comma 4 5 2 5 5" xfId="9780"/>
    <cellStyle name="Comma 4 5 2 6" xfId="1506"/>
    <cellStyle name="Comma 4 5 2 6 2" xfId="3618"/>
    <cellStyle name="Comma 4 5 2 6 2 2" xfId="7844"/>
    <cellStyle name="Comma 4 5 2 6 2 2 2" xfId="16292"/>
    <cellStyle name="Comma 4 5 2 6 2 3" xfId="12068"/>
    <cellStyle name="Comma 4 5 2 6 3" xfId="5732"/>
    <cellStyle name="Comma 4 5 2 6 3 2" xfId="14180"/>
    <cellStyle name="Comma 4 5 2 6 4" xfId="9956"/>
    <cellStyle name="Comma 4 5 2 7" xfId="2562"/>
    <cellStyle name="Comma 4 5 2 7 2" xfId="6788"/>
    <cellStyle name="Comma 4 5 2 7 2 2" xfId="15236"/>
    <cellStyle name="Comma 4 5 2 7 3" xfId="11012"/>
    <cellStyle name="Comma 4 5 2 8" xfId="4675"/>
    <cellStyle name="Comma 4 5 2 8 2" xfId="13124"/>
    <cellStyle name="Comma 4 5 2 9" xfId="8900"/>
    <cellStyle name="Comma 4 5 3" xfId="177"/>
    <cellStyle name="Comma 4 5 3 2" xfId="621"/>
    <cellStyle name="Comma 4 5 3 2 2" xfId="973"/>
    <cellStyle name="Comma 4 5 3 2 2 2" xfId="2035"/>
    <cellStyle name="Comma 4 5 3 2 2 2 2" xfId="4147"/>
    <cellStyle name="Comma 4 5 3 2 2 2 2 2" xfId="8373"/>
    <cellStyle name="Comma 4 5 3 2 2 2 2 2 2" xfId="16821"/>
    <cellStyle name="Comma 4 5 3 2 2 2 2 3" xfId="12597"/>
    <cellStyle name="Comma 4 5 3 2 2 2 3" xfId="6261"/>
    <cellStyle name="Comma 4 5 3 2 2 2 3 2" xfId="14709"/>
    <cellStyle name="Comma 4 5 3 2 2 2 4" xfId="10485"/>
    <cellStyle name="Comma 4 5 3 2 2 3" xfId="3091"/>
    <cellStyle name="Comma 4 5 3 2 2 3 2" xfId="7317"/>
    <cellStyle name="Comma 4 5 3 2 2 3 2 2" xfId="15765"/>
    <cellStyle name="Comma 4 5 3 2 2 3 3" xfId="11541"/>
    <cellStyle name="Comma 4 5 3 2 2 4" xfId="5205"/>
    <cellStyle name="Comma 4 5 3 2 2 4 2" xfId="13653"/>
    <cellStyle name="Comma 4 5 3 2 2 5" xfId="9429"/>
    <cellStyle name="Comma 4 5 3 2 3" xfId="1683"/>
    <cellStyle name="Comma 4 5 3 2 3 2" xfId="3795"/>
    <cellStyle name="Comma 4 5 3 2 3 2 2" xfId="8021"/>
    <cellStyle name="Comma 4 5 3 2 3 2 2 2" xfId="16469"/>
    <cellStyle name="Comma 4 5 3 2 3 2 3" xfId="12245"/>
    <cellStyle name="Comma 4 5 3 2 3 3" xfId="5909"/>
    <cellStyle name="Comma 4 5 3 2 3 3 2" xfId="14357"/>
    <cellStyle name="Comma 4 5 3 2 3 4" xfId="10133"/>
    <cellStyle name="Comma 4 5 3 2 4" xfId="2739"/>
    <cellStyle name="Comma 4 5 3 2 4 2" xfId="6965"/>
    <cellStyle name="Comma 4 5 3 2 4 2 2" xfId="15413"/>
    <cellStyle name="Comma 4 5 3 2 4 3" xfId="11189"/>
    <cellStyle name="Comma 4 5 3 2 5" xfId="4853"/>
    <cellStyle name="Comma 4 5 3 2 5 2" xfId="13301"/>
    <cellStyle name="Comma 4 5 3 2 6" xfId="9077"/>
    <cellStyle name="Comma 4 5 3 3" xfId="797"/>
    <cellStyle name="Comma 4 5 3 3 2" xfId="1859"/>
    <cellStyle name="Comma 4 5 3 3 2 2" xfId="3971"/>
    <cellStyle name="Comma 4 5 3 3 2 2 2" xfId="8197"/>
    <cellStyle name="Comma 4 5 3 3 2 2 2 2" xfId="16645"/>
    <cellStyle name="Comma 4 5 3 3 2 2 3" xfId="12421"/>
    <cellStyle name="Comma 4 5 3 3 2 3" xfId="6085"/>
    <cellStyle name="Comma 4 5 3 3 2 3 2" xfId="14533"/>
    <cellStyle name="Comma 4 5 3 3 2 4" xfId="10309"/>
    <cellStyle name="Comma 4 5 3 3 3" xfId="2915"/>
    <cellStyle name="Comma 4 5 3 3 3 2" xfId="7141"/>
    <cellStyle name="Comma 4 5 3 3 3 2 2" xfId="15589"/>
    <cellStyle name="Comma 4 5 3 3 3 3" xfId="11365"/>
    <cellStyle name="Comma 4 5 3 3 4" xfId="5029"/>
    <cellStyle name="Comma 4 5 3 3 4 2" xfId="13477"/>
    <cellStyle name="Comma 4 5 3 3 5" xfId="9253"/>
    <cellStyle name="Comma 4 5 3 4" xfId="1149"/>
    <cellStyle name="Comma 4 5 3 4 2" xfId="2211"/>
    <cellStyle name="Comma 4 5 3 4 2 2" xfId="4323"/>
    <cellStyle name="Comma 4 5 3 4 2 2 2" xfId="8549"/>
    <cellStyle name="Comma 4 5 3 4 2 2 2 2" xfId="16997"/>
    <cellStyle name="Comma 4 5 3 4 2 2 3" xfId="12773"/>
    <cellStyle name="Comma 4 5 3 4 2 3" xfId="6437"/>
    <cellStyle name="Comma 4 5 3 4 2 3 2" xfId="14885"/>
    <cellStyle name="Comma 4 5 3 4 2 4" xfId="10661"/>
    <cellStyle name="Comma 4 5 3 4 3" xfId="3267"/>
    <cellStyle name="Comma 4 5 3 4 3 2" xfId="7493"/>
    <cellStyle name="Comma 4 5 3 4 3 2 2" xfId="15941"/>
    <cellStyle name="Comma 4 5 3 4 3 3" xfId="11717"/>
    <cellStyle name="Comma 4 5 3 4 4" xfId="5381"/>
    <cellStyle name="Comma 4 5 3 4 4 2" xfId="13829"/>
    <cellStyle name="Comma 4 5 3 4 5" xfId="9605"/>
    <cellStyle name="Comma 4 5 3 5" xfId="1331"/>
    <cellStyle name="Comma 4 5 3 5 2" xfId="2387"/>
    <cellStyle name="Comma 4 5 3 5 2 2" xfId="4499"/>
    <cellStyle name="Comma 4 5 3 5 2 2 2" xfId="8725"/>
    <cellStyle name="Comma 4 5 3 5 2 2 2 2" xfId="17173"/>
    <cellStyle name="Comma 4 5 3 5 2 2 3" xfId="12949"/>
    <cellStyle name="Comma 4 5 3 5 2 3" xfId="6613"/>
    <cellStyle name="Comma 4 5 3 5 2 3 2" xfId="15061"/>
    <cellStyle name="Comma 4 5 3 5 2 4" xfId="10837"/>
    <cellStyle name="Comma 4 5 3 5 3" xfId="3443"/>
    <cellStyle name="Comma 4 5 3 5 3 2" xfId="7669"/>
    <cellStyle name="Comma 4 5 3 5 3 2 2" xfId="16117"/>
    <cellStyle name="Comma 4 5 3 5 3 3" xfId="11893"/>
    <cellStyle name="Comma 4 5 3 5 4" xfId="5557"/>
    <cellStyle name="Comma 4 5 3 5 4 2" xfId="14005"/>
    <cellStyle name="Comma 4 5 3 5 5" xfId="9781"/>
    <cellStyle name="Comma 4 5 3 6" xfId="1507"/>
    <cellStyle name="Comma 4 5 3 6 2" xfId="3619"/>
    <cellStyle name="Comma 4 5 3 6 2 2" xfId="7845"/>
    <cellStyle name="Comma 4 5 3 6 2 2 2" xfId="16293"/>
    <cellStyle name="Comma 4 5 3 6 2 3" xfId="12069"/>
    <cellStyle name="Comma 4 5 3 6 3" xfId="5733"/>
    <cellStyle name="Comma 4 5 3 6 3 2" xfId="14181"/>
    <cellStyle name="Comma 4 5 3 6 4" xfId="9957"/>
    <cellStyle name="Comma 4 5 3 7" xfId="2563"/>
    <cellStyle name="Comma 4 5 3 7 2" xfId="6789"/>
    <cellStyle name="Comma 4 5 3 7 2 2" xfId="15237"/>
    <cellStyle name="Comma 4 5 3 7 3" xfId="11013"/>
    <cellStyle name="Comma 4 5 3 8" xfId="4676"/>
    <cellStyle name="Comma 4 5 3 8 2" xfId="13125"/>
    <cellStyle name="Comma 4 5 3 9" xfId="8901"/>
    <cellStyle name="Comma 4 5 4" xfId="619"/>
    <cellStyle name="Comma 4 5 4 2" xfId="971"/>
    <cellStyle name="Comma 4 5 4 2 2" xfId="2033"/>
    <cellStyle name="Comma 4 5 4 2 2 2" xfId="4145"/>
    <cellStyle name="Comma 4 5 4 2 2 2 2" xfId="8371"/>
    <cellStyle name="Comma 4 5 4 2 2 2 2 2" xfId="16819"/>
    <cellStyle name="Comma 4 5 4 2 2 2 3" xfId="12595"/>
    <cellStyle name="Comma 4 5 4 2 2 3" xfId="6259"/>
    <cellStyle name="Comma 4 5 4 2 2 3 2" xfId="14707"/>
    <cellStyle name="Comma 4 5 4 2 2 4" xfId="10483"/>
    <cellStyle name="Comma 4 5 4 2 3" xfId="3089"/>
    <cellStyle name="Comma 4 5 4 2 3 2" xfId="7315"/>
    <cellStyle name="Comma 4 5 4 2 3 2 2" xfId="15763"/>
    <cellStyle name="Comma 4 5 4 2 3 3" xfId="11539"/>
    <cellStyle name="Comma 4 5 4 2 4" xfId="5203"/>
    <cellStyle name="Comma 4 5 4 2 4 2" xfId="13651"/>
    <cellStyle name="Comma 4 5 4 2 5" xfId="9427"/>
    <cellStyle name="Comma 4 5 4 3" xfId="1681"/>
    <cellStyle name="Comma 4 5 4 3 2" xfId="3793"/>
    <cellStyle name="Comma 4 5 4 3 2 2" xfId="8019"/>
    <cellStyle name="Comma 4 5 4 3 2 2 2" xfId="16467"/>
    <cellStyle name="Comma 4 5 4 3 2 3" xfId="12243"/>
    <cellStyle name="Comma 4 5 4 3 3" xfId="5907"/>
    <cellStyle name="Comma 4 5 4 3 3 2" xfId="14355"/>
    <cellStyle name="Comma 4 5 4 3 4" xfId="10131"/>
    <cellStyle name="Comma 4 5 4 4" xfId="2737"/>
    <cellStyle name="Comma 4 5 4 4 2" xfId="6963"/>
    <cellStyle name="Comma 4 5 4 4 2 2" xfId="15411"/>
    <cellStyle name="Comma 4 5 4 4 3" xfId="11187"/>
    <cellStyle name="Comma 4 5 4 5" xfId="4851"/>
    <cellStyle name="Comma 4 5 4 5 2" xfId="13299"/>
    <cellStyle name="Comma 4 5 4 6" xfId="9075"/>
    <cellStyle name="Comma 4 5 5" xfId="795"/>
    <cellStyle name="Comma 4 5 5 2" xfId="1857"/>
    <cellStyle name="Comma 4 5 5 2 2" xfId="3969"/>
    <cellStyle name="Comma 4 5 5 2 2 2" xfId="8195"/>
    <cellStyle name="Comma 4 5 5 2 2 2 2" xfId="16643"/>
    <cellStyle name="Comma 4 5 5 2 2 3" xfId="12419"/>
    <cellStyle name="Comma 4 5 5 2 3" xfId="6083"/>
    <cellStyle name="Comma 4 5 5 2 3 2" xfId="14531"/>
    <cellStyle name="Comma 4 5 5 2 4" xfId="10307"/>
    <cellStyle name="Comma 4 5 5 3" xfId="2913"/>
    <cellStyle name="Comma 4 5 5 3 2" xfId="7139"/>
    <cellStyle name="Comma 4 5 5 3 2 2" xfId="15587"/>
    <cellStyle name="Comma 4 5 5 3 3" xfId="11363"/>
    <cellStyle name="Comma 4 5 5 4" xfId="5027"/>
    <cellStyle name="Comma 4 5 5 4 2" xfId="13475"/>
    <cellStyle name="Comma 4 5 5 5" xfId="9251"/>
    <cellStyle name="Comma 4 5 6" xfId="1147"/>
    <cellStyle name="Comma 4 5 6 2" xfId="2209"/>
    <cellStyle name="Comma 4 5 6 2 2" xfId="4321"/>
    <cellStyle name="Comma 4 5 6 2 2 2" xfId="8547"/>
    <cellStyle name="Comma 4 5 6 2 2 2 2" xfId="16995"/>
    <cellStyle name="Comma 4 5 6 2 2 3" xfId="12771"/>
    <cellStyle name="Comma 4 5 6 2 3" xfId="6435"/>
    <cellStyle name="Comma 4 5 6 2 3 2" xfId="14883"/>
    <cellStyle name="Comma 4 5 6 2 4" xfId="10659"/>
    <cellStyle name="Comma 4 5 6 3" xfId="3265"/>
    <cellStyle name="Comma 4 5 6 3 2" xfId="7491"/>
    <cellStyle name="Comma 4 5 6 3 2 2" xfId="15939"/>
    <cellStyle name="Comma 4 5 6 3 3" xfId="11715"/>
    <cellStyle name="Comma 4 5 6 4" xfId="5379"/>
    <cellStyle name="Comma 4 5 6 4 2" xfId="13827"/>
    <cellStyle name="Comma 4 5 6 5" xfId="9603"/>
    <cellStyle name="Comma 4 5 7" xfId="1329"/>
    <cellStyle name="Comma 4 5 7 2" xfId="2385"/>
    <cellStyle name="Comma 4 5 7 2 2" xfId="4497"/>
    <cellStyle name="Comma 4 5 7 2 2 2" xfId="8723"/>
    <cellStyle name="Comma 4 5 7 2 2 2 2" xfId="17171"/>
    <cellStyle name="Comma 4 5 7 2 2 3" xfId="12947"/>
    <cellStyle name="Comma 4 5 7 2 3" xfId="6611"/>
    <cellStyle name="Comma 4 5 7 2 3 2" xfId="15059"/>
    <cellStyle name="Comma 4 5 7 2 4" xfId="10835"/>
    <cellStyle name="Comma 4 5 7 3" xfId="3441"/>
    <cellStyle name="Comma 4 5 7 3 2" xfId="7667"/>
    <cellStyle name="Comma 4 5 7 3 2 2" xfId="16115"/>
    <cellStyle name="Comma 4 5 7 3 3" xfId="11891"/>
    <cellStyle name="Comma 4 5 7 4" xfId="5555"/>
    <cellStyle name="Comma 4 5 7 4 2" xfId="14003"/>
    <cellStyle name="Comma 4 5 7 5" xfId="9779"/>
    <cellStyle name="Comma 4 5 8" xfId="1505"/>
    <cellStyle name="Comma 4 5 8 2" xfId="3617"/>
    <cellStyle name="Comma 4 5 8 2 2" xfId="7843"/>
    <cellStyle name="Comma 4 5 8 2 2 2" xfId="16291"/>
    <cellStyle name="Comma 4 5 8 2 3" xfId="12067"/>
    <cellStyle name="Comma 4 5 8 3" xfId="5731"/>
    <cellStyle name="Comma 4 5 8 3 2" xfId="14179"/>
    <cellStyle name="Comma 4 5 8 4" xfId="9955"/>
    <cellStyle name="Comma 4 5 9" xfId="2561"/>
    <cellStyle name="Comma 4 5 9 2" xfId="6787"/>
    <cellStyle name="Comma 4 5 9 2 2" xfId="15235"/>
    <cellStyle name="Comma 4 5 9 3" xfId="11011"/>
    <cellStyle name="Comma 4 6" xfId="178"/>
    <cellStyle name="Comma 40" xfId="17395"/>
    <cellStyle name="Comma 41" xfId="17369"/>
    <cellStyle name="Comma 5" xfId="179"/>
    <cellStyle name="Comma 5 2" xfId="180"/>
    <cellStyle name="Comma 5 2 2" xfId="181"/>
    <cellStyle name="Comma 5 2 3" xfId="182"/>
    <cellStyle name="Comma 5 2 4" xfId="183"/>
    <cellStyle name="Comma 5 2 4 10" xfId="8902"/>
    <cellStyle name="Comma 5 2 4 2" xfId="184"/>
    <cellStyle name="Comma 5 2 4 2 2" xfId="623"/>
    <cellStyle name="Comma 5 2 4 2 2 2" xfId="975"/>
    <cellStyle name="Comma 5 2 4 2 2 2 2" xfId="2037"/>
    <cellStyle name="Comma 5 2 4 2 2 2 2 2" xfId="4149"/>
    <cellStyle name="Comma 5 2 4 2 2 2 2 2 2" xfId="8375"/>
    <cellStyle name="Comma 5 2 4 2 2 2 2 2 2 2" xfId="16823"/>
    <cellStyle name="Comma 5 2 4 2 2 2 2 2 3" xfId="12599"/>
    <cellStyle name="Comma 5 2 4 2 2 2 2 3" xfId="6263"/>
    <cellStyle name="Comma 5 2 4 2 2 2 2 3 2" xfId="14711"/>
    <cellStyle name="Comma 5 2 4 2 2 2 2 4" xfId="10487"/>
    <cellStyle name="Comma 5 2 4 2 2 2 3" xfId="3093"/>
    <cellStyle name="Comma 5 2 4 2 2 2 3 2" xfId="7319"/>
    <cellStyle name="Comma 5 2 4 2 2 2 3 2 2" xfId="15767"/>
    <cellStyle name="Comma 5 2 4 2 2 2 3 3" xfId="11543"/>
    <cellStyle name="Comma 5 2 4 2 2 2 4" xfId="5207"/>
    <cellStyle name="Comma 5 2 4 2 2 2 4 2" xfId="13655"/>
    <cellStyle name="Comma 5 2 4 2 2 2 5" xfId="9431"/>
    <cellStyle name="Comma 5 2 4 2 2 3" xfId="1685"/>
    <cellStyle name="Comma 5 2 4 2 2 3 2" xfId="3797"/>
    <cellStyle name="Comma 5 2 4 2 2 3 2 2" xfId="8023"/>
    <cellStyle name="Comma 5 2 4 2 2 3 2 2 2" xfId="16471"/>
    <cellStyle name="Comma 5 2 4 2 2 3 2 3" xfId="12247"/>
    <cellStyle name="Comma 5 2 4 2 2 3 3" xfId="5911"/>
    <cellStyle name="Comma 5 2 4 2 2 3 3 2" xfId="14359"/>
    <cellStyle name="Comma 5 2 4 2 2 3 4" xfId="10135"/>
    <cellStyle name="Comma 5 2 4 2 2 4" xfId="2741"/>
    <cellStyle name="Comma 5 2 4 2 2 4 2" xfId="6967"/>
    <cellStyle name="Comma 5 2 4 2 2 4 2 2" xfId="15415"/>
    <cellStyle name="Comma 5 2 4 2 2 4 3" xfId="11191"/>
    <cellStyle name="Comma 5 2 4 2 2 5" xfId="4855"/>
    <cellStyle name="Comma 5 2 4 2 2 5 2" xfId="13303"/>
    <cellStyle name="Comma 5 2 4 2 2 6" xfId="9079"/>
    <cellStyle name="Comma 5 2 4 2 3" xfId="799"/>
    <cellStyle name="Comma 5 2 4 2 3 2" xfId="1861"/>
    <cellStyle name="Comma 5 2 4 2 3 2 2" xfId="3973"/>
    <cellStyle name="Comma 5 2 4 2 3 2 2 2" xfId="8199"/>
    <cellStyle name="Comma 5 2 4 2 3 2 2 2 2" xfId="16647"/>
    <cellStyle name="Comma 5 2 4 2 3 2 2 3" xfId="12423"/>
    <cellStyle name="Comma 5 2 4 2 3 2 3" xfId="6087"/>
    <cellStyle name="Comma 5 2 4 2 3 2 3 2" xfId="14535"/>
    <cellStyle name="Comma 5 2 4 2 3 2 4" xfId="10311"/>
    <cellStyle name="Comma 5 2 4 2 3 3" xfId="2917"/>
    <cellStyle name="Comma 5 2 4 2 3 3 2" xfId="7143"/>
    <cellStyle name="Comma 5 2 4 2 3 3 2 2" xfId="15591"/>
    <cellStyle name="Comma 5 2 4 2 3 3 3" xfId="11367"/>
    <cellStyle name="Comma 5 2 4 2 3 4" xfId="5031"/>
    <cellStyle name="Comma 5 2 4 2 3 4 2" xfId="13479"/>
    <cellStyle name="Comma 5 2 4 2 3 5" xfId="9255"/>
    <cellStyle name="Comma 5 2 4 2 4" xfId="1151"/>
    <cellStyle name="Comma 5 2 4 2 4 2" xfId="2213"/>
    <cellStyle name="Comma 5 2 4 2 4 2 2" xfId="4325"/>
    <cellStyle name="Comma 5 2 4 2 4 2 2 2" xfId="8551"/>
    <cellStyle name="Comma 5 2 4 2 4 2 2 2 2" xfId="16999"/>
    <cellStyle name="Comma 5 2 4 2 4 2 2 3" xfId="12775"/>
    <cellStyle name="Comma 5 2 4 2 4 2 3" xfId="6439"/>
    <cellStyle name="Comma 5 2 4 2 4 2 3 2" xfId="14887"/>
    <cellStyle name="Comma 5 2 4 2 4 2 4" xfId="10663"/>
    <cellStyle name="Comma 5 2 4 2 4 3" xfId="3269"/>
    <cellStyle name="Comma 5 2 4 2 4 3 2" xfId="7495"/>
    <cellStyle name="Comma 5 2 4 2 4 3 2 2" xfId="15943"/>
    <cellStyle name="Comma 5 2 4 2 4 3 3" xfId="11719"/>
    <cellStyle name="Comma 5 2 4 2 4 4" xfId="5383"/>
    <cellStyle name="Comma 5 2 4 2 4 4 2" xfId="13831"/>
    <cellStyle name="Comma 5 2 4 2 4 5" xfId="9607"/>
    <cellStyle name="Comma 5 2 4 2 5" xfId="1333"/>
    <cellStyle name="Comma 5 2 4 2 5 2" xfId="2389"/>
    <cellStyle name="Comma 5 2 4 2 5 2 2" xfId="4501"/>
    <cellStyle name="Comma 5 2 4 2 5 2 2 2" xfId="8727"/>
    <cellStyle name="Comma 5 2 4 2 5 2 2 2 2" xfId="17175"/>
    <cellStyle name="Comma 5 2 4 2 5 2 2 3" xfId="12951"/>
    <cellStyle name="Comma 5 2 4 2 5 2 3" xfId="6615"/>
    <cellStyle name="Comma 5 2 4 2 5 2 3 2" xfId="15063"/>
    <cellStyle name="Comma 5 2 4 2 5 2 4" xfId="10839"/>
    <cellStyle name="Comma 5 2 4 2 5 3" xfId="3445"/>
    <cellStyle name="Comma 5 2 4 2 5 3 2" xfId="7671"/>
    <cellStyle name="Comma 5 2 4 2 5 3 2 2" xfId="16119"/>
    <cellStyle name="Comma 5 2 4 2 5 3 3" xfId="11895"/>
    <cellStyle name="Comma 5 2 4 2 5 4" xfId="5559"/>
    <cellStyle name="Comma 5 2 4 2 5 4 2" xfId="14007"/>
    <cellStyle name="Comma 5 2 4 2 5 5" xfId="9783"/>
    <cellStyle name="Comma 5 2 4 2 6" xfId="1509"/>
    <cellStyle name="Comma 5 2 4 2 6 2" xfId="3621"/>
    <cellStyle name="Comma 5 2 4 2 6 2 2" xfId="7847"/>
    <cellStyle name="Comma 5 2 4 2 6 2 2 2" xfId="16295"/>
    <cellStyle name="Comma 5 2 4 2 6 2 3" xfId="12071"/>
    <cellStyle name="Comma 5 2 4 2 6 3" xfId="5735"/>
    <cellStyle name="Comma 5 2 4 2 6 3 2" xfId="14183"/>
    <cellStyle name="Comma 5 2 4 2 6 4" xfId="9959"/>
    <cellStyle name="Comma 5 2 4 2 7" xfId="2565"/>
    <cellStyle name="Comma 5 2 4 2 7 2" xfId="6791"/>
    <cellStyle name="Comma 5 2 4 2 7 2 2" xfId="15239"/>
    <cellStyle name="Comma 5 2 4 2 7 3" xfId="11015"/>
    <cellStyle name="Comma 5 2 4 2 8" xfId="4678"/>
    <cellStyle name="Comma 5 2 4 2 8 2" xfId="13127"/>
    <cellStyle name="Comma 5 2 4 2 9" xfId="8903"/>
    <cellStyle name="Comma 5 2 4 3" xfId="622"/>
    <cellStyle name="Comma 5 2 4 3 2" xfId="974"/>
    <cellStyle name="Comma 5 2 4 3 2 2" xfId="2036"/>
    <cellStyle name="Comma 5 2 4 3 2 2 2" xfId="4148"/>
    <cellStyle name="Comma 5 2 4 3 2 2 2 2" xfId="8374"/>
    <cellStyle name="Comma 5 2 4 3 2 2 2 2 2" xfId="16822"/>
    <cellStyle name="Comma 5 2 4 3 2 2 2 3" xfId="12598"/>
    <cellStyle name="Comma 5 2 4 3 2 2 3" xfId="6262"/>
    <cellStyle name="Comma 5 2 4 3 2 2 3 2" xfId="14710"/>
    <cellStyle name="Comma 5 2 4 3 2 2 4" xfId="10486"/>
    <cellStyle name="Comma 5 2 4 3 2 3" xfId="3092"/>
    <cellStyle name="Comma 5 2 4 3 2 3 2" xfId="7318"/>
    <cellStyle name="Comma 5 2 4 3 2 3 2 2" xfId="15766"/>
    <cellStyle name="Comma 5 2 4 3 2 3 3" xfId="11542"/>
    <cellStyle name="Comma 5 2 4 3 2 4" xfId="5206"/>
    <cellStyle name="Comma 5 2 4 3 2 4 2" xfId="13654"/>
    <cellStyle name="Comma 5 2 4 3 2 5" xfId="9430"/>
    <cellStyle name="Comma 5 2 4 3 3" xfId="1684"/>
    <cellStyle name="Comma 5 2 4 3 3 2" xfId="3796"/>
    <cellStyle name="Comma 5 2 4 3 3 2 2" xfId="8022"/>
    <cellStyle name="Comma 5 2 4 3 3 2 2 2" xfId="16470"/>
    <cellStyle name="Comma 5 2 4 3 3 2 3" xfId="12246"/>
    <cellStyle name="Comma 5 2 4 3 3 3" xfId="5910"/>
    <cellStyle name="Comma 5 2 4 3 3 3 2" xfId="14358"/>
    <cellStyle name="Comma 5 2 4 3 3 4" xfId="10134"/>
    <cellStyle name="Comma 5 2 4 3 4" xfId="2740"/>
    <cellStyle name="Comma 5 2 4 3 4 2" xfId="6966"/>
    <cellStyle name="Comma 5 2 4 3 4 2 2" xfId="15414"/>
    <cellStyle name="Comma 5 2 4 3 4 3" xfId="11190"/>
    <cellStyle name="Comma 5 2 4 3 5" xfId="4854"/>
    <cellStyle name="Comma 5 2 4 3 5 2" xfId="13302"/>
    <cellStyle name="Comma 5 2 4 3 6" xfId="9078"/>
    <cellStyle name="Comma 5 2 4 4" xfId="798"/>
    <cellStyle name="Comma 5 2 4 4 2" xfId="1860"/>
    <cellStyle name="Comma 5 2 4 4 2 2" xfId="3972"/>
    <cellStyle name="Comma 5 2 4 4 2 2 2" xfId="8198"/>
    <cellStyle name="Comma 5 2 4 4 2 2 2 2" xfId="16646"/>
    <cellStyle name="Comma 5 2 4 4 2 2 3" xfId="12422"/>
    <cellStyle name="Comma 5 2 4 4 2 3" xfId="6086"/>
    <cellStyle name="Comma 5 2 4 4 2 3 2" xfId="14534"/>
    <cellStyle name="Comma 5 2 4 4 2 4" xfId="10310"/>
    <cellStyle name="Comma 5 2 4 4 3" xfId="2916"/>
    <cellStyle name="Comma 5 2 4 4 3 2" xfId="7142"/>
    <cellStyle name="Comma 5 2 4 4 3 2 2" xfId="15590"/>
    <cellStyle name="Comma 5 2 4 4 3 3" xfId="11366"/>
    <cellStyle name="Comma 5 2 4 4 4" xfId="5030"/>
    <cellStyle name="Comma 5 2 4 4 4 2" xfId="13478"/>
    <cellStyle name="Comma 5 2 4 4 5" xfId="9254"/>
    <cellStyle name="Comma 5 2 4 5" xfId="1150"/>
    <cellStyle name="Comma 5 2 4 5 2" xfId="2212"/>
    <cellStyle name="Comma 5 2 4 5 2 2" xfId="4324"/>
    <cellStyle name="Comma 5 2 4 5 2 2 2" xfId="8550"/>
    <cellStyle name="Comma 5 2 4 5 2 2 2 2" xfId="16998"/>
    <cellStyle name="Comma 5 2 4 5 2 2 3" xfId="12774"/>
    <cellStyle name="Comma 5 2 4 5 2 3" xfId="6438"/>
    <cellStyle name="Comma 5 2 4 5 2 3 2" xfId="14886"/>
    <cellStyle name="Comma 5 2 4 5 2 4" xfId="10662"/>
    <cellStyle name="Comma 5 2 4 5 3" xfId="3268"/>
    <cellStyle name="Comma 5 2 4 5 3 2" xfId="7494"/>
    <cellStyle name="Comma 5 2 4 5 3 2 2" xfId="15942"/>
    <cellStyle name="Comma 5 2 4 5 3 3" xfId="11718"/>
    <cellStyle name="Comma 5 2 4 5 4" xfId="5382"/>
    <cellStyle name="Comma 5 2 4 5 4 2" xfId="13830"/>
    <cellStyle name="Comma 5 2 4 5 5" xfId="9606"/>
    <cellStyle name="Comma 5 2 4 6" xfId="1332"/>
    <cellStyle name="Comma 5 2 4 6 2" xfId="2388"/>
    <cellStyle name="Comma 5 2 4 6 2 2" xfId="4500"/>
    <cellStyle name="Comma 5 2 4 6 2 2 2" xfId="8726"/>
    <cellStyle name="Comma 5 2 4 6 2 2 2 2" xfId="17174"/>
    <cellStyle name="Comma 5 2 4 6 2 2 3" xfId="12950"/>
    <cellStyle name="Comma 5 2 4 6 2 3" xfId="6614"/>
    <cellStyle name="Comma 5 2 4 6 2 3 2" xfId="15062"/>
    <cellStyle name="Comma 5 2 4 6 2 4" xfId="10838"/>
    <cellStyle name="Comma 5 2 4 6 3" xfId="3444"/>
    <cellStyle name="Comma 5 2 4 6 3 2" xfId="7670"/>
    <cellStyle name="Comma 5 2 4 6 3 2 2" xfId="16118"/>
    <cellStyle name="Comma 5 2 4 6 3 3" xfId="11894"/>
    <cellStyle name="Comma 5 2 4 6 4" xfId="5558"/>
    <cellStyle name="Comma 5 2 4 6 4 2" xfId="14006"/>
    <cellStyle name="Comma 5 2 4 6 5" xfId="9782"/>
    <cellStyle name="Comma 5 2 4 7" xfId="1508"/>
    <cellStyle name="Comma 5 2 4 7 2" xfId="3620"/>
    <cellStyle name="Comma 5 2 4 7 2 2" xfId="7846"/>
    <cellStyle name="Comma 5 2 4 7 2 2 2" xfId="16294"/>
    <cellStyle name="Comma 5 2 4 7 2 3" xfId="12070"/>
    <cellStyle name="Comma 5 2 4 7 3" xfId="5734"/>
    <cellStyle name="Comma 5 2 4 7 3 2" xfId="14182"/>
    <cellStyle name="Comma 5 2 4 7 4" xfId="9958"/>
    <cellStyle name="Comma 5 2 4 8" xfId="2564"/>
    <cellStyle name="Comma 5 2 4 8 2" xfId="6790"/>
    <cellStyle name="Comma 5 2 4 8 2 2" xfId="15238"/>
    <cellStyle name="Comma 5 2 4 8 3" xfId="11014"/>
    <cellStyle name="Comma 5 2 4 9" xfId="4677"/>
    <cellStyle name="Comma 5 2 4 9 2" xfId="13126"/>
    <cellStyle name="Comma 5 2 5" xfId="185"/>
    <cellStyle name="Comma 5 2 5 2" xfId="624"/>
    <cellStyle name="Comma 5 2 5 2 2" xfId="976"/>
    <cellStyle name="Comma 5 2 5 2 2 2" xfId="2038"/>
    <cellStyle name="Comma 5 2 5 2 2 2 2" xfId="4150"/>
    <cellStyle name="Comma 5 2 5 2 2 2 2 2" xfId="8376"/>
    <cellStyle name="Comma 5 2 5 2 2 2 2 2 2" xfId="16824"/>
    <cellStyle name="Comma 5 2 5 2 2 2 2 3" xfId="12600"/>
    <cellStyle name="Comma 5 2 5 2 2 2 3" xfId="6264"/>
    <cellStyle name="Comma 5 2 5 2 2 2 3 2" xfId="14712"/>
    <cellStyle name="Comma 5 2 5 2 2 2 4" xfId="10488"/>
    <cellStyle name="Comma 5 2 5 2 2 3" xfId="3094"/>
    <cellStyle name="Comma 5 2 5 2 2 3 2" xfId="7320"/>
    <cellStyle name="Comma 5 2 5 2 2 3 2 2" xfId="15768"/>
    <cellStyle name="Comma 5 2 5 2 2 3 3" xfId="11544"/>
    <cellStyle name="Comma 5 2 5 2 2 4" xfId="5208"/>
    <cellStyle name="Comma 5 2 5 2 2 4 2" xfId="13656"/>
    <cellStyle name="Comma 5 2 5 2 2 5" xfId="9432"/>
    <cellStyle name="Comma 5 2 5 2 3" xfId="1686"/>
    <cellStyle name="Comma 5 2 5 2 3 2" xfId="3798"/>
    <cellStyle name="Comma 5 2 5 2 3 2 2" xfId="8024"/>
    <cellStyle name="Comma 5 2 5 2 3 2 2 2" xfId="16472"/>
    <cellStyle name="Comma 5 2 5 2 3 2 3" xfId="12248"/>
    <cellStyle name="Comma 5 2 5 2 3 3" xfId="5912"/>
    <cellStyle name="Comma 5 2 5 2 3 3 2" xfId="14360"/>
    <cellStyle name="Comma 5 2 5 2 3 4" xfId="10136"/>
    <cellStyle name="Comma 5 2 5 2 4" xfId="2742"/>
    <cellStyle name="Comma 5 2 5 2 4 2" xfId="6968"/>
    <cellStyle name="Comma 5 2 5 2 4 2 2" xfId="15416"/>
    <cellStyle name="Comma 5 2 5 2 4 3" xfId="11192"/>
    <cellStyle name="Comma 5 2 5 2 5" xfId="4856"/>
    <cellStyle name="Comma 5 2 5 2 5 2" xfId="13304"/>
    <cellStyle name="Comma 5 2 5 2 6" xfId="9080"/>
    <cellStyle name="Comma 5 2 5 3" xfId="800"/>
    <cellStyle name="Comma 5 2 5 3 2" xfId="1862"/>
    <cellStyle name="Comma 5 2 5 3 2 2" xfId="3974"/>
    <cellStyle name="Comma 5 2 5 3 2 2 2" xfId="8200"/>
    <cellStyle name="Comma 5 2 5 3 2 2 2 2" xfId="16648"/>
    <cellStyle name="Comma 5 2 5 3 2 2 3" xfId="12424"/>
    <cellStyle name="Comma 5 2 5 3 2 3" xfId="6088"/>
    <cellStyle name="Comma 5 2 5 3 2 3 2" xfId="14536"/>
    <cellStyle name="Comma 5 2 5 3 2 4" xfId="10312"/>
    <cellStyle name="Comma 5 2 5 3 3" xfId="2918"/>
    <cellStyle name="Comma 5 2 5 3 3 2" xfId="7144"/>
    <cellStyle name="Comma 5 2 5 3 3 2 2" xfId="15592"/>
    <cellStyle name="Comma 5 2 5 3 3 3" xfId="11368"/>
    <cellStyle name="Comma 5 2 5 3 4" xfId="5032"/>
    <cellStyle name="Comma 5 2 5 3 4 2" xfId="13480"/>
    <cellStyle name="Comma 5 2 5 3 5" xfId="9256"/>
    <cellStyle name="Comma 5 2 5 4" xfId="1152"/>
    <cellStyle name="Comma 5 2 5 4 2" xfId="2214"/>
    <cellStyle name="Comma 5 2 5 4 2 2" xfId="4326"/>
    <cellStyle name="Comma 5 2 5 4 2 2 2" xfId="8552"/>
    <cellStyle name="Comma 5 2 5 4 2 2 2 2" xfId="17000"/>
    <cellStyle name="Comma 5 2 5 4 2 2 3" xfId="12776"/>
    <cellStyle name="Comma 5 2 5 4 2 3" xfId="6440"/>
    <cellStyle name="Comma 5 2 5 4 2 3 2" xfId="14888"/>
    <cellStyle name="Comma 5 2 5 4 2 4" xfId="10664"/>
    <cellStyle name="Comma 5 2 5 4 3" xfId="3270"/>
    <cellStyle name="Comma 5 2 5 4 3 2" xfId="7496"/>
    <cellStyle name="Comma 5 2 5 4 3 2 2" xfId="15944"/>
    <cellStyle name="Comma 5 2 5 4 3 3" xfId="11720"/>
    <cellStyle name="Comma 5 2 5 4 4" xfId="5384"/>
    <cellStyle name="Comma 5 2 5 4 4 2" xfId="13832"/>
    <cellStyle name="Comma 5 2 5 4 5" xfId="9608"/>
    <cellStyle name="Comma 5 2 5 5" xfId="1334"/>
    <cellStyle name="Comma 5 2 5 5 2" xfId="2390"/>
    <cellStyle name="Comma 5 2 5 5 2 2" xfId="4502"/>
    <cellStyle name="Comma 5 2 5 5 2 2 2" xfId="8728"/>
    <cellStyle name="Comma 5 2 5 5 2 2 2 2" xfId="17176"/>
    <cellStyle name="Comma 5 2 5 5 2 2 3" xfId="12952"/>
    <cellStyle name="Comma 5 2 5 5 2 3" xfId="6616"/>
    <cellStyle name="Comma 5 2 5 5 2 3 2" xfId="15064"/>
    <cellStyle name="Comma 5 2 5 5 2 4" xfId="10840"/>
    <cellStyle name="Comma 5 2 5 5 3" xfId="3446"/>
    <cellStyle name="Comma 5 2 5 5 3 2" xfId="7672"/>
    <cellStyle name="Comma 5 2 5 5 3 2 2" xfId="16120"/>
    <cellStyle name="Comma 5 2 5 5 3 3" xfId="11896"/>
    <cellStyle name="Comma 5 2 5 5 4" xfId="5560"/>
    <cellStyle name="Comma 5 2 5 5 4 2" xfId="14008"/>
    <cellStyle name="Comma 5 2 5 5 5" xfId="9784"/>
    <cellStyle name="Comma 5 2 5 6" xfId="1510"/>
    <cellStyle name="Comma 5 2 5 6 2" xfId="3622"/>
    <cellStyle name="Comma 5 2 5 6 2 2" xfId="7848"/>
    <cellStyle name="Comma 5 2 5 6 2 2 2" xfId="16296"/>
    <cellStyle name="Comma 5 2 5 6 2 3" xfId="12072"/>
    <cellStyle name="Comma 5 2 5 6 3" xfId="5736"/>
    <cellStyle name="Comma 5 2 5 6 3 2" xfId="14184"/>
    <cellStyle name="Comma 5 2 5 6 4" xfId="9960"/>
    <cellStyle name="Comma 5 2 5 7" xfId="2566"/>
    <cellStyle name="Comma 5 2 5 7 2" xfId="6792"/>
    <cellStyle name="Comma 5 2 5 7 2 2" xfId="15240"/>
    <cellStyle name="Comma 5 2 5 7 3" xfId="11016"/>
    <cellStyle name="Comma 5 2 5 8" xfId="4679"/>
    <cellStyle name="Comma 5 2 5 8 2" xfId="13128"/>
    <cellStyle name="Comma 5 2 5 9" xfId="8904"/>
    <cellStyle name="Comma 5 3" xfId="186"/>
    <cellStyle name="Comma 5 4" xfId="187"/>
    <cellStyle name="Comma 5 5" xfId="188"/>
    <cellStyle name="Comma 5 6" xfId="189"/>
    <cellStyle name="Comma 6" xfId="190"/>
    <cellStyle name="Comma 6 2" xfId="191"/>
    <cellStyle name="Comma 6 3" xfId="192"/>
    <cellStyle name="Comma 6 4" xfId="193"/>
    <cellStyle name="Comma 7" xfId="194"/>
    <cellStyle name="Comma 7 2" xfId="195"/>
    <cellStyle name="Comma 7 3" xfId="196"/>
    <cellStyle name="Comma 7 4" xfId="197"/>
    <cellStyle name="Comma 7 4 2" xfId="198"/>
    <cellStyle name="Comma 8" xfId="199"/>
    <cellStyle name="Comma 8 2" xfId="200"/>
    <cellStyle name="Comma 8 3" xfId="201"/>
    <cellStyle name="Comma 8 4" xfId="202"/>
    <cellStyle name="Comma 9" xfId="203"/>
    <cellStyle name="Comma 9 2" xfId="204"/>
    <cellStyle name="Comma 9 3" xfId="205"/>
    <cellStyle name="Comma 9 4" xfId="206"/>
    <cellStyle name="Comma0" xfId="207"/>
    <cellStyle name="Comma0 2" xfId="17373"/>
    <cellStyle name="Couma_#B P&amp;L Evolution_BINV" xfId="208"/>
    <cellStyle name="Currency [00]" xfId="209"/>
    <cellStyle name="Currency [00] 2" xfId="210"/>
    <cellStyle name="Currency [00] 3" xfId="17353"/>
    <cellStyle name="Currency 2" xfId="211"/>
    <cellStyle name="Currency 3" xfId="212"/>
    <cellStyle name="Currency 4" xfId="213"/>
    <cellStyle name="Currency0" xfId="214"/>
    <cellStyle name="Currency0 2" xfId="215"/>
    <cellStyle name="Currency0 2 2" xfId="17379"/>
    <cellStyle name="Currency0 2 3" xfId="17441"/>
    <cellStyle name="Currency0 3" xfId="17426"/>
    <cellStyle name="Date" xfId="216"/>
    <cellStyle name="Date 2" xfId="17394"/>
    <cellStyle name="Date Short" xfId="217"/>
    <cellStyle name="Date_01 Econ Class-Reciepts" xfId="218"/>
    <cellStyle name="Dezimal [0]_Compiling Utility Macros" xfId="219"/>
    <cellStyle name="Dezimal_Compiling Utility Macros" xfId="220"/>
    <cellStyle name="Enter Currency (0)" xfId="221"/>
    <cellStyle name="Enter Currency (0) 2" xfId="222"/>
    <cellStyle name="Enter Currency (0) 3" xfId="17456"/>
    <cellStyle name="Enter Currency (2)" xfId="223"/>
    <cellStyle name="Enter Currency (2) 2" xfId="224"/>
    <cellStyle name="Enter Currency (2) 3" xfId="17418"/>
    <cellStyle name="Enter Units (0)" xfId="225"/>
    <cellStyle name="Enter Units (0) 2" xfId="226"/>
    <cellStyle name="Enter Units (0) 3" xfId="17431"/>
    <cellStyle name="Enter Units (1)" xfId="227"/>
    <cellStyle name="Enter Units (1) 2" xfId="228"/>
    <cellStyle name="Enter Units (1) 3" xfId="17371"/>
    <cellStyle name="Enter Units (2)" xfId="229"/>
    <cellStyle name="Enter Units (2) 2" xfId="230"/>
    <cellStyle name="Enter Units (2) 3" xfId="17412"/>
    <cellStyle name="Explanatory Text" xfId="14" builtinId="53" customBuiltin="1"/>
    <cellStyle name="Explanatory Text 2" xfId="231"/>
    <cellStyle name="Explanatory Text 3" xfId="17423"/>
    <cellStyle name="F2" xfId="232"/>
    <cellStyle name="F3" xfId="233"/>
    <cellStyle name="F3 2" xfId="17360"/>
    <cellStyle name="F4" xfId="234"/>
    <cellStyle name="F5" xfId="235"/>
    <cellStyle name="F6" xfId="236"/>
    <cellStyle name="F7" xfId="237"/>
    <cellStyle name="F8" xfId="238"/>
    <cellStyle name="Fixed" xfId="239"/>
    <cellStyle name="Fixed 2" xfId="17368"/>
    <cellStyle name="Good" xfId="6" builtinId="26" customBuiltin="1"/>
    <cellStyle name="Good 2" xfId="240"/>
    <cellStyle name="Good 3" xfId="17407"/>
    <cellStyle name="Grey" xfId="241"/>
    <cellStyle name="Grey 2" xfId="242"/>
    <cellStyle name="Grey_1" xfId="243"/>
    <cellStyle name="Header1" xfId="244"/>
    <cellStyle name="Header2" xfId="245"/>
    <cellStyle name="Heading 1" xfId="2" builtinId="16" customBuiltin="1"/>
    <cellStyle name="Heading 1 2" xfId="246"/>
    <cellStyle name="Heading 1 3" xfId="247"/>
    <cellStyle name="Heading 1 4" xfId="17383"/>
    <cellStyle name="Heading 2" xfId="3" builtinId="17" customBuiltin="1"/>
    <cellStyle name="Heading 2 2" xfId="248"/>
    <cellStyle name="Heading 2 2 2" xfId="17397"/>
    <cellStyle name="Heading 2 2 3" xfId="17459"/>
    <cellStyle name="Heading 2 3" xfId="249"/>
    <cellStyle name="Heading 2 4" xfId="17345"/>
    <cellStyle name="Heading 3" xfId="4" builtinId="18" customBuiltin="1"/>
    <cellStyle name="Heading 3 2" xfId="250"/>
    <cellStyle name="Heading 3 3" xfId="17432"/>
    <cellStyle name="Heading 4" xfId="5" builtinId="19" customBuiltin="1"/>
    <cellStyle name="Heading 4 2" xfId="251"/>
    <cellStyle name="Heading 4 3" xfId="17448"/>
    <cellStyle name="HEADING1" xfId="252"/>
    <cellStyle name="HEADING1 2" xfId="17354"/>
    <cellStyle name="HEADING2" xfId="253"/>
    <cellStyle name="HEADING2 2" xfId="254"/>
    <cellStyle name="HEADING2 2 2" xfId="17381"/>
    <cellStyle name="HEADING2 2 3" xfId="17444"/>
    <cellStyle name="HEADING2 3" xfId="17428"/>
    <cellStyle name="HEADING2_1" xfId="255"/>
    <cellStyle name="Hyperlink 2" xfId="256"/>
    <cellStyle name="Hyperlink 3" xfId="17364"/>
    <cellStyle name="Input" xfId="8" builtinId="20" customBuiltin="1"/>
    <cellStyle name="Input [yellow]" xfId="257"/>
    <cellStyle name="Input [yellow] 2" xfId="258"/>
    <cellStyle name="Input [yellow]_1" xfId="259"/>
    <cellStyle name="Input 2" xfId="260"/>
    <cellStyle name="Input 3" xfId="261"/>
    <cellStyle name="Input 4" xfId="262"/>
    <cellStyle name="Input 5" xfId="17358"/>
    <cellStyle name="Link Currency (0)" xfId="263"/>
    <cellStyle name="Link Currency (0) 2" xfId="264"/>
    <cellStyle name="Link Currency (0) 3" xfId="17385"/>
    <cellStyle name="Link Currency (2)" xfId="265"/>
    <cellStyle name="Link Currency (2) 2" xfId="266"/>
    <cellStyle name="Link Currency (2) 3" xfId="17399"/>
    <cellStyle name="Link Units (0)" xfId="267"/>
    <cellStyle name="Link Units (0) 2" xfId="268"/>
    <cellStyle name="Link Units (0) 3" xfId="17341"/>
    <cellStyle name="Link Units (1)" xfId="269"/>
    <cellStyle name="Link Units (1) 2" xfId="270"/>
    <cellStyle name="Link Units (1) 3" xfId="17404"/>
    <cellStyle name="Link Units (2)" xfId="271"/>
    <cellStyle name="Link Units (2) 2" xfId="272"/>
    <cellStyle name="Link Units (2) 3" xfId="17419"/>
    <cellStyle name="Linked Cell" xfId="11" builtinId="24" customBuiltin="1"/>
    <cellStyle name="Linked Cell 2" xfId="273"/>
    <cellStyle name="Linked Cell 3" xfId="17352"/>
    <cellStyle name="Monétaire [0]_rwhite" xfId="274"/>
    <cellStyle name="Monétaire_rwhite" xfId="275"/>
    <cellStyle name="Neutral 2" xfId="276"/>
    <cellStyle name="Neutral 3" xfId="17457"/>
    <cellStyle name="Neutral 4" xfId="17378"/>
    <cellStyle name="Normal" xfId="0" builtinId="0"/>
    <cellStyle name="Normal - Style1" xfId="277"/>
    <cellStyle name="Normal - Style1 2" xfId="278"/>
    <cellStyle name="Normal - Style1 3" xfId="17343"/>
    <cellStyle name="Normal 10" xfId="279"/>
    <cellStyle name="Normal 10 2" xfId="280"/>
    <cellStyle name="Normal 10 2 10" xfId="4680"/>
    <cellStyle name="Normal 10 2 10 2" xfId="13129"/>
    <cellStyle name="Normal 10 2 11" xfId="8905"/>
    <cellStyle name="Normal 10 2 2" xfId="281"/>
    <cellStyle name="Normal 10 2 2 2" xfId="626"/>
    <cellStyle name="Normal 10 2 2 2 2" xfId="978"/>
    <cellStyle name="Normal 10 2 2 2 2 2" xfId="2040"/>
    <cellStyle name="Normal 10 2 2 2 2 2 2" xfId="4152"/>
    <cellStyle name="Normal 10 2 2 2 2 2 2 2" xfId="8378"/>
    <cellStyle name="Normal 10 2 2 2 2 2 2 2 2" xfId="16826"/>
    <cellStyle name="Normal 10 2 2 2 2 2 2 3" xfId="12602"/>
    <cellStyle name="Normal 10 2 2 2 2 2 3" xfId="6266"/>
    <cellStyle name="Normal 10 2 2 2 2 2 3 2" xfId="14714"/>
    <cellStyle name="Normal 10 2 2 2 2 2 4" xfId="10490"/>
    <cellStyle name="Normal 10 2 2 2 2 3" xfId="3096"/>
    <cellStyle name="Normal 10 2 2 2 2 3 2" xfId="7322"/>
    <cellStyle name="Normal 10 2 2 2 2 3 2 2" xfId="15770"/>
    <cellStyle name="Normal 10 2 2 2 2 3 3" xfId="11546"/>
    <cellStyle name="Normal 10 2 2 2 2 4" xfId="5210"/>
    <cellStyle name="Normal 10 2 2 2 2 4 2" xfId="13658"/>
    <cellStyle name="Normal 10 2 2 2 2 5" xfId="9434"/>
    <cellStyle name="Normal 10 2 2 2 3" xfId="1688"/>
    <cellStyle name="Normal 10 2 2 2 3 2" xfId="3800"/>
    <cellStyle name="Normal 10 2 2 2 3 2 2" xfId="8026"/>
    <cellStyle name="Normal 10 2 2 2 3 2 2 2" xfId="16474"/>
    <cellStyle name="Normal 10 2 2 2 3 2 3" xfId="12250"/>
    <cellStyle name="Normal 10 2 2 2 3 3" xfId="5914"/>
    <cellStyle name="Normal 10 2 2 2 3 3 2" xfId="14362"/>
    <cellStyle name="Normal 10 2 2 2 3 4" xfId="10138"/>
    <cellStyle name="Normal 10 2 2 2 4" xfId="2744"/>
    <cellStyle name="Normal 10 2 2 2 4 2" xfId="6970"/>
    <cellStyle name="Normal 10 2 2 2 4 2 2" xfId="15418"/>
    <cellStyle name="Normal 10 2 2 2 4 3" xfId="11194"/>
    <cellStyle name="Normal 10 2 2 2 5" xfId="4858"/>
    <cellStyle name="Normal 10 2 2 2 5 2" xfId="13306"/>
    <cellStyle name="Normal 10 2 2 2 6" xfId="9082"/>
    <cellStyle name="Normal 10 2 2 3" xfId="802"/>
    <cellStyle name="Normal 10 2 2 3 2" xfId="1864"/>
    <cellStyle name="Normal 10 2 2 3 2 2" xfId="3976"/>
    <cellStyle name="Normal 10 2 2 3 2 2 2" xfId="8202"/>
    <cellStyle name="Normal 10 2 2 3 2 2 2 2" xfId="16650"/>
    <cellStyle name="Normal 10 2 2 3 2 2 3" xfId="12426"/>
    <cellStyle name="Normal 10 2 2 3 2 3" xfId="6090"/>
    <cellStyle name="Normal 10 2 2 3 2 3 2" xfId="14538"/>
    <cellStyle name="Normal 10 2 2 3 2 4" xfId="10314"/>
    <cellStyle name="Normal 10 2 2 3 3" xfId="2920"/>
    <cellStyle name="Normal 10 2 2 3 3 2" xfId="7146"/>
    <cellStyle name="Normal 10 2 2 3 3 2 2" xfId="15594"/>
    <cellStyle name="Normal 10 2 2 3 3 3" xfId="11370"/>
    <cellStyle name="Normal 10 2 2 3 4" xfId="5034"/>
    <cellStyle name="Normal 10 2 2 3 4 2" xfId="13482"/>
    <cellStyle name="Normal 10 2 2 3 5" xfId="9258"/>
    <cellStyle name="Normal 10 2 2 4" xfId="1154"/>
    <cellStyle name="Normal 10 2 2 4 2" xfId="2216"/>
    <cellStyle name="Normal 10 2 2 4 2 2" xfId="4328"/>
    <cellStyle name="Normal 10 2 2 4 2 2 2" xfId="8554"/>
    <cellStyle name="Normal 10 2 2 4 2 2 2 2" xfId="17002"/>
    <cellStyle name="Normal 10 2 2 4 2 2 3" xfId="12778"/>
    <cellStyle name="Normal 10 2 2 4 2 3" xfId="6442"/>
    <cellStyle name="Normal 10 2 2 4 2 3 2" xfId="14890"/>
    <cellStyle name="Normal 10 2 2 4 2 4" xfId="10666"/>
    <cellStyle name="Normal 10 2 2 4 3" xfId="3272"/>
    <cellStyle name="Normal 10 2 2 4 3 2" xfId="7498"/>
    <cellStyle name="Normal 10 2 2 4 3 2 2" xfId="15946"/>
    <cellStyle name="Normal 10 2 2 4 3 3" xfId="11722"/>
    <cellStyle name="Normal 10 2 2 4 4" xfId="5386"/>
    <cellStyle name="Normal 10 2 2 4 4 2" xfId="13834"/>
    <cellStyle name="Normal 10 2 2 4 5" xfId="9610"/>
    <cellStyle name="Normal 10 2 2 5" xfId="1336"/>
    <cellStyle name="Normal 10 2 2 5 2" xfId="2392"/>
    <cellStyle name="Normal 10 2 2 5 2 2" xfId="4504"/>
    <cellStyle name="Normal 10 2 2 5 2 2 2" xfId="8730"/>
    <cellStyle name="Normal 10 2 2 5 2 2 2 2" xfId="17178"/>
    <cellStyle name="Normal 10 2 2 5 2 2 3" xfId="12954"/>
    <cellStyle name="Normal 10 2 2 5 2 3" xfId="6618"/>
    <cellStyle name="Normal 10 2 2 5 2 3 2" xfId="15066"/>
    <cellStyle name="Normal 10 2 2 5 2 4" xfId="10842"/>
    <cellStyle name="Normal 10 2 2 5 3" xfId="3448"/>
    <cellStyle name="Normal 10 2 2 5 3 2" xfId="7674"/>
    <cellStyle name="Normal 10 2 2 5 3 2 2" xfId="16122"/>
    <cellStyle name="Normal 10 2 2 5 3 3" xfId="11898"/>
    <cellStyle name="Normal 10 2 2 5 4" xfId="5562"/>
    <cellStyle name="Normal 10 2 2 5 4 2" xfId="14010"/>
    <cellStyle name="Normal 10 2 2 5 5" xfId="9786"/>
    <cellStyle name="Normal 10 2 2 6" xfId="1512"/>
    <cellStyle name="Normal 10 2 2 6 2" xfId="3624"/>
    <cellStyle name="Normal 10 2 2 6 2 2" xfId="7850"/>
    <cellStyle name="Normal 10 2 2 6 2 2 2" xfId="16298"/>
    <cellStyle name="Normal 10 2 2 6 2 3" xfId="12074"/>
    <cellStyle name="Normal 10 2 2 6 3" xfId="5738"/>
    <cellStyle name="Normal 10 2 2 6 3 2" xfId="14186"/>
    <cellStyle name="Normal 10 2 2 6 4" xfId="9962"/>
    <cellStyle name="Normal 10 2 2 7" xfId="2568"/>
    <cellStyle name="Normal 10 2 2 7 2" xfId="6794"/>
    <cellStyle name="Normal 10 2 2 7 2 2" xfId="15242"/>
    <cellStyle name="Normal 10 2 2 7 3" xfId="11018"/>
    <cellStyle name="Normal 10 2 2 8" xfId="4681"/>
    <cellStyle name="Normal 10 2 2 8 2" xfId="13130"/>
    <cellStyle name="Normal 10 2 2 9" xfId="8906"/>
    <cellStyle name="Normal 10 2 3" xfId="282"/>
    <cellStyle name="Normal 10 2 3 2" xfId="627"/>
    <cellStyle name="Normal 10 2 3 2 2" xfId="979"/>
    <cellStyle name="Normal 10 2 3 2 2 2" xfId="2041"/>
    <cellStyle name="Normal 10 2 3 2 2 2 2" xfId="4153"/>
    <cellStyle name="Normal 10 2 3 2 2 2 2 2" xfId="8379"/>
    <cellStyle name="Normal 10 2 3 2 2 2 2 2 2" xfId="16827"/>
    <cellStyle name="Normal 10 2 3 2 2 2 2 3" xfId="12603"/>
    <cellStyle name="Normal 10 2 3 2 2 2 3" xfId="6267"/>
    <cellStyle name="Normal 10 2 3 2 2 2 3 2" xfId="14715"/>
    <cellStyle name="Normal 10 2 3 2 2 2 4" xfId="10491"/>
    <cellStyle name="Normal 10 2 3 2 2 3" xfId="3097"/>
    <cellStyle name="Normal 10 2 3 2 2 3 2" xfId="7323"/>
    <cellStyle name="Normal 10 2 3 2 2 3 2 2" xfId="15771"/>
    <cellStyle name="Normal 10 2 3 2 2 3 3" xfId="11547"/>
    <cellStyle name="Normal 10 2 3 2 2 4" xfId="5211"/>
    <cellStyle name="Normal 10 2 3 2 2 4 2" xfId="13659"/>
    <cellStyle name="Normal 10 2 3 2 2 5" xfId="9435"/>
    <cellStyle name="Normal 10 2 3 2 3" xfId="1689"/>
    <cellStyle name="Normal 10 2 3 2 3 2" xfId="3801"/>
    <cellStyle name="Normal 10 2 3 2 3 2 2" xfId="8027"/>
    <cellStyle name="Normal 10 2 3 2 3 2 2 2" xfId="16475"/>
    <cellStyle name="Normal 10 2 3 2 3 2 3" xfId="12251"/>
    <cellStyle name="Normal 10 2 3 2 3 3" xfId="5915"/>
    <cellStyle name="Normal 10 2 3 2 3 3 2" xfId="14363"/>
    <cellStyle name="Normal 10 2 3 2 3 4" xfId="10139"/>
    <cellStyle name="Normal 10 2 3 2 4" xfId="2745"/>
    <cellStyle name="Normal 10 2 3 2 4 2" xfId="6971"/>
    <cellStyle name="Normal 10 2 3 2 4 2 2" xfId="15419"/>
    <cellStyle name="Normal 10 2 3 2 4 3" xfId="11195"/>
    <cellStyle name="Normal 10 2 3 2 5" xfId="4859"/>
    <cellStyle name="Normal 10 2 3 2 5 2" xfId="13307"/>
    <cellStyle name="Normal 10 2 3 2 6" xfId="9083"/>
    <cellStyle name="Normal 10 2 3 3" xfId="803"/>
    <cellStyle name="Normal 10 2 3 3 2" xfId="1865"/>
    <cellStyle name="Normal 10 2 3 3 2 2" xfId="3977"/>
    <cellStyle name="Normal 10 2 3 3 2 2 2" xfId="8203"/>
    <cellStyle name="Normal 10 2 3 3 2 2 2 2" xfId="16651"/>
    <cellStyle name="Normal 10 2 3 3 2 2 3" xfId="12427"/>
    <cellStyle name="Normal 10 2 3 3 2 3" xfId="6091"/>
    <cellStyle name="Normal 10 2 3 3 2 3 2" xfId="14539"/>
    <cellStyle name="Normal 10 2 3 3 2 4" xfId="10315"/>
    <cellStyle name="Normal 10 2 3 3 3" xfId="2921"/>
    <cellStyle name="Normal 10 2 3 3 3 2" xfId="7147"/>
    <cellStyle name="Normal 10 2 3 3 3 2 2" xfId="15595"/>
    <cellStyle name="Normal 10 2 3 3 3 3" xfId="11371"/>
    <cellStyle name="Normal 10 2 3 3 4" xfId="5035"/>
    <cellStyle name="Normal 10 2 3 3 4 2" xfId="13483"/>
    <cellStyle name="Normal 10 2 3 3 5" xfId="9259"/>
    <cellStyle name="Normal 10 2 3 4" xfId="1155"/>
    <cellStyle name="Normal 10 2 3 4 2" xfId="2217"/>
    <cellStyle name="Normal 10 2 3 4 2 2" xfId="4329"/>
    <cellStyle name="Normal 10 2 3 4 2 2 2" xfId="8555"/>
    <cellStyle name="Normal 10 2 3 4 2 2 2 2" xfId="17003"/>
    <cellStyle name="Normal 10 2 3 4 2 2 3" xfId="12779"/>
    <cellStyle name="Normal 10 2 3 4 2 3" xfId="6443"/>
    <cellStyle name="Normal 10 2 3 4 2 3 2" xfId="14891"/>
    <cellStyle name="Normal 10 2 3 4 2 4" xfId="10667"/>
    <cellStyle name="Normal 10 2 3 4 3" xfId="3273"/>
    <cellStyle name="Normal 10 2 3 4 3 2" xfId="7499"/>
    <cellStyle name="Normal 10 2 3 4 3 2 2" xfId="15947"/>
    <cellStyle name="Normal 10 2 3 4 3 3" xfId="11723"/>
    <cellStyle name="Normal 10 2 3 4 4" xfId="5387"/>
    <cellStyle name="Normal 10 2 3 4 4 2" xfId="13835"/>
    <cellStyle name="Normal 10 2 3 4 5" xfId="9611"/>
    <cellStyle name="Normal 10 2 3 5" xfId="1337"/>
    <cellStyle name="Normal 10 2 3 5 2" xfId="2393"/>
    <cellStyle name="Normal 10 2 3 5 2 2" xfId="4505"/>
    <cellStyle name="Normal 10 2 3 5 2 2 2" xfId="8731"/>
    <cellStyle name="Normal 10 2 3 5 2 2 2 2" xfId="17179"/>
    <cellStyle name="Normal 10 2 3 5 2 2 3" xfId="12955"/>
    <cellStyle name="Normal 10 2 3 5 2 3" xfId="6619"/>
    <cellStyle name="Normal 10 2 3 5 2 3 2" xfId="15067"/>
    <cellStyle name="Normal 10 2 3 5 2 4" xfId="10843"/>
    <cellStyle name="Normal 10 2 3 5 3" xfId="3449"/>
    <cellStyle name="Normal 10 2 3 5 3 2" xfId="7675"/>
    <cellStyle name="Normal 10 2 3 5 3 2 2" xfId="16123"/>
    <cellStyle name="Normal 10 2 3 5 3 3" xfId="11899"/>
    <cellStyle name="Normal 10 2 3 5 4" xfId="5563"/>
    <cellStyle name="Normal 10 2 3 5 4 2" xfId="14011"/>
    <cellStyle name="Normal 10 2 3 5 5" xfId="9787"/>
    <cellStyle name="Normal 10 2 3 6" xfId="1513"/>
    <cellStyle name="Normal 10 2 3 6 2" xfId="3625"/>
    <cellStyle name="Normal 10 2 3 6 2 2" xfId="7851"/>
    <cellStyle name="Normal 10 2 3 6 2 2 2" xfId="16299"/>
    <cellStyle name="Normal 10 2 3 6 2 3" xfId="12075"/>
    <cellStyle name="Normal 10 2 3 6 3" xfId="5739"/>
    <cellStyle name="Normal 10 2 3 6 3 2" xfId="14187"/>
    <cellStyle name="Normal 10 2 3 6 4" xfId="9963"/>
    <cellStyle name="Normal 10 2 3 7" xfId="2569"/>
    <cellStyle name="Normal 10 2 3 7 2" xfId="6795"/>
    <cellStyle name="Normal 10 2 3 7 2 2" xfId="15243"/>
    <cellStyle name="Normal 10 2 3 7 3" xfId="11019"/>
    <cellStyle name="Normal 10 2 3 8" xfId="4682"/>
    <cellStyle name="Normal 10 2 3 8 2" xfId="13131"/>
    <cellStyle name="Normal 10 2 3 9" xfId="8907"/>
    <cellStyle name="Normal 10 2 4" xfId="625"/>
    <cellStyle name="Normal 10 2 4 2" xfId="977"/>
    <cellStyle name="Normal 10 2 4 2 2" xfId="2039"/>
    <cellStyle name="Normal 10 2 4 2 2 2" xfId="4151"/>
    <cellStyle name="Normal 10 2 4 2 2 2 2" xfId="8377"/>
    <cellStyle name="Normal 10 2 4 2 2 2 2 2" xfId="16825"/>
    <cellStyle name="Normal 10 2 4 2 2 2 3" xfId="12601"/>
    <cellStyle name="Normal 10 2 4 2 2 3" xfId="6265"/>
    <cellStyle name="Normal 10 2 4 2 2 3 2" xfId="14713"/>
    <cellStyle name="Normal 10 2 4 2 2 4" xfId="10489"/>
    <cellStyle name="Normal 10 2 4 2 3" xfId="3095"/>
    <cellStyle name="Normal 10 2 4 2 3 2" xfId="7321"/>
    <cellStyle name="Normal 10 2 4 2 3 2 2" xfId="15769"/>
    <cellStyle name="Normal 10 2 4 2 3 3" xfId="11545"/>
    <cellStyle name="Normal 10 2 4 2 4" xfId="5209"/>
    <cellStyle name="Normal 10 2 4 2 4 2" xfId="13657"/>
    <cellStyle name="Normal 10 2 4 2 5" xfId="9433"/>
    <cellStyle name="Normal 10 2 4 3" xfId="1687"/>
    <cellStyle name="Normal 10 2 4 3 2" xfId="3799"/>
    <cellStyle name="Normal 10 2 4 3 2 2" xfId="8025"/>
    <cellStyle name="Normal 10 2 4 3 2 2 2" xfId="16473"/>
    <cellStyle name="Normal 10 2 4 3 2 3" xfId="12249"/>
    <cellStyle name="Normal 10 2 4 3 3" xfId="5913"/>
    <cellStyle name="Normal 10 2 4 3 3 2" xfId="14361"/>
    <cellStyle name="Normal 10 2 4 3 4" xfId="10137"/>
    <cellStyle name="Normal 10 2 4 4" xfId="2743"/>
    <cellStyle name="Normal 10 2 4 4 2" xfId="6969"/>
    <cellStyle name="Normal 10 2 4 4 2 2" xfId="15417"/>
    <cellStyle name="Normal 10 2 4 4 3" xfId="11193"/>
    <cellStyle name="Normal 10 2 4 5" xfId="4857"/>
    <cellStyle name="Normal 10 2 4 5 2" xfId="13305"/>
    <cellStyle name="Normal 10 2 4 6" xfId="9081"/>
    <cellStyle name="Normal 10 2 5" xfId="801"/>
    <cellStyle name="Normal 10 2 5 2" xfId="1863"/>
    <cellStyle name="Normal 10 2 5 2 2" xfId="3975"/>
    <cellStyle name="Normal 10 2 5 2 2 2" xfId="8201"/>
    <cellStyle name="Normal 10 2 5 2 2 2 2" xfId="16649"/>
    <cellStyle name="Normal 10 2 5 2 2 3" xfId="12425"/>
    <cellStyle name="Normal 10 2 5 2 3" xfId="6089"/>
    <cellStyle name="Normal 10 2 5 2 3 2" xfId="14537"/>
    <cellStyle name="Normal 10 2 5 2 4" xfId="10313"/>
    <cellStyle name="Normal 10 2 5 3" xfId="2919"/>
    <cellStyle name="Normal 10 2 5 3 2" xfId="7145"/>
    <cellStyle name="Normal 10 2 5 3 2 2" xfId="15593"/>
    <cellStyle name="Normal 10 2 5 3 3" xfId="11369"/>
    <cellStyle name="Normal 10 2 5 4" xfId="5033"/>
    <cellStyle name="Normal 10 2 5 4 2" xfId="13481"/>
    <cellStyle name="Normal 10 2 5 5" xfId="9257"/>
    <cellStyle name="Normal 10 2 6" xfId="1153"/>
    <cellStyle name="Normal 10 2 6 2" xfId="2215"/>
    <cellStyle name="Normal 10 2 6 2 2" xfId="4327"/>
    <cellStyle name="Normal 10 2 6 2 2 2" xfId="8553"/>
    <cellStyle name="Normal 10 2 6 2 2 2 2" xfId="17001"/>
    <cellStyle name="Normal 10 2 6 2 2 3" xfId="12777"/>
    <cellStyle name="Normal 10 2 6 2 3" xfId="6441"/>
    <cellStyle name="Normal 10 2 6 2 3 2" xfId="14889"/>
    <cellStyle name="Normal 10 2 6 2 4" xfId="10665"/>
    <cellStyle name="Normal 10 2 6 3" xfId="3271"/>
    <cellStyle name="Normal 10 2 6 3 2" xfId="7497"/>
    <cellStyle name="Normal 10 2 6 3 2 2" xfId="15945"/>
    <cellStyle name="Normal 10 2 6 3 3" xfId="11721"/>
    <cellStyle name="Normal 10 2 6 4" xfId="5385"/>
    <cellStyle name="Normal 10 2 6 4 2" xfId="13833"/>
    <cellStyle name="Normal 10 2 6 5" xfId="9609"/>
    <cellStyle name="Normal 10 2 7" xfId="1335"/>
    <cellStyle name="Normal 10 2 7 2" xfId="2391"/>
    <cellStyle name="Normal 10 2 7 2 2" xfId="4503"/>
    <cellStyle name="Normal 10 2 7 2 2 2" xfId="8729"/>
    <cellStyle name="Normal 10 2 7 2 2 2 2" xfId="17177"/>
    <cellStyle name="Normal 10 2 7 2 2 3" xfId="12953"/>
    <cellStyle name="Normal 10 2 7 2 3" xfId="6617"/>
    <cellStyle name="Normal 10 2 7 2 3 2" xfId="15065"/>
    <cellStyle name="Normal 10 2 7 2 4" xfId="10841"/>
    <cellStyle name="Normal 10 2 7 3" xfId="3447"/>
    <cellStyle name="Normal 10 2 7 3 2" xfId="7673"/>
    <cellStyle name="Normal 10 2 7 3 2 2" xfId="16121"/>
    <cellStyle name="Normal 10 2 7 3 3" xfId="11897"/>
    <cellStyle name="Normal 10 2 7 4" xfId="5561"/>
    <cellStyle name="Normal 10 2 7 4 2" xfId="14009"/>
    <cellStyle name="Normal 10 2 7 5" xfId="9785"/>
    <cellStyle name="Normal 10 2 8" xfId="1511"/>
    <cellStyle name="Normal 10 2 8 2" xfId="3623"/>
    <cellStyle name="Normal 10 2 8 2 2" xfId="7849"/>
    <cellStyle name="Normal 10 2 8 2 2 2" xfId="16297"/>
    <cellStyle name="Normal 10 2 8 2 3" xfId="12073"/>
    <cellStyle name="Normal 10 2 8 3" xfId="5737"/>
    <cellStyle name="Normal 10 2 8 3 2" xfId="14185"/>
    <cellStyle name="Normal 10 2 8 4" xfId="9961"/>
    <cellStyle name="Normal 10 2 9" xfId="2567"/>
    <cellStyle name="Normal 10 2 9 2" xfId="6793"/>
    <cellStyle name="Normal 10 2 9 2 2" xfId="15241"/>
    <cellStyle name="Normal 10 2 9 3" xfId="11017"/>
    <cellStyle name="Normal 10 3" xfId="283"/>
    <cellStyle name="Normal 10 3 10" xfId="4683"/>
    <cellStyle name="Normal 10 3 10 2" xfId="13132"/>
    <cellStyle name="Normal 10 3 11" xfId="8908"/>
    <cellStyle name="Normal 10 3 2" xfId="284"/>
    <cellStyle name="Normal 10 3 2 2" xfId="629"/>
    <cellStyle name="Normal 10 3 2 2 2" xfId="981"/>
    <cellStyle name="Normal 10 3 2 2 2 2" xfId="2043"/>
    <cellStyle name="Normal 10 3 2 2 2 2 2" xfId="4155"/>
    <cellStyle name="Normal 10 3 2 2 2 2 2 2" xfId="8381"/>
    <cellStyle name="Normal 10 3 2 2 2 2 2 2 2" xfId="16829"/>
    <cellStyle name="Normal 10 3 2 2 2 2 2 3" xfId="12605"/>
    <cellStyle name="Normal 10 3 2 2 2 2 3" xfId="6269"/>
    <cellStyle name="Normal 10 3 2 2 2 2 3 2" xfId="14717"/>
    <cellStyle name="Normal 10 3 2 2 2 2 4" xfId="10493"/>
    <cellStyle name="Normal 10 3 2 2 2 3" xfId="3099"/>
    <cellStyle name="Normal 10 3 2 2 2 3 2" xfId="7325"/>
    <cellStyle name="Normal 10 3 2 2 2 3 2 2" xfId="15773"/>
    <cellStyle name="Normal 10 3 2 2 2 3 3" xfId="11549"/>
    <cellStyle name="Normal 10 3 2 2 2 4" xfId="5213"/>
    <cellStyle name="Normal 10 3 2 2 2 4 2" xfId="13661"/>
    <cellStyle name="Normal 10 3 2 2 2 5" xfId="9437"/>
    <cellStyle name="Normal 10 3 2 2 3" xfId="1691"/>
    <cellStyle name="Normal 10 3 2 2 3 2" xfId="3803"/>
    <cellStyle name="Normal 10 3 2 2 3 2 2" xfId="8029"/>
    <cellStyle name="Normal 10 3 2 2 3 2 2 2" xfId="16477"/>
    <cellStyle name="Normal 10 3 2 2 3 2 3" xfId="12253"/>
    <cellStyle name="Normal 10 3 2 2 3 3" xfId="5917"/>
    <cellStyle name="Normal 10 3 2 2 3 3 2" xfId="14365"/>
    <cellStyle name="Normal 10 3 2 2 3 4" xfId="10141"/>
    <cellStyle name="Normal 10 3 2 2 4" xfId="2747"/>
    <cellStyle name="Normal 10 3 2 2 4 2" xfId="6973"/>
    <cellStyle name="Normal 10 3 2 2 4 2 2" xfId="15421"/>
    <cellStyle name="Normal 10 3 2 2 4 3" xfId="11197"/>
    <cellStyle name="Normal 10 3 2 2 5" xfId="4861"/>
    <cellStyle name="Normal 10 3 2 2 5 2" xfId="13309"/>
    <cellStyle name="Normal 10 3 2 2 6" xfId="9085"/>
    <cellStyle name="Normal 10 3 2 3" xfId="805"/>
    <cellStyle name="Normal 10 3 2 3 2" xfId="1867"/>
    <cellStyle name="Normal 10 3 2 3 2 2" xfId="3979"/>
    <cellStyle name="Normal 10 3 2 3 2 2 2" xfId="8205"/>
    <cellStyle name="Normal 10 3 2 3 2 2 2 2" xfId="16653"/>
    <cellStyle name="Normal 10 3 2 3 2 2 3" xfId="12429"/>
    <cellStyle name="Normal 10 3 2 3 2 3" xfId="6093"/>
    <cellStyle name="Normal 10 3 2 3 2 3 2" xfId="14541"/>
    <cellStyle name="Normal 10 3 2 3 2 4" xfId="10317"/>
    <cellStyle name="Normal 10 3 2 3 3" xfId="2923"/>
    <cellStyle name="Normal 10 3 2 3 3 2" xfId="7149"/>
    <cellStyle name="Normal 10 3 2 3 3 2 2" xfId="15597"/>
    <cellStyle name="Normal 10 3 2 3 3 3" xfId="11373"/>
    <cellStyle name="Normal 10 3 2 3 4" xfId="5037"/>
    <cellStyle name="Normal 10 3 2 3 4 2" xfId="13485"/>
    <cellStyle name="Normal 10 3 2 3 5" xfId="9261"/>
    <cellStyle name="Normal 10 3 2 4" xfId="1157"/>
    <cellStyle name="Normal 10 3 2 4 2" xfId="2219"/>
    <cellStyle name="Normal 10 3 2 4 2 2" xfId="4331"/>
    <cellStyle name="Normal 10 3 2 4 2 2 2" xfId="8557"/>
    <cellStyle name="Normal 10 3 2 4 2 2 2 2" xfId="17005"/>
    <cellStyle name="Normal 10 3 2 4 2 2 3" xfId="12781"/>
    <cellStyle name="Normal 10 3 2 4 2 3" xfId="6445"/>
    <cellStyle name="Normal 10 3 2 4 2 3 2" xfId="14893"/>
    <cellStyle name="Normal 10 3 2 4 2 4" xfId="10669"/>
    <cellStyle name="Normal 10 3 2 4 3" xfId="3275"/>
    <cellStyle name="Normal 10 3 2 4 3 2" xfId="7501"/>
    <cellStyle name="Normal 10 3 2 4 3 2 2" xfId="15949"/>
    <cellStyle name="Normal 10 3 2 4 3 3" xfId="11725"/>
    <cellStyle name="Normal 10 3 2 4 4" xfId="5389"/>
    <cellStyle name="Normal 10 3 2 4 4 2" xfId="13837"/>
    <cellStyle name="Normal 10 3 2 4 5" xfId="9613"/>
    <cellStyle name="Normal 10 3 2 5" xfId="1339"/>
    <cellStyle name="Normal 10 3 2 5 2" xfId="2395"/>
    <cellStyle name="Normal 10 3 2 5 2 2" xfId="4507"/>
    <cellStyle name="Normal 10 3 2 5 2 2 2" xfId="8733"/>
    <cellStyle name="Normal 10 3 2 5 2 2 2 2" xfId="17181"/>
    <cellStyle name="Normal 10 3 2 5 2 2 3" xfId="12957"/>
    <cellStyle name="Normal 10 3 2 5 2 3" xfId="6621"/>
    <cellStyle name="Normal 10 3 2 5 2 3 2" xfId="15069"/>
    <cellStyle name="Normal 10 3 2 5 2 4" xfId="10845"/>
    <cellStyle name="Normal 10 3 2 5 3" xfId="3451"/>
    <cellStyle name="Normal 10 3 2 5 3 2" xfId="7677"/>
    <cellStyle name="Normal 10 3 2 5 3 2 2" xfId="16125"/>
    <cellStyle name="Normal 10 3 2 5 3 3" xfId="11901"/>
    <cellStyle name="Normal 10 3 2 5 4" xfId="5565"/>
    <cellStyle name="Normal 10 3 2 5 4 2" xfId="14013"/>
    <cellStyle name="Normal 10 3 2 5 5" xfId="9789"/>
    <cellStyle name="Normal 10 3 2 6" xfId="1515"/>
    <cellStyle name="Normal 10 3 2 6 2" xfId="3627"/>
    <cellStyle name="Normal 10 3 2 6 2 2" xfId="7853"/>
    <cellStyle name="Normal 10 3 2 6 2 2 2" xfId="16301"/>
    <cellStyle name="Normal 10 3 2 6 2 3" xfId="12077"/>
    <cellStyle name="Normal 10 3 2 6 3" xfId="5741"/>
    <cellStyle name="Normal 10 3 2 6 3 2" xfId="14189"/>
    <cellStyle name="Normal 10 3 2 6 4" xfId="9965"/>
    <cellStyle name="Normal 10 3 2 7" xfId="2571"/>
    <cellStyle name="Normal 10 3 2 7 2" xfId="6797"/>
    <cellStyle name="Normal 10 3 2 7 2 2" xfId="15245"/>
    <cellStyle name="Normal 10 3 2 7 3" xfId="11021"/>
    <cellStyle name="Normal 10 3 2 8" xfId="4684"/>
    <cellStyle name="Normal 10 3 2 8 2" xfId="13133"/>
    <cellStyle name="Normal 10 3 2 9" xfId="8909"/>
    <cellStyle name="Normal 10 3 3" xfId="285"/>
    <cellStyle name="Normal 10 3 3 2" xfId="630"/>
    <cellStyle name="Normal 10 3 3 2 2" xfId="982"/>
    <cellStyle name="Normal 10 3 3 2 2 2" xfId="2044"/>
    <cellStyle name="Normal 10 3 3 2 2 2 2" xfId="4156"/>
    <cellStyle name="Normal 10 3 3 2 2 2 2 2" xfId="8382"/>
    <cellStyle name="Normal 10 3 3 2 2 2 2 2 2" xfId="16830"/>
    <cellStyle name="Normal 10 3 3 2 2 2 2 3" xfId="12606"/>
    <cellStyle name="Normal 10 3 3 2 2 2 3" xfId="6270"/>
    <cellStyle name="Normal 10 3 3 2 2 2 3 2" xfId="14718"/>
    <cellStyle name="Normal 10 3 3 2 2 2 4" xfId="10494"/>
    <cellStyle name="Normal 10 3 3 2 2 3" xfId="3100"/>
    <cellStyle name="Normal 10 3 3 2 2 3 2" xfId="7326"/>
    <cellStyle name="Normal 10 3 3 2 2 3 2 2" xfId="15774"/>
    <cellStyle name="Normal 10 3 3 2 2 3 3" xfId="11550"/>
    <cellStyle name="Normal 10 3 3 2 2 4" xfId="5214"/>
    <cellStyle name="Normal 10 3 3 2 2 4 2" xfId="13662"/>
    <cellStyle name="Normal 10 3 3 2 2 5" xfId="9438"/>
    <cellStyle name="Normal 10 3 3 2 3" xfId="1692"/>
    <cellStyle name="Normal 10 3 3 2 3 2" xfId="3804"/>
    <cellStyle name="Normal 10 3 3 2 3 2 2" xfId="8030"/>
    <cellStyle name="Normal 10 3 3 2 3 2 2 2" xfId="16478"/>
    <cellStyle name="Normal 10 3 3 2 3 2 3" xfId="12254"/>
    <cellStyle name="Normal 10 3 3 2 3 3" xfId="5918"/>
    <cellStyle name="Normal 10 3 3 2 3 3 2" xfId="14366"/>
    <cellStyle name="Normal 10 3 3 2 3 4" xfId="10142"/>
    <cellStyle name="Normal 10 3 3 2 4" xfId="2748"/>
    <cellStyle name="Normal 10 3 3 2 4 2" xfId="6974"/>
    <cellStyle name="Normal 10 3 3 2 4 2 2" xfId="15422"/>
    <cellStyle name="Normal 10 3 3 2 4 3" xfId="11198"/>
    <cellStyle name="Normal 10 3 3 2 5" xfId="4862"/>
    <cellStyle name="Normal 10 3 3 2 5 2" xfId="13310"/>
    <cellStyle name="Normal 10 3 3 2 6" xfId="9086"/>
    <cellStyle name="Normal 10 3 3 3" xfId="806"/>
    <cellStyle name="Normal 10 3 3 3 2" xfId="1868"/>
    <cellStyle name="Normal 10 3 3 3 2 2" xfId="3980"/>
    <cellStyle name="Normal 10 3 3 3 2 2 2" xfId="8206"/>
    <cellStyle name="Normal 10 3 3 3 2 2 2 2" xfId="16654"/>
    <cellStyle name="Normal 10 3 3 3 2 2 3" xfId="12430"/>
    <cellStyle name="Normal 10 3 3 3 2 3" xfId="6094"/>
    <cellStyle name="Normal 10 3 3 3 2 3 2" xfId="14542"/>
    <cellStyle name="Normal 10 3 3 3 2 4" xfId="10318"/>
    <cellStyle name="Normal 10 3 3 3 3" xfId="2924"/>
    <cellStyle name="Normal 10 3 3 3 3 2" xfId="7150"/>
    <cellStyle name="Normal 10 3 3 3 3 2 2" xfId="15598"/>
    <cellStyle name="Normal 10 3 3 3 3 3" xfId="11374"/>
    <cellStyle name="Normal 10 3 3 3 4" xfId="5038"/>
    <cellStyle name="Normal 10 3 3 3 4 2" xfId="13486"/>
    <cellStyle name="Normal 10 3 3 3 5" xfId="9262"/>
    <cellStyle name="Normal 10 3 3 4" xfId="1158"/>
    <cellStyle name="Normal 10 3 3 4 2" xfId="2220"/>
    <cellStyle name="Normal 10 3 3 4 2 2" xfId="4332"/>
    <cellStyle name="Normal 10 3 3 4 2 2 2" xfId="8558"/>
    <cellStyle name="Normal 10 3 3 4 2 2 2 2" xfId="17006"/>
    <cellStyle name="Normal 10 3 3 4 2 2 3" xfId="12782"/>
    <cellStyle name="Normal 10 3 3 4 2 3" xfId="6446"/>
    <cellStyle name="Normal 10 3 3 4 2 3 2" xfId="14894"/>
    <cellStyle name="Normal 10 3 3 4 2 4" xfId="10670"/>
    <cellStyle name="Normal 10 3 3 4 3" xfId="3276"/>
    <cellStyle name="Normal 10 3 3 4 3 2" xfId="7502"/>
    <cellStyle name="Normal 10 3 3 4 3 2 2" xfId="15950"/>
    <cellStyle name="Normal 10 3 3 4 3 3" xfId="11726"/>
    <cellStyle name="Normal 10 3 3 4 4" xfId="5390"/>
    <cellStyle name="Normal 10 3 3 4 4 2" xfId="13838"/>
    <cellStyle name="Normal 10 3 3 4 5" xfId="9614"/>
    <cellStyle name="Normal 10 3 3 5" xfId="1340"/>
    <cellStyle name="Normal 10 3 3 5 2" xfId="2396"/>
    <cellStyle name="Normal 10 3 3 5 2 2" xfId="4508"/>
    <cellStyle name="Normal 10 3 3 5 2 2 2" xfId="8734"/>
    <cellStyle name="Normal 10 3 3 5 2 2 2 2" xfId="17182"/>
    <cellStyle name="Normal 10 3 3 5 2 2 3" xfId="12958"/>
    <cellStyle name="Normal 10 3 3 5 2 3" xfId="6622"/>
    <cellStyle name="Normal 10 3 3 5 2 3 2" xfId="15070"/>
    <cellStyle name="Normal 10 3 3 5 2 4" xfId="10846"/>
    <cellStyle name="Normal 10 3 3 5 3" xfId="3452"/>
    <cellStyle name="Normal 10 3 3 5 3 2" xfId="7678"/>
    <cellStyle name="Normal 10 3 3 5 3 2 2" xfId="16126"/>
    <cellStyle name="Normal 10 3 3 5 3 3" xfId="11902"/>
    <cellStyle name="Normal 10 3 3 5 4" xfId="5566"/>
    <cellStyle name="Normal 10 3 3 5 4 2" xfId="14014"/>
    <cellStyle name="Normal 10 3 3 5 5" xfId="9790"/>
    <cellStyle name="Normal 10 3 3 6" xfId="1516"/>
    <cellStyle name="Normal 10 3 3 6 2" xfId="3628"/>
    <cellStyle name="Normal 10 3 3 6 2 2" xfId="7854"/>
    <cellStyle name="Normal 10 3 3 6 2 2 2" xfId="16302"/>
    <cellStyle name="Normal 10 3 3 6 2 3" xfId="12078"/>
    <cellStyle name="Normal 10 3 3 6 3" xfId="5742"/>
    <cellStyle name="Normal 10 3 3 6 3 2" xfId="14190"/>
    <cellStyle name="Normal 10 3 3 6 4" xfId="9966"/>
    <cellStyle name="Normal 10 3 3 7" xfId="2572"/>
    <cellStyle name="Normal 10 3 3 7 2" xfId="6798"/>
    <cellStyle name="Normal 10 3 3 7 2 2" xfId="15246"/>
    <cellStyle name="Normal 10 3 3 7 3" xfId="11022"/>
    <cellStyle name="Normal 10 3 3 8" xfId="4685"/>
    <cellStyle name="Normal 10 3 3 8 2" xfId="13134"/>
    <cellStyle name="Normal 10 3 3 9" xfId="8910"/>
    <cellStyle name="Normal 10 3 4" xfId="628"/>
    <cellStyle name="Normal 10 3 4 2" xfId="980"/>
    <cellStyle name="Normal 10 3 4 2 2" xfId="2042"/>
    <cellStyle name="Normal 10 3 4 2 2 2" xfId="4154"/>
    <cellStyle name="Normal 10 3 4 2 2 2 2" xfId="8380"/>
    <cellStyle name="Normal 10 3 4 2 2 2 2 2" xfId="16828"/>
    <cellStyle name="Normal 10 3 4 2 2 2 3" xfId="12604"/>
    <cellStyle name="Normal 10 3 4 2 2 3" xfId="6268"/>
    <cellStyle name="Normal 10 3 4 2 2 3 2" xfId="14716"/>
    <cellStyle name="Normal 10 3 4 2 2 4" xfId="10492"/>
    <cellStyle name="Normal 10 3 4 2 3" xfId="3098"/>
    <cellStyle name="Normal 10 3 4 2 3 2" xfId="7324"/>
    <cellStyle name="Normal 10 3 4 2 3 2 2" xfId="15772"/>
    <cellStyle name="Normal 10 3 4 2 3 3" xfId="11548"/>
    <cellStyle name="Normal 10 3 4 2 4" xfId="5212"/>
    <cellStyle name="Normal 10 3 4 2 4 2" xfId="13660"/>
    <cellStyle name="Normal 10 3 4 2 5" xfId="9436"/>
    <cellStyle name="Normal 10 3 4 3" xfId="1690"/>
    <cellStyle name="Normal 10 3 4 3 2" xfId="3802"/>
    <cellStyle name="Normal 10 3 4 3 2 2" xfId="8028"/>
    <cellStyle name="Normal 10 3 4 3 2 2 2" xfId="16476"/>
    <cellStyle name="Normal 10 3 4 3 2 3" xfId="12252"/>
    <cellStyle name="Normal 10 3 4 3 3" xfId="5916"/>
    <cellStyle name="Normal 10 3 4 3 3 2" xfId="14364"/>
    <cellStyle name="Normal 10 3 4 3 4" xfId="10140"/>
    <cellStyle name="Normal 10 3 4 4" xfId="2746"/>
    <cellStyle name="Normal 10 3 4 4 2" xfId="6972"/>
    <cellStyle name="Normal 10 3 4 4 2 2" xfId="15420"/>
    <cellStyle name="Normal 10 3 4 4 3" xfId="11196"/>
    <cellStyle name="Normal 10 3 4 5" xfId="4860"/>
    <cellStyle name="Normal 10 3 4 5 2" xfId="13308"/>
    <cellStyle name="Normal 10 3 4 6" xfId="9084"/>
    <cellStyle name="Normal 10 3 5" xfId="804"/>
    <cellStyle name="Normal 10 3 5 2" xfId="1866"/>
    <cellStyle name="Normal 10 3 5 2 2" xfId="3978"/>
    <cellStyle name="Normal 10 3 5 2 2 2" xfId="8204"/>
    <cellStyle name="Normal 10 3 5 2 2 2 2" xfId="16652"/>
    <cellStyle name="Normal 10 3 5 2 2 3" xfId="12428"/>
    <cellStyle name="Normal 10 3 5 2 3" xfId="6092"/>
    <cellStyle name="Normal 10 3 5 2 3 2" xfId="14540"/>
    <cellStyle name="Normal 10 3 5 2 4" xfId="10316"/>
    <cellStyle name="Normal 10 3 5 3" xfId="2922"/>
    <cellStyle name="Normal 10 3 5 3 2" xfId="7148"/>
    <cellStyle name="Normal 10 3 5 3 2 2" xfId="15596"/>
    <cellStyle name="Normal 10 3 5 3 3" xfId="11372"/>
    <cellStyle name="Normal 10 3 5 4" xfId="5036"/>
    <cellStyle name="Normal 10 3 5 4 2" xfId="13484"/>
    <cellStyle name="Normal 10 3 5 5" xfId="9260"/>
    <cellStyle name="Normal 10 3 6" xfId="1156"/>
    <cellStyle name="Normal 10 3 6 2" xfId="2218"/>
    <cellStyle name="Normal 10 3 6 2 2" xfId="4330"/>
    <cellStyle name="Normal 10 3 6 2 2 2" xfId="8556"/>
    <cellStyle name="Normal 10 3 6 2 2 2 2" xfId="17004"/>
    <cellStyle name="Normal 10 3 6 2 2 3" xfId="12780"/>
    <cellStyle name="Normal 10 3 6 2 3" xfId="6444"/>
    <cellStyle name="Normal 10 3 6 2 3 2" xfId="14892"/>
    <cellStyle name="Normal 10 3 6 2 4" xfId="10668"/>
    <cellStyle name="Normal 10 3 6 3" xfId="3274"/>
    <cellStyle name="Normal 10 3 6 3 2" xfId="7500"/>
    <cellStyle name="Normal 10 3 6 3 2 2" xfId="15948"/>
    <cellStyle name="Normal 10 3 6 3 3" xfId="11724"/>
    <cellStyle name="Normal 10 3 6 4" xfId="5388"/>
    <cellStyle name="Normal 10 3 6 4 2" xfId="13836"/>
    <cellStyle name="Normal 10 3 6 5" xfId="9612"/>
    <cellStyle name="Normal 10 3 7" xfId="1338"/>
    <cellStyle name="Normal 10 3 7 2" xfId="2394"/>
    <cellStyle name="Normal 10 3 7 2 2" xfId="4506"/>
    <cellStyle name="Normal 10 3 7 2 2 2" xfId="8732"/>
    <cellStyle name="Normal 10 3 7 2 2 2 2" xfId="17180"/>
    <cellStyle name="Normal 10 3 7 2 2 3" xfId="12956"/>
    <cellStyle name="Normal 10 3 7 2 3" xfId="6620"/>
    <cellStyle name="Normal 10 3 7 2 3 2" xfId="15068"/>
    <cellStyle name="Normal 10 3 7 2 4" xfId="10844"/>
    <cellStyle name="Normal 10 3 7 3" xfId="3450"/>
    <cellStyle name="Normal 10 3 7 3 2" xfId="7676"/>
    <cellStyle name="Normal 10 3 7 3 2 2" xfId="16124"/>
    <cellStyle name="Normal 10 3 7 3 3" xfId="11900"/>
    <cellStyle name="Normal 10 3 7 4" xfId="5564"/>
    <cellStyle name="Normal 10 3 7 4 2" xfId="14012"/>
    <cellStyle name="Normal 10 3 7 5" xfId="9788"/>
    <cellStyle name="Normal 10 3 8" xfId="1514"/>
    <cellStyle name="Normal 10 3 8 2" xfId="3626"/>
    <cellStyle name="Normal 10 3 8 2 2" xfId="7852"/>
    <cellStyle name="Normal 10 3 8 2 2 2" xfId="16300"/>
    <cellStyle name="Normal 10 3 8 2 3" xfId="12076"/>
    <cellStyle name="Normal 10 3 8 3" xfId="5740"/>
    <cellStyle name="Normal 10 3 8 3 2" xfId="14188"/>
    <cellStyle name="Normal 10 3 8 4" xfId="9964"/>
    <cellStyle name="Normal 10 3 9" xfId="2570"/>
    <cellStyle name="Normal 10 3 9 2" xfId="6796"/>
    <cellStyle name="Normal 10 3 9 2 2" xfId="15244"/>
    <cellStyle name="Normal 10 3 9 3" xfId="11020"/>
    <cellStyle name="Normal 10 4" xfId="286"/>
    <cellStyle name="Normal 10 4 2" xfId="17386"/>
    <cellStyle name="Normal 10 5" xfId="287"/>
    <cellStyle name="Normal 11" xfId="288"/>
    <cellStyle name="Normal 11 10" xfId="1517"/>
    <cellStyle name="Normal 11 10 2" xfId="3629"/>
    <cellStyle name="Normal 11 10 2 2" xfId="7855"/>
    <cellStyle name="Normal 11 10 2 2 2" xfId="16303"/>
    <cellStyle name="Normal 11 10 2 3" xfId="12079"/>
    <cellStyle name="Normal 11 10 3" xfId="5743"/>
    <cellStyle name="Normal 11 10 3 2" xfId="14191"/>
    <cellStyle name="Normal 11 10 4" xfId="9967"/>
    <cellStyle name="Normal 11 11" xfId="2573"/>
    <cellStyle name="Normal 11 11 2" xfId="6799"/>
    <cellStyle name="Normal 11 11 2 2" xfId="15247"/>
    <cellStyle name="Normal 11 11 3" xfId="11023"/>
    <cellStyle name="Normal 11 12" xfId="4686"/>
    <cellStyle name="Normal 11 12 2" xfId="13135"/>
    <cellStyle name="Normal 11 13" xfId="8911"/>
    <cellStyle name="Normal 11 2" xfId="289"/>
    <cellStyle name="Normal 11 2 10" xfId="4687"/>
    <cellStyle name="Normal 11 2 10 2" xfId="13136"/>
    <cellStyle name="Normal 11 2 11" xfId="8912"/>
    <cellStyle name="Normal 11 2 12" xfId="17465"/>
    <cellStyle name="Normal 11 2 2" xfId="290"/>
    <cellStyle name="Normal 11 2 2 2" xfId="633"/>
    <cellStyle name="Normal 11 2 2 2 2" xfId="985"/>
    <cellStyle name="Normal 11 2 2 2 2 2" xfId="2047"/>
    <cellStyle name="Normal 11 2 2 2 2 2 2" xfId="4159"/>
    <cellStyle name="Normal 11 2 2 2 2 2 2 2" xfId="8385"/>
    <cellStyle name="Normal 11 2 2 2 2 2 2 2 2" xfId="16833"/>
    <cellStyle name="Normal 11 2 2 2 2 2 2 3" xfId="12609"/>
    <cellStyle name="Normal 11 2 2 2 2 2 3" xfId="6273"/>
    <cellStyle name="Normal 11 2 2 2 2 2 3 2" xfId="14721"/>
    <cellStyle name="Normal 11 2 2 2 2 2 4" xfId="10497"/>
    <cellStyle name="Normal 11 2 2 2 2 3" xfId="3103"/>
    <cellStyle name="Normal 11 2 2 2 2 3 2" xfId="7329"/>
    <cellStyle name="Normal 11 2 2 2 2 3 2 2" xfId="15777"/>
    <cellStyle name="Normal 11 2 2 2 2 3 3" xfId="11553"/>
    <cellStyle name="Normal 11 2 2 2 2 4" xfId="5217"/>
    <cellStyle name="Normal 11 2 2 2 2 4 2" xfId="13665"/>
    <cellStyle name="Normal 11 2 2 2 2 5" xfId="9441"/>
    <cellStyle name="Normal 11 2 2 2 3" xfId="1695"/>
    <cellStyle name="Normal 11 2 2 2 3 2" xfId="3807"/>
    <cellStyle name="Normal 11 2 2 2 3 2 2" xfId="8033"/>
    <cellStyle name="Normal 11 2 2 2 3 2 2 2" xfId="16481"/>
    <cellStyle name="Normal 11 2 2 2 3 2 3" xfId="12257"/>
    <cellStyle name="Normal 11 2 2 2 3 3" xfId="5921"/>
    <cellStyle name="Normal 11 2 2 2 3 3 2" xfId="14369"/>
    <cellStyle name="Normal 11 2 2 2 3 4" xfId="10145"/>
    <cellStyle name="Normal 11 2 2 2 4" xfId="2751"/>
    <cellStyle name="Normal 11 2 2 2 4 2" xfId="6977"/>
    <cellStyle name="Normal 11 2 2 2 4 2 2" xfId="15425"/>
    <cellStyle name="Normal 11 2 2 2 4 3" xfId="11201"/>
    <cellStyle name="Normal 11 2 2 2 5" xfId="4865"/>
    <cellStyle name="Normal 11 2 2 2 5 2" xfId="13313"/>
    <cellStyle name="Normal 11 2 2 2 6" xfId="9089"/>
    <cellStyle name="Normal 11 2 2 3" xfId="809"/>
    <cellStyle name="Normal 11 2 2 3 2" xfId="1871"/>
    <cellStyle name="Normal 11 2 2 3 2 2" xfId="3983"/>
    <cellStyle name="Normal 11 2 2 3 2 2 2" xfId="8209"/>
    <cellStyle name="Normal 11 2 2 3 2 2 2 2" xfId="16657"/>
    <cellStyle name="Normal 11 2 2 3 2 2 3" xfId="12433"/>
    <cellStyle name="Normal 11 2 2 3 2 3" xfId="6097"/>
    <cellStyle name="Normal 11 2 2 3 2 3 2" xfId="14545"/>
    <cellStyle name="Normal 11 2 2 3 2 4" xfId="10321"/>
    <cellStyle name="Normal 11 2 2 3 3" xfId="2927"/>
    <cellStyle name="Normal 11 2 2 3 3 2" xfId="7153"/>
    <cellStyle name="Normal 11 2 2 3 3 2 2" xfId="15601"/>
    <cellStyle name="Normal 11 2 2 3 3 3" xfId="11377"/>
    <cellStyle name="Normal 11 2 2 3 4" xfId="5041"/>
    <cellStyle name="Normal 11 2 2 3 4 2" xfId="13489"/>
    <cellStyle name="Normal 11 2 2 3 5" xfId="9265"/>
    <cellStyle name="Normal 11 2 2 4" xfId="1161"/>
    <cellStyle name="Normal 11 2 2 4 2" xfId="2223"/>
    <cellStyle name="Normal 11 2 2 4 2 2" xfId="4335"/>
    <cellStyle name="Normal 11 2 2 4 2 2 2" xfId="8561"/>
    <cellStyle name="Normal 11 2 2 4 2 2 2 2" xfId="17009"/>
    <cellStyle name="Normal 11 2 2 4 2 2 3" xfId="12785"/>
    <cellStyle name="Normal 11 2 2 4 2 3" xfId="6449"/>
    <cellStyle name="Normal 11 2 2 4 2 3 2" xfId="14897"/>
    <cellStyle name="Normal 11 2 2 4 2 4" xfId="10673"/>
    <cellStyle name="Normal 11 2 2 4 3" xfId="3279"/>
    <cellStyle name="Normal 11 2 2 4 3 2" xfId="7505"/>
    <cellStyle name="Normal 11 2 2 4 3 2 2" xfId="15953"/>
    <cellStyle name="Normal 11 2 2 4 3 3" xfId="11729"/>
    <cellStyle name="Normal 11 2 2 4 4" xfId="5393"/>
    <cellStyle name="Normal 11 2 2 4 4 2" xfId="13841"/>
    <cellStyle name="Normal 11 2 2 4 5" xfId="9617"/>
    <cellStyle name="Normal 11 2 2 5" xfId="1343"/>
    <cellStyle name="Normal 11 2 2 5 2" xfId="2399"/>
    <cellStyle name="Normal 11 2 2 5 2 2" xfId="4511"/>
    <cellStyle name="Normal 11 2 2 5 2 2 2" xfId="8737"/>
    <cellStyle name="Normal 11 2 2 5 2 2 2 2" xfId="17185"/>
    <cellStyle name="Normal 11 2 2 5 2 2 3" xfId="12961"/>
    <cellStyle name="Normal 11 2 2 5 2 3" xfId="6625"/>
    <cellStyle name="Normal 11 2 2 5 2 3 2" xfId="15073"/>
    <cellStyle name="Normal 11 2 2 5 2 4" xfId="10849"/>
    <cellStyle name="Normal 11 2 2 5 3" xfId="3455"/>
    <cellStyle name="Normal 11 2 2 5 3 2" xfId="7681"/>
    <cellStyle name="Normal 11 2 2 5 3 2 2" xfId="16129"/>
    <cellStyle name="Normal 11 2 2 5 3 3" xfId="11905"/>
    <cellStyle name="Normal 11 2 2 5 4" xfId="5569"/>
    <cellStyle name="Normal 11 2 2 5 4 2" xfId="14017"/>
    <cellStyle name="Normal 11 2 2 5 5" xfId="9793"/>
    <cellStyle name="Normal 11 2 2 6" xfId="1519"/>
    <cellStyle name="Normal 11 2 2 6 2" xfId="3631"/>
    <cellStyle name="Normal 11 2 2 6 2 2" xfId="7857"/>
    <cellStyle name="Normal 11 2 2 6 2 2 2" xfId="16305"/>
    <cellStyle name="Normal 11 2 2 6 2 3" xfId="12081"/>
    <cellStyle name="Normal 11 2 2 6 3" xfId="5745"/>
    <cellStyle name="Normal 11 2 2 6 3 2" xfId="14193"/>
    <cellStyle name="Normal 11 2 2 6 4" xfId="9969"/>
    <cellStyle name="Normal 11 2 2 7" xfId="2575"/>
    <cellStyle name="Normal 11 2 2 7 2" xfId="6801"/>
    <cellStyle name="Normal 11 2 2 7 2 2" xfId="15249"/>
    <cellStyle name="Normal 11 2 2 7 3" xfId="11025"/>
    <cellStyle name="Normal 11 2 2 8" xfId="4688"/>
    <cellStyle name="Normal 11 2 2 8 2" xfId="13137"/>
    <cellStyle name="Normal 11 2 2 9" xfId="8913"/>
    <cellStyle name="Normal 11 2 3" xfId="291"/>
    <cellStyle name="Normal 11 2 3 2" xfId="634"/>
    <cellStyle name="Normal 11 2 3 2 2" xfId="986"/>
    <cellStyle name="Normal 11 2 3 2 2 2" xfId="2048"/>
    <cellStyle name="Normal 11 2 3 2 2 2 2" xfId="4160"/>
    <cellStyle name="Normal 11 2 3 2 2 2 2 2" xfId="8386"/>
    <cellStyle name="Normal 11 2 3 2 2 2 2 2 2" xfId="16834"/>
    <cellStyle name="Normal 11 2 3 2 2 2 2 3" xfId="12610"/>
    <cellStyle name="Normal 11 2 3 2 2 2 3" xfId="6274"/>
    <cellStyle name="Normal 11 2 3 2 2 2 3 2" xfId="14722"/>
    <cellStyle name="Normal 11 2 3 2 2 2 4" xfId="10498"/>
    <cellStyle name="Normal 11 2 3 2 2 3" xfId="3104"/>
    <cellStyle name="Normal 11 2 3 2 2 3 2" xfId="7330"/>
    <cellStyle name="Normal 11 2 3 2 2 3 2 2" xfId="15778"/>
    <cellStyle name="Normal 11 2 3 2 2 3 3" xfId="11554"/>
    <cellStyle name="Normal 11 2 3 2 2 4" xfId="5218"/>
    <cellStyle name="Normal 11 2 3 2 2 4 2" xfId="13666"/>
    <cellStyle name="Normal 11 2 3 2 2 5" xfId="9442"/>
    <cellStyle name="Normal 11 2 3 2 3" xfId="1696"/>
    <cellStyle name="Normal 11 2 3 2 3 2" xfId="3808"/>
    <cellStyle name="Normal 11 2 3 2 3 2 2" xfId="8034"/>
    <cellStyle name="Normal 11 2 3 2 3 2 2 2" xfId="16482"/>
    <cellStyle name="Normal 11 2 3 2 3 2 3" xfId="12258"/>
    <cellStyle name="Normal 11 2 3 2 3 3" xfId="5922"/>
    <cellStyle name="Normal 11 2 3 2 3 3 2" xfId="14370"/>
    <cellStyle name="Normal 11 2 3 2 3 4" xfId="10146"/>
    <cellStyle name="Normal 11 2 3 2 4" xfId="2752"/>
    <cellStyle name="Normal 11 2 3 2 4 2" xfId="6978"/>
    <cellStyle name="Normal 11 2 3 2 4 2 2" xfId="15426"/>
    <cellStyle name="Normal 11 2 3 2 4 3" xfId="11202"/>
    <cellStyle name="Normal 11 2 3 2 5" xfId="4866"/>
    <cellStyle name="Normal 11 2 3 2 5 2" xfId="13314"/>
    <cellStyle name="Normal 11 2 3 2 6" xfId="9090"/>
    <cellStyle name="Normal 11 2 3 3" xfId="810"/>
    <cellStyle name="Normal 11 2 3 3 2" xfId="1872"/>
    <cellStyle name="Normal 11 2 3 3 2 2" xfId="3984"/>
    <cellStyle name="Normal 11 2 3 3 2 2 2" xfId="8210"/>
    <cellStyle name="Normal 11 2 3 3 2 2 2 2" xfId="16658"/>
    <cellStyle name="Normal 11 2 3 3 2 2 3" xfId="12434"/>
    <cellStyle name="Normal 11 2 3 3 2 3" xfId="6098"/>
    <cellStyle name="Normal 11 2 3 3 2 3 2" xfId="14546"/>
    <cellStyle name="Normal 11 2 3 3 2 4" xfId="10322"/>
    <cellStyle name="Normal 11 2 3 3 3" xfId="2928"/>
    <cellStyle name="Normal 11 2 3 3 3 2" xfId="7154"/>
    <cellStyle name="Normal 11 2 3 3 3 2 2" xfId="15602"/>
    <cellStyle name="Normal 11 2 3 3 3 3" xfId="11378"/>
    <cellStyle name="Normal 11 2 3 3 4" xfId="5042"/>
    <cellStyle name="Normal 11 2 3 3 4 2" xfId="13490"/>
    <cellStyle name="Normal 11 2 3 3 5" xfId="9266"/>
    <cellStyle name="Normal 11 2 3 4" xfId="1162"/>
    <cellStyle name="Normal 11 2 3 4 2" xfId="2224"/>
    <cellStyle name="Normal 11 2 3 4 2 2" xfId="4336"/>
    <cellStyle name="Normal 11 2 3 4 2 2 2" xfId="8562"/>
    <cellStyle name="Normal 11 2 3 4 2 2 2 2" xfId="17010"/>
    <cellStyle name="Normal 11 2 3 4 2 2 3" xfId="12786"/>
    <cellStyle name="Normal 11 2 3 4 2 3" xfId="6450"/>
    <cellStyle name="Normal 11 2 3 4 2 3 2" xfId="14898"/>
    <cellStyle name="Normal 11 2 3 4 2 4" xfId="10674"/>
    <cellStyle name="Normal 11 2 3 4 3" xfId="3280"/>
    <cellStyle name="Normal 11 2 3 4 3 2" xfId="7506"/>
    <cellStyle name="Normal 11 2 3 4 3 2 2" xfId="15954"/>
    <cellStyle name="Normal 11 2 3 4 3 3" xfId="11730"/>
    <cellStyle name="Normal 11 2 3 4 4" xfId="5394"/>
    <cellStyle name="Normal 11 2 3 4 4 2" xfId="13842"/>
    <cellStyle name="Normal 11 2 3 4 5" xfId="9618"/>
    <cellStyle name="Normal 11 2 3 5" xfId="1344"/>
    <cellStyle name="Normal 11 2 3 5 2" xfId="2400"/>
    <cellStyle name="Normal 11 2 3 5 2 2" xfId="4512"/>
    <cellStyle name="Normal 11 2 3 5 2 2 2" xfId="8738"/>
    <cellStyle name="Normal 11 2 3 5 2 2 2 2" xfId="17186"/>
    <cellStyle name="Normal 11 2 3 5 2 2 3" xfId="12962"/>
    <cellStyle name="Normal 11 2 3 5 2 3" xfId="6626"/>
    <cellStyle name="Normal 11 2 3 5 2 3 2" xfId="15074"/>
    <cellStyle name="Normal 11 2 3 5 2 4" xfId="10850"/>
    <cellStyle name="Normal 11 2 3 5 3" xfId="3456"/>
    <cellStyle name="Normal 11 2 3 5 3 2" xfId="7682"/>
    <cellStyle name="Normal 11 2 3 5 3 2 2" xfId="16130"/>
    <cellStyle name="Normal 11 2 3 5 3 3" xfId="11906"/>
    <cellStyle name="Normal 11 2 3 5 4" xfId="5570"/>
    <cellStyle name="Normal 11 2 3 5 4 2" xfId="14018"/>
    <cellStyle name="Normal 11 2 3 5 5" xfId="9794"/>
    <cellStyle name="Normal 11 2 3 6" xfId="1520"/>
    <cellStyle name="Normal 11 2 3 6 2" xfId="3632"/>
    <cellStyle name="Normal 11 2 3 6 2 2" xfId="7858"/>
    <cellStyle name="Normal 11 2 3 6 2 2 2" xfId="16306"/>
    <cellStyle name="Normal 11 2 3 6 2 3" xfId="12082"/>
    <cellStyle name="Normal 11 2 3 6 3" xfId="5746"/>
    <cellStyle name="Normal 11 2 3 6 3 2" xfId="14194"/>
    <cellStyle name="Normal 11 2 3 6 4" xfId="9970"/>
    <cellStyle name="Normal 11 2 3 7" xfId="2576"/>
    <cellStyle name="Normal 11 2 3 7 2" xfId="6802"/>
    <cellStyle name="Normal 11 2 3 7 2 2" xfId="15250"/>
    <cellStyle name="Normal 11 2 3 7 3" xfId="11026"/>
    <cellStyle name="Normal 11 2 3 8" xfId="4689"/>
    <cellStyle name="Normal 11 2 3 8 2" xfId="13138"/>
    <cellStyle name="Normal 11 2 3 9" xfId="8914"/>
    <cellStyle name="Normal 11 2 4" xfId="632"/>
    <cellStyle name="Normal 11 2 4 2" xfId="984"/>
    <cellStyle name="Normal 11 2 4 2 2" xfId="2046"/>
    <cellStyle name="Normal 11 2 4 2 2 2" xfId="4158"/>
    <cellStyle name="Normal 11 2 4 2 2 2 2" xfId="8384"/>
    <cellStyle name="Normal 11 2 4 2 2 2 2 2" xfId="16832"/>
    <cellStyle name="Normal 11 2 4 2 2 2 3" xfId="12608"/>
    <cellStyle name="Normal 11 2 4 2 2 3" xfId="6272"/>
    <cellStyle name="Normal 11 2 4 2 2 3 2" xfId="14720"/>
    <cellStyle name="Normal 11 2 4 2 2 4" xfId="10496"/>
    <cellStyle name="Normal 11 2 4 2 3" xfId="3102"/>
    <cellStyle name="Normal 11 2 4 2 3 2" xfId="7328"/>
    <cellStyle name="Normal 11 2 4 2 3 2 2" xfId="15776"/>
    <cellStyle name="Normal 11 2 4 2 3 3" xfId="11552"/>
    <cellStyle name="Normal 11 2 4 2 4" xfId="5216"/>
    <cellStyle name="Normal 11 2 4 2 4 2" xfId="13664"/>
    <cellStyle name="Normal 11 2 4 2 5" xfId="9440"/>
    <cellStyle name="Normal 11 2 4 3" xfId="1694"/>
    <cellStyle name="Normal 11 2 4 3 2" xfId="3806"/>
    <cellStyle name="Normal 11 2 4 3 2 2" xfId="8032"/>
    <cellStyle name="Normal 11 2 4 3 2 2 2" xfId="16480"/>
    <cellStyle name="Normal 11 2 4 3 2 3" xfId="12256"/>
    <cellStyle name="Normal 11 2 4 3 3" xfId="5920"/>
    <cellStyle name="Normal 11 2 4 3 3 2" xfId="14368"/>
    <cellStyle name="Normal 11 2 4 3 4" xfId="10144"/>
    <cellStyle name="Normal 11 2 4 4" xfId="2750"/>
    <cellStyle name="Normal 11 2 4 4 2" xfId="6976"/>
    <cellStyle name="Normal 11 2 4 4 2 2" xfId="15424"/>
    <cellStyle name="Normal 11 2 4 4 3" xfId="11200"/>
    <cellStyle name="Normal 11 2 4 5" xfId="4864"/>
    <cellStyle name="Normal 11 2 4 5 2" xfId="13312"/>
    <cellStyle name="Normal 11 2 4 6" xfId="9088"/>
    <cellStyle name="Normal 11 2 5" xfId="808"/>
    <cellStyle name="Normal 11 2 5 2" xfId="1870"/>
    <cellStyle name="Normal 11 2 5 2 2" xfId="3982"/>
    <cellStyle name="Normal 11 2 5 2 2 2" xfId="8208"/>
    <cellStyle name="Normal 11 2 5 2 2 2 2" xfId="16656"/>
    <cellStyle name="Normal 11 2 5 2 2 3" xfId="12432"/>
    <cellStyle name="Normal 11 2 5 2 3" xfId="6096"/>
    <cellStyle name="Normal 11 2 5 2 3 2" xfId="14544"/>
    <cellStyle name="Normal 11 2 5 2 4" xfId="10320"/>
    <cellStyle name="Normal 11 2 5 3" xfId="2926"/>
    <cellStyle name="Normal 11 2 5 3 2" xfId="7152"/>
    <cellStyle name="Normal 11 2 5 3 2 2" xfId="15600"/>
    <cellStyle name="Normal 11 2 5 3 3" xfId="11376"/>
    <cellStyle name="Normal 11 2 5 4" xfId="5040"/>
    <cellStyle name="Normal 11 2 5 4 2" xfId="13488"/>
    <cellStyle name="Normal 11 2 5 5" xfId="9264"/>
    <cellStyle name="Normal 11 2 6" xfId="1160"/>
    <cellStyle name="Normal 11 2 6 2" xfId="2222"/>
    <cellStyle name="Normal 11 2 6 2 2" xfId="4334"/>
    <cellStyle name="Normal 11 2 6 2 2 2" xfId="8560"/>
    <cellStyle name="Normal 11 2 6 2 2 2 2" xfId="17008"/>
    <cellStyle name="Normal 11 2 6 2 2 3" xfId="12784"/>
    <cellStyle name="Normal 11 2 6 2 3" xfId="6448"/>
    <cellStyle name="Normal 11 2 6 2 3 2" xfId="14896"/>
    <cellStyle name="Normal 11 2 6 2 4" xfId="10672"/>
    <cellStyle name="Normal 11 2 6 3" xfId="3278"/>
    <cellStyle name="Normal 11 2 6 3 2" xfId="7504"/>
    <cellStyle name="Normal 11 2 6 3 2 2" xfId="15952"/>
    <cellStyle name="Normal 11 2 6 3 3" xfId="11728"/>
    <cellStyle name="Normal 11 2 6 4" xfId="5392"/>
    <cellStyle name="Normal 11 2 6 4 2" xfId="13840"/>
    <cellStyle name="Normal 11 2 6 5" xfId="9616"/>
    <cellStyle name="Normal 11 2 7" xfId="1342"/>
    <cellStyle name="Normal 11 2 7 2" xfId="2398"/>
    <cellStyle name="Normal 11 2 7 2 2" xfId="4510"/>
    <cellStyle name="Normal 11 2 7 2 2 2" xfId="8736"/>
    <cellStyle name="Normal 11 2 7 2 2 2 2" xfId="17184"/>
    <cellStyle name="Normal 11 2 7 2 2 3" xfId="12960"/>
    <cellStyle name="Normal 11 2 7 2 3" xfId="6624"/>
    <cellStyle name="Normal 11 2 7 2 3 2" xfId="15072"/>
    <cellStyle name="Normal 11 2 7 2 4" xfId="10848"/>
    <cellStyle name="Normal 11 2 7 3" xfId="3454"/>
    <cellStyle name="Normal 11 2 7 3 2" xfId="7680"/>
    <cellStyle name="Normal 11 2 7 3 2 2" xfId="16128"/>
    <cellStyle name="Normal 11 2 7 3 3" xfId="11904"/>
    <cellStyle name="Normal 11 2 7 4" xfId="5568"/>
    <cellStyle name="Normal 11 2 7 4 2" xfId="14016"/>
    <cellStyle name="Normal 11 2 7 5" xfId="9792"/>
    <cellStyle name="Normal 11 2 8" xfId="1518"/>
    <cellStyle name="Normal 11 2 8 2" xfId="3630"/>
    <cellStyle name="Normal 11 2 8 2 2" xfId="7856"/>
    <cellStyle name="Normal 11 2 8 2 2 2" xfId="16304"/>
    <cellStyle name="Normal 11 2 8 2 3" xfId="12080"/>
    <cellStyle name="Normal 11 2 8 3" xfId="5744"/>
    <cellStyle name="Normal 11 2 8 3 2" xfId="14192"/>
    <cellStyle name="Normal 11 2 8 4" xfId="9968"/>
    <cellStyle name="Normal 11 2 9" xfId="2574"/>
    <cellStyle name="Normal 11 2 9 2" xfId="6800"/>
    <cellStyle name="Normal 11 2 9 2 2" xfId="15248"/>
    <cellStyle name="Normal 11 2 9 3" xfId="11024"/>
    <cellStyle name="Normal 11 3" xfId="292"/>
    <cellStyle name="Normal 11 4" xfId="293"/>
    <cellStyle name="Normal 11 4 2" xfId="635"/>
    <cellStyle name="Normal 11 4 2 2" xfId="987"/>
    <cellStyle name="Normal 11 4 2 2 2" xfId="2049"/>
    <cellStyle name="Normal 11 4 2 2 2 2" xfId="4161"/>
    <cellStyle name="Normal 11 4 2 2 2 2 2" xfId="8387"/>
    <cellStyle name="Normal 11 4 2 2 2 2 2 2" xfId="16835"/>
    <cellStyle name="Normal 11 4 2 2 2 2 3" xfId="12611"/>
    <cellStyle name="Normal 11 4 2 2 2 3" xfId="6275"/>
    <cellStyle name="Normal 11 4 2 2 2 3 2" xfId="14723"/>
    <cellStyle name="Normal 11 4 2 2 2 4" xfId="10499"/>
    <cellStyle name="Normal 11 4 2 2 3" xfId="3105"/>
    <cellStyle name="Normal 11 4 2 2 3 2" xfId="7331"/>
    <cellStyle name="Normal 11 4 2 2 3 2 2" xfId="15779"/>
    <cellStyle name="Normal 11 4 2 2 3 3" xfId="11555"/>
    <cellStyle name="Normal 11 4 2 2 4" xfId="5219"/>
    <cellStyle name="Normal 11 4 2 2 4 2" xfId="13667"/>
    <cellStyle name="Normal 11 4 2 2 5" xfId="9443"/>
    <cellStyle name="Normal 11 4 2 3" xfId="1697"/>
    <cellStyle name="Normal 11 4 2 3 2" xfId="3809"/>
    <cellStyle name="Normal 11 4 2 3 2 2" xfId="8035"/>
    <cellStyle name="Normal 11 4 2 3 2 2 2" xfId="16483"/>
    <cellStyle name="Normal 11 4 2 3 2 3" xfId="12259"/>
    <cellStyle name="Normal 11 4 2 3 3" xfId="5923"/>
    <cellStyle name="Normal 11 4 2 3 3 2" xfId="14371"/>
    <cellStyle name="Normal 11 4 2 3 4" xfId="10147"/>
    <cellStyle name="Normal 11 4 2 4" xfId="2753"/>
    <cellStyle name="Normal 11 4 2 4 2" xfId="6979"/>
    <cellStyle name="Normal 11 4 2 4 2 2" xfId="15427"/>
    <cellStyle name="Normal 11 4 2 4 3" xfId="11203"/>
    <cellStyle name="Normal 11 4 2 5" xfId="4867"/>
    <cellStyle name="Normal 11 4 2 5 2" xfId="13315"/>
    <cellStyle name="Normal 11 4 2 6" xfId="9091"/>
    <cellStyle name="Normal 11 4 3" xfId="811"/>
    <cellStyle name="Normal 11 4 3 2" xfId="1873"/>
    <cellStyle name="Normal 11 4 3 2 2" xfId="3985"/>
    <cellStyle name="Normal 11 4 3 2 2 2" xfId="8211"/>
    <cellStyle name="Normal 11 4 3 2 2 2 2" xfId="16659"/>
    <cellStyle name="Normal 11 4 3 2 2 3" xfId="12435"/>
    <cellStyle name="Normal 11 4 3 2 3" xfId="6099"/>
    <cellStyle name="Normal 11 4 3 2 3 2" xfId="14547"/>
    <cellStyle name="Normal 11 4 3 2 4" xfId="10323"/>
    <cellStyle name="Normal 11 4 3 3" xfId="2929"/>
    <cellStyle name="Normal 11 4 3 3 2" xfId="7155"/>
    <cellStyle name="Normal 11 4 3 3 2 2" xfId="15603"/>
    <cellStyle name="Normal 11 4 3 3 3" xfId="11379"/>
    <cellStyle name="Normal 11 4 3 4" xfId="5043"/>
    <cellStyle name="Normal 11 4 3 4 2" xfId="13491"/>
    <cellStyle name="Normal 11 4 3 5" xfId="9267"/>
    <cellStyle name="Normal 11 4 4" xfId="1163"/>
    <cellStyle name="Normal 11 4 4 2" xfId="2225"/>
    <cellStyle name="Normal 11 4 4 2 2" xfId="4337"/>
    <cellStyle name="Normal 11 4 4 2 2 2" xfId="8563"/>
    <cellStyle name="Normal 11 4 4 2 2 2 2" xfId="17011"/>
    <cellStyle name="Normal 11 4 4 2 2 3" xfId="12787"/>
    <cellStyle name="Normal 11 4 4 2 3" xfId="6451"/>
    <cellStyle name="Normal 11 4 4 2 3 2" xfId="14899"/>
    <cellStyle name="Normal 11 4 4 2 4" xfId="10675"/>
    <cellStyle name="Normal 11 4 4 3" xfId="3281"/>
    <cellStyle name="Normal 11 4 4 3 2" xfId="7507"/>
    <cellStyle name="Normal 11 4 4 3 2 2" xfId="15955"/>
    <cellStyle name="Normal 11 4 4 3 3" xfId="11731"/>
    <cellStyle name="Normal 11 4 4 4" xfId="5395"/>
    <cellStyle name="Normal 11 4 4 4 2" xfId="13843"/>
    <cellStyle name="Normal 11 4 4 5" xfId="9619"/>
    <cellStyle name="Normal 11 4 5" xfId="1345"/>
    <cellStyle name="Normal 11 4 5 2" xfId="2401"/>
    <cellStyle name="Normal 11 4 5 2 2" xfId="4513"/>
    <cellStyle name="Normal 11 4 5 2 2 2" xfId="8739"/>
    <cellStyle name="Normal 11 4 5 2 2 2 2" xfId="17187"/>
    <cellStyle name="Normal 11 4 5 2 2 3" xfId="12963"/>
    <cellStyle name="Normal 11 4 5 2 3" xfId="6627"/>
    <cellStyle name="Normal 11 4 5 2 3 2" xfId="15075"/>
    <cellStyle name="Normal 11 4 5 2 4" xfId="10851"/>
    <cellStyle name="Normal 11 4 5 3" xfId="3457"/>
    <cellStyle name="Normal 11 4 5 3 2" xfId="7683"/>
    <cellStyle name="Normal 11 4 5 3 2 2" xfId="16131"/>
    <cellStyle name="Normal 11 4 5 3 3" xfId="11907"/>
    <cellStyle name="Normal 11 4 5 4" xfId="5571"/>
    <cellStyle name="Normal 11 4 5 4 2" xfId="14019"/>
    <cellStyle name="Normal 11 4 5 5" xfId="9795"/>
    <cellStyle name="Normal 11 4 6" xfId="1521"/>
    <cellStyle name="Normal 11 4 6 2" xfId="3633"/>
    <cellStyle name="Normal 11 4 6 2 2" xfId="7859"/>
    <cellStyle name="Normal 11 4 6 2 2 2" xfId="16307"/>
    <cellStyle name="Normal 11 4 6 2 3" xfId="12083"/>
    <cellStyle name="Normal 11 4 6 3" xfId="5747"/>
    <cellStyle name="Normal 11 4 6 3 2" xfId="14195"/>
    <cellStyle name="Normal 11 4 6 4" xfId="9971"/>
    <cellStyle name="Normal 11 4 7" xfId="2577"/>
    <cellStyle name="Normal 11 4 7 2" xfId="6803"/>
    <cellStyle name="Normal 11 4 7 2 2" xfId="15251"/>
    <cellStyle name="Normal 11 4 7 3" xfId="11027"/>
    <cellStyle name="Normal 11 4 8" xfId="4690"/>
    <cellStyle name="Normal 11 4 8 2" xfId="13139"/>
    <cellStyle name="Normal 11 4 9" xfId="8915"/>
    <cellStyle name="Normal 11 5" xfId="294"/>
    <cellStyle name="Normal 11 5 2" xfId="636"/>
    <cellStyle name="Normal 11 5 2 2" xfId="988"/>
    <cellStyle name="Normal 11 5 2 2 2" xfId="2050"/>
    <cellStyle name="Normal 11 5 2 2 2 2" xfId="4162"/>
    <cellStyle name="Normal 11 5 2 2 2 2 2" xfId="8388"/>
    <cellStyle name="Normal 11 5 2 2 2 2 2 2" xfId="16836"/>
    <cellStyle name="Normal 11 5 2 2 2 2 3" xfId="12612"/>
    <cellStyle name="Normal 11 5 2 2 2 3" xfId="6276"/>
    <cellStyle name="Normal 11 5 2 2 2 3 2" xfId="14724"/>
    <cellStyle name="Normal 11 5 2 2 2 4" xfId="10500"/>
    <cellStyle name="Normal 11 5 2 2 3" xfId="3106"/>
    <cellStyle name="Normal 11 5 2 2 3 2" xfId="7332"/>
    <cellStyle name="Normal 11 5 2 2 3 2 2" xfId="15780"/>
    <cellStyle name="Normal 11 5 2 2 3 3" xfId="11556"/>
    <cellStyle name="Normal 11 5 2 2 4" xfId="5220"/>
    <cellStyle name="Normal 11 5 2 2 4 2" xfId="13668"/>
    <cellStyle name="Normal 11 5 2 2 5" xfId="9444"/>
    <cellStyle name="Normal 11 5 2 3" xfId="1698"/>
    <cellStyle name="Normal 11 5 2 3 2" xfId="3810"/>
    <cellStyle name="Normal 11 5 2 3 2 2" xfId="8036"/>
    <cellStyle name="Normal 11 5 2 3 2 2 2" xfId="16484"/>
    <cellStyle name="Normal 11 5 2 3 2 3" xfId="12260"/>
    <cellStyle name="Normal 11 5 2 3 3" xfId="5924"/>
    <cellStyle name="Normal 11 5 2 3 3 2" xfId="14372"/>
    <cellStyle name="Normal 11 5 2 3 4" xfId="10148"/>
    <cellStyle name="Normal 11 5 2 4" xfId="2754"/>
    <cellStyle name="Normal 11 5 2 4 2" xfId="6980"/>
    <cellStyle name="Normal 11 5 2 4 2 2" xfId="15428"/>
    <cellStyle name="Normal 11 5 2 4 3" xfId="11204"/>
    <cellStyle name="Normal 11 5 2 5" xfId="4868"/>
    <cellStyle name="Normal 11 5 2 5 2" xfId="13316"/>
    <cellStyle name="Normal 11 5 2 6" xfId="9092"/>
    <cellStyle name="Normal 11 5 3" xfId="812"/>
    <cellStyle name="Normal 11 5 3 2" xfId="1874"/>
    <cellStyle name="Normal 11 5 3 2 2" xfId="3986"/>
    <cellStyle name="Normal 11 5 3 2 2 2" xfId="8212"/>
    <cellStyle name="Normal 11 5 3 2 2 2 2" xfId="16660"/>
    <cellStyle name="Normal 11 5 3 2 2 3" xfId="12436"/>
    <cellStyle name="Normal 11 5 3 2 3" xfId="6100"/>
    <cellStyle name="Normal 11 5 3 2 3 2" xfId="14548"/>
    <cellStyle name="Normal 11 5 3 2 4" xfId="10324"/>
    <cellStyle name="Normal 11 5 3 3" xfId="2930"/>
    <cellStyle name="Normal 11 5 3 3 2" xfId="7156"/>
    <cellStyle name="Normal 11 5 3 3 2 2" xfId="15604"/>
    <cellStyle name="Normal 11 5 3 3 3" xfId="11380"/>
    <cellStyle name="Normal 11 5 3 4" xfId="5044"/>
    <cellStyle name="Normal 11 5 3 4 2" xfId="13492"/>
    <cellStyle name="Normal 11 5 3 5" xfId="9268"/>
    <cellStyle name="Normal 11 5 4" xfId="1164"/>
    <cellStyle name="Normal 11 5 4 2" xfId="2226"/>
    <cellStyle name="Normal 11 5 4 2 2" xfId="4338"/>
    <cellStyle name="Normal 11 5 4 2 2 2" xfId="8564"/>
    <cellStyle name="Normal 11 5 4 2 2 2 2" xfId="17012"/>
    <cellStyle name="Normal 11 5 4 2 2 3" xfId="12788"/>
    <cellStyle name="Normal 11 5 4 2 3" xfId="6452"/>
    <cellStyle name="Normal 11 5 4 2 3 2" xfId="14900"/>
    <cellStyle name="Normal 11 5 4 2 4" xfId="10676"/>
    <cellStyle name="Normal 11 5 4 3" xfId="3282"/>
    <cellStyle name="Normal 11 5 4 3 2" xfId="7508"/>
    <cellStyle name="Normal 11 5 4 3 2 2" xfId="15956"/>
    <cellStyle name="Normal 11 5 4 3 3" xfId="11732"/>
    <cellStyle name="Normal 11 5 4 4" xfId="5396"/>
    <cellStyle name="Normal 11 5 4 4 2" xfId="13844"/>
    <cellStyle name="Normal 11 5 4 5" xfId="9620"/>
    <cellStyle name="Normal 11 5 5" xfId="1346"/>
    <cellStyle name="Normal 11 5 5 2" xfId="2402"/>
    <cellStyle name="Normal 11 5 5 2 2" xfId="4514"/>
    <cellStyle name="Normal 11 5 5 2 2 2" xfId="8740"/>
    <cellStyle name="Normal 11 5 5 2 2 2 2" xfId="17188"/>
    <cellStyle name="Normal 11 5 5 2 2 3" xfId="12964"/>
    <cellStyle name="Normal 11 5 5 2 3" xfId="6628"/>
    <cellStyle name="Normal 11 5 5 2 3 2" xfId="15076"/>
    <cellStyle name="Normal 11 5 5 2 4" xfId="10852"/>
    <cellStyle name="Normal 11 5 5 3" xfId="3458"/>
    <cellStyle name="Normal 11 5 5 3 2" xfId="7684"/>
    <cellStyle name="Normal 11 5 5 3 2 2" xfId="16132"/>
    <cellStyle name="Normal 11 5 5 3 3" xfId="11908"/>
    <cellStyle name="Normal 11 5 5 4" xfId="5572"/>
    <cellStyle name="Normal 11 5 5 4 2" xfId="14020"/>
    <cellStyle name="Normal 11 5 5 5" xfId="9796"/>
    <cellStyle name="Normal 11 5 6" xfId="1522"/>
    <cellStyle name="Normal 11 5 6 2" xfId="3634"/>
    <cellStyle name="Normal 11 5 6 2 2" xfId="7860"/>
    <cellStyle name="Normal 11 5 6 2 2 2" xfId="16308"/>
    <cellStyle name="Normal 11 5 6 2 3" xfId="12084"/>
    <cellStyle name="Normal 11 5 6 3" xfId="5748"/>
    <cellStyle name="Normal 11 5 6 3 2" xfId="14196"/>
    <cellStyle name="Normal 11 5 6 4" xfId="9972"/>
    <cellStyle name="Normal 11 5 7" xfId="2578"/>
    <cellStyle name="Normal 11 5 7 2" xfId="6804"/>
    <cellStyle name="Normal 11 5 7 2 2" xfId="15252"/>
    <cellStyle name="Normal 11 5 7 3" xfId="11028"/>
    <cellStyle name="Normal 11 5 8" xfId="4691"/>
    <cellStyle name="Normal 11 5 8 2" xfId="13140"/>
    <cellStyle name="Normal 11 5 9" xfId="8916"/>
    <cellStyle name="Normal 11 6" xfId="631"/>
    <cellStyle name="Normal 11 6 2" xfId="983"/>
    <cellStyle name="Normal 11 6 2 2" xfId="2045"/>
    <cellStyle name="Normal 11 6 2 2 2" xfId="4157"/>
    <cellStyle name="Normal 11 6 2 2 2 2" xfId="8383"/>
    <cellStyle name="Normal 11 6 2 2 2 2 2" xfId="16831"/>
    <cellStyle name="Normal 11 6 2 2 2 3" xfId="12607"/>
    <cellStyle name="Normal 11 6 2 2 3" xfId="6271"/>
    <cellStyle name="Normal 11 6 2 2 3 2" xfId="14719"/>
    <cellStyle name="Normal 11 6 2 2 4" xfId="10495"/>
    <cellStyle name="Normal 11 6 2 3" xfId="3101"/>
    <cellStyle name="Normal 11 6 2 3 2" xfId="7327"/>
    <cellStyle name="Normal 11 6 2 3 2 2" xfId="15775"/>
    <cellStyle name="Normal 11 6 2 3 3" xfId="11551"/>
    <cellStyle name="Normal 11 6 2 4" xfId="5215"/>
    <cellStyle name="Normal 11 6 2 4 2" xfId="13663"/>
    <cellStyle name="Normal 11 6 2 5" xfId="9439"/>
    <cellStyle name="Normal 11 6 3" xfId="1693"/>
    <cellStyle name="Normal 11 6 3 2" xfId="3805"/>
    <cellStyle name="Normal 11 6 3 2 2" xfId="8031"/>
    <cellStyle name="Normal 11 6 3 2 2 2" xfId="16479"/>
    <cellStyle name="Normal 11 6 3 2 3" xfId="12255"/>
    <cellStyle name="Normal 11 6 3 3" xfId="5919"/>
    <cellStyle name="Normal 11 6 3 3 2" xfId="14367"/>
    <cellStyle name="Normal 11 6 3 4" xfId="10143"/>
    <cellStyle name="Normal 11 6 4" xfId="2749"/>
    <cellStyle name="Normal 11 6 4 2" xfId="6975"/>
    <cellStyle name="Normal 11 6 4 2 2" xfId="15423"/>
    <cellStyle name="Normal 11 6 4 3" xfId="11199"/>
    <cellStyle name="Normal 11 6 5" xfId="4863"/>
    <cellStyle name="Normal 11 6 5 2" xfId="13311"/>
    <cellStyle name="Normal 11 6 6" xfId="9087"/>
    <cellStyle name="Normal 11 7" xfId="807"/>
    <cellStyle name="Normal 11 7 2" xfId="1869"/>
    <cellStyle name="Normal 11 7 2 2" xfId="3981"/>
    <cellStyle name="Normal 11 7 2 2 2" xfId="8207"/>
    <cellStyle name="Normal 11 7 2 2 2 2" xfId="16655"/>
    <cellStyle name="Normal 11 7 2 2 3" xfId="12431"/>
    <cellStyle name="Normal 11 7 2 3" xfId="6095"/>
    <cellStyle name="Normal 11 7 2 3 2" xfId="14543"/>
    <cellStyle name="Normal 11 7 2 4" xfId="10319"/>
    <cellStyle name="Normal 11 7 3" xfId="2925"/>
    <cellStyle name="Normal 11 7 3 2" xfId="7151"/>
    <cellStyle name="Normal 11 7 3 2 2" xfId="15599"/>
    <cellStyle name="Normal 11 7 3 3" xfId="11375"/>
    <cellStyle name="Normal 11 7 4" xfId="5039"/>
    <cellStyle name="Normal 11 7 4 2" xfId="13487"/>
    <cellStyle name="Normal 11 7 5" xfId="9263"/>
    <cellStyle name="Normal 11 8" xfId="1159"/>
    <cellStyle name="Normal 11 8 2" xfId="2221"/>
    <cellStyle name="Normal 11 8 2 2" xfId="4333"/>
    <cellStyle name="Normal 11 8 2 2 2" xfId="8559"/>
    <cellStyle name="Normal 11 8 2 2 2 2" xfId="17007"/>
    <cellStyle name="Normal 11 8 2 2 3" xfId="12783"/>
    <cellStyle name="Normal 11 8 2 3" xfId="6447"/>
    <cellStyle name="Normal 11 8 2 3 2" xfId="14895"/>
    <cellStyle name="Normal 11 8 2 4" xfId="10671"/>
    <cellStyle name="Normal 11 8 3" xfId="3277"/>
    <cellStyle name="Normal 11 8 3 2" xfId="7503"/>
    <cellStyle name="Normal 11 8 3 2 2" xfId="15951"/>
    <cellStyle name="Normal 11 8 3 3" xfId="11727"/>
    <cellStyle name="Normal 11 8 4" xfId="5391"/>
    <cellStyle name="Normal 11 8 4 2" xfId="13839"/>
    <cellStyle name="Normal 11 8 5" xfId="9615"/>
    <cellStyle name="Normal 11 9" xfId="1341"/>
    <cellStyle name="Normal 11 9 2" xfId="2397"/>
    <cellStyle name="Normal 11 9 2 2" xfId="4509"/>
    <cellStyle name="Normal 11 9 2 2 2" xfId="8735"/>
    <cellStyle name="Normal 11 9 2 2 2 2" xfId="17183"/>
    <cellStyle name="Normal 11 9 2 2 3" xfId="12959"/>
    <cellStyle name="Normal 11 9 2 3" xfId="6623"/>
    <cellStyle name="Normal 11 9 2 3 2" xfId="15071"/>
    <cellStyle name="Normal 11 9 2 4" xfId="10847"/>
    <cellStyle name="Normal 11 9 3" xfId="3453"/>
    <cellStyle name="Normal 11 9 3 2" xfId="7679"/>
    <cellStyle name="Normal 11 9 3 2 2" xfId="16127"/>
    <cellStyle name="Normal 11 9 3 3" xfId="11903"/>
    <cellStyle name="Normal 11 9 4" xfId="5567"/>
    <cellStyle name="Normal 11 9 4 2" xfId="14015"/>
    <cellStyle name="Normal 11 9 5" xfId="9791"/>
    <cellStyle name="Normal 12" xfId="295"/>
    <cellStyle name="Normal 12 10" xfId="1523"/>
    <cellStyle name="Normal 12 10 2" xfId="3635"/>
    <cellStyle name="Normal 12 10 2 2" xfId="7861"/>
    <cellStyle name="Normal 12 10 2 2 2" xfId="16309"/>
    <cellStyle name="Normal 12 10 2 3" xfId="12085"/>
    <cellStyle name="Normal 12 10 3" xfId="5749"/>
    <cellStyle name="Normal 12 10 3 2" xfId="14197"/>
    <cellStyle name="Normal 12 10 4" xfId="9973"/>
    <cellStyle name="Normal 12 11" xfId="2579"/>
    <cellStyle name="Normal 12 11 2" xfId="6805"/>
    <cellStyle name="Normal 12 11 2 2" xfId="15253"/>
    <cellStyle name="Normal 12 11 3" xfId="11029"/>
    <cellStyle name="Normal 12 12" xfId="4692"/>
    <cellStyle name="Normal 12 12 2" xfId="13141"/>
    <cellStyle name="Normal 12 13" xfId="8917"/>
    <cellStyle name="Normal 12 14" xfId="17403"/>
    <cellStyle name="Normal 12 2" xfId="296"/>
    <cellStyle name="Normal 12 2 10" xfId="4693"/>
    <cellStyle name="Normal 12 2 10 2" xfId="13142"/>
    <cellStyle name="Normal 12 2 11" xfId="8918"/>
    <cellStyle name="Normal 12 2 12" xfId="17370"/>
    <cellStyle name="Normal 12 2 2" xfId="297"/>
    <cellStyle name="Normal 12 2 2 2" xfId="639"/>
    <cellStyle name="Normal 12 2 2 2 2" xfId="991"/>
    <cellStyle name="Normal 12 2 2 2 2 2" xfId="2053"/>
    <cellStyle name="Normal 12 2 2 2 2 2 2" xfId="4165"/>
    <cellStyle name="Normal 12 2 2 2 2 2 2 2" xfId="8391"/>
    <cellStyle name="Normal 12 2 2 2 2 2 2 2 2" xfId="16839"/>
    <cellStyle name="Normal 12 2 2 2 2 2 2 3" xfId="12615"/>
    <cellStyle name="Normal 12 2 2 2 2 2 3" xfId="6279"/>
    <cellStyle name="Normal 12 2 2 2 2 2 3 2" xfId="14727"/>
    <cellStyle name="Normal 12 2 2 2 2 2 4" xfId="10503"/>
    <cellStyle name="Normal 12 2 2 2 2 3" xfId="3109"/>
    <cellStyle name="Normal 12 2 2 2 2 3 2" xfId="7335"/>
    <cellStyle name="Normal 12 2 2 2 2 3 2 2" xfId="15783"/>
    <cellStyle name="Normal 12 2 2 2 2 3 3" xfId="11559"/>
    <cellStyle name="Normal 12 2 2 2 2 4" xfId="5223"/>
    <cellStyle name="Normal 12 2 2 2 2 4 2" xfId="13671"/>
    <cellStyle name="Normal 12 2 2 2 2 5" xfId="9447"/>
    <cellStyle name="Normal 12 2 2 2 3" xfId="1701"/>
    <cellStyle name="Normal 12 2 2 2 3 2" xfId="3813"/>
    <cellStyle name="Normal 12 2 2 2 3 2 2" xfId="8039"/>
    <cellStyle name="Normal 12 2 2 2 3 2 2 2" xfId="16487"/>
    <cellStyle name="Normal 12 2 2 2 3 2 3" xfId="12263"/>
    <cellStyle name="Normal 12 2 2 2 3 3" xfId="5927"/>
    <cellStyle name="Normal 12 2 2 2 3 3 2" xfId="14375"/>
    <cellStyle name="Normal 12 2 2 2 3 4" xfId="10151"/>
    <cellStyle name="Normal 12 2 2 2 4" xfId="2757"/>
    <cellStyle name="Normal 12 2 2 2 4 2" xfId="6983"/>
    <cellStyle name="Normal 12 2 2 2 4 2 2" xfId="15431"/>
    <cellStyle name="Normal 12 2 2 2 4 3" xfId="11207"/>
    <cellStyle name="Normal 12 2 2 2 5" xfId="4871"/>
    <cellStyle name="Normal 12 2 2 2 5 2" xfId="13319"/>
    <cellStyle name="Normal 12 2 2 2 6" xfId="9095"/>
    <cellStyle name="Normal 12 2 2 3" xfId="815"/>
    <cellStyle name="Normal 12 2 2 3 2" xfId="1877"/>
    <cellStyle name="Normal 12 2 2 3 2 2" xfId="3989"/>
    <cellStyle name="Normal 12 2 2 3 2 2 2" xfId="8215"/>
    <cellStyle name="Normal 12 2 2 3 2 2 2 2" xfId="16663"/>
    <cellStyle name="Normal 12 2 2 3 2 2 3" xfId="12439"/>
    <cellStyle name="Normal 12 2 2 3 2 3" xfId="6103"/>
    <cellStyle name="Normal 12 2 2 3 2 3 2" xfId="14551"/>
    <cellStyle name="Normal 12 2 2 3 2 4" xfId="10327"/>
    <cellStyle name="Normal 12 2 2 3 3" xfId="2933"/>
    <cellStyle name="Normal 12 2 2 3 3 2" xfId="7159"/>
    <cellStyle name="Normal 12 2 2 3 3 2 2" xfId="15607"/>
    <cellStyle name="Normal 12 2 2 3 3 3" xfId="11383"/>
    <cellStyle name="Normal 12 2 2 3 4" xfId="5047"/>
    <cellStyle name="Normal 12 2 2 3 4 2" xfId="13495"/>
    <cellStyle name="Normal 12 2 2 3 5" xfId="9271"/>
    <cellStyle name="Normal 12 2 2 4" xfId="1167"/>
    <cellStyle name="Normal 12 2 2 4 2" xfId="2229"/>
    <cellStyle name="Normal 12 2 2 4 2 2" xfId="4341"/>
    <cellStyle name="Normal 12 2 2 4 2 2 2" xfId="8567"/>
    <cellStyle name="Normal 12 2 2 4 2 2 2 2" xfId="17015"/>
    <cellStyle name="Normal 12 2 2 4 2 2 3" xfId="12791"/>
    <cellStyle name="Normal 12 2 2 4 2 3" xfId="6455"/>
    <cellStyle name="Normal 12 2 2 4 2 3 2" xfId="14903"/>
    <cellStyle name="Normal 12 2 2 4 2 4" xfId="10679"/>
    <cellStyle name="Normal 12 2 2 4 3" xfId="3285"/>
    <cellStyle name="Normal 12 2 2 4 3 2" xfId="7511"/>
    <cellStyle name="Normal 12 2 2 4 3 2 2" xfId="15959"/>
    <cellStyle name="Normal 12 2 2 4 3 3" xfId="11735"/>
    <cellStyle name="Normal 12 2 2 4 4" xfId="5399"/>
    <cellStyle name="Normal 12 2 2 4 4 2" xfId="13847"/>
    <cellStyle name="Normal 12 2 2 4 5" xfId="9623"/>
    <cellStyle name="Normal 12 2 2 5" xfId="1349"/>
    <cellStyle name="Normal 12 2 2 5 2" xfId="2405"/>
    <cellStyle name="Normal 12 2 2 5 2 2" xfId="4517"/>
    <cellStyle name="Normal 12 2 2 5 2 2 2" xfId="8743"/>
    <cellStyle name="Normal 12 2 2 5 2 2 2 2" xfId="17191"/>
    <cellStyle name="Normal 12 2 2 5 2 2 3" xfId="12967"/>
    <cellStyle name="Normal 12 2 2 5 2 3" xfId="6631"/>
    <cellStyle name="Normal 12 2 2 5 2 3 2" xfId="15079"/>
    <cellStyle name="Normal 12 2 2 5 2 4" xfId="10855"/>
    <cellStyle name="Normal 12 2 2 5 3" xfId="3461"/>
    <cellStyle name="Normal 12 2 2 5 3 2" xfId="7687"/>
    <cellStyle name="Normal 12 2 2 5 3 2 2" xfId="16135"/>
    <cellStyle name="Normal 12 2 2 5 3 3" xfId="11911"/>
    <cellStyle name="Normal 12 2 2 5 4" xfId="5575"/>
    <cellStyle name="Normal 12 2 2 5 4 2" xfId="14023"/>
    <cellStyle name="Normal 12 2 2 5 5" xfId="9799"/>
    <cellStyle name="Normal 12 2 2 6" xfId="1525"/>
    <cellStyle name="Normal 12 2 2 6 2" xfId="3637"/>
    <cellStyle name="Normal 12 2 2 6 2 2" xfId="7863"/>
    <cellStyle name="Normal 12 2 2 6 2 2 2" xfId="16311"/>
    <cellStyle name="Normal 12 2 2 6 2 3" xfId="12087"/>
    <cellStyle name="Normal 12 2 2 6 3" xfId="5751"/>
    <cellStyle name="Normal 12 2 2 6 3 2" xfId="14199"/>
    <cellStyle name="Normal 12 2 2 6 4" xfId="9975"/>
    <cellStyle name="Normal 12 2 2 7" xfId="2581"/>
    <cellStyle name="Normal 12 2 2 7 2" xfId="6807"/>
    <cellStyle name="Normal 12 2 2 7 2 2" xfId="15255"/>
    <cellStyle name="Normal 12 2 2 7 3" xfId="11031"/>
    <cellStyle name="Normal 12 2 2 8" xfId="4694"/>
    <cellStyle name="Normal 12 2 2 8 2" xfId="13143"/>
    <cellStyle name="Normal 12 2 2 9" xfId="8919"/>
    <cellStyle name="Normal 12 2 3" xfId="298"/>
    <cellStyle name="Normal 12 2 3 2" xfId="640"/>
    <cellStyle name="Normal 12 2 3 2 2" xfId="992"/>
    <cellStyle name="Normal 12 2 3 2 2 2" xfId="2054"/>
    <cellStyle name="Normal 12 2 3 2 2 2 2" xfId="4166"/>
    <cellStyle name="Normal 12 2 3 2 2 2 2 2" xfId="8392"/>
    <cellStyle name="Normal 12 2 3 2 2 2 2 2 2" xfId="16840"/>
    <cellStyle name="Normal 12 2 3 2 2 2 2 3" xfId="12616"/>
    <cellStyle name="Normal 12 2 3 2 2 2 3" xfId="6280"/>
    <cellStyle name="Normal 12 2 3 2 2 2 3 2" xfId="14728"/>
    <cellStyle name="Normal 12 2 3 2 2 2 4" xfId="10504"/>
    <cellStyle name="Normal 12 2 3 2 2 3" xfId="3110"/>
    <cellStyle name="Normal 12 2 3 2 2 3 2" xfId="7336"/>
    <cellStyle name="Normal 12 2 3 2 2 3 2 2" xfId="15784"/>
    <cellStyle name="Normal 12 2 3 2 2 3 3" xfId="11560"/>
    <cellStyle name="Normal 12 2 3 2 2 4" xfId="5224"/>
    <cellStyle name="Normal 12 2 3 2 2 4 2" xfId="13672"/>
    <cellStyle name="Normal 12 2 3 2 2 5" xfId="9448"/>
    <cellStyle name="Normal 12 2 3 2 3" xfId="1702"/>
    <cellStyle name="Normal 12 2 3 2 3 2" xfId="3814"/>
    <cellStyle name="Normal 12 2 3 2 3 2 2" xfId="8040"/>
    <cellStyle name="Normal 12 2 3 2 3 2 2 2" xfId="16488"/>
    <cellStyle name="Normal 12 2 3 2 3 2 3" xfId="12264"/>
    <cellStyle name="Normal 12 2 3 2 3 3" xfId="5928"/>
    <cellStyle name="Normal 12 2 3 2 3 3 2" xfId="14376"/>
    <cellStyle name="Normal 12 2 3 2 3 4" xfId="10152"/>
    <cellStyle name="Normal 12 2 3 2 4" xfId="2758"/>
    <cellStyle name="Normal 12 2 3 2 4 2" xfId="6984"/>
    <cellStyle name="Normal 12 2 3 2 4 2 2" xfId="15432"/>
    <cellStyle name="Normal 12 2 3 2 4 3" xfId="11208"/>
    <cellStyle name="Normal 12 2 3 2 5" xfId="4872"/>
    <cellStyle name="Normal 12 2 3 2 5 2" xfId="13320"/>
    <cellStyle name="Normal 12 2 3 2 6" xfId="9096"/>
    <cellStyle name="Normal 12 2 3 3" xfId="816"/>
    <cellStyle name="Normal 12 2 3 3 2" xfId="1878"/>
    <cellStyle name="Normal 12 2 3 3 2 2" xfId="3990"/>
    <cellStyle name="Normal 12 2 3 3 2 2 2" xfId="8216"/>
    <cellStyle name="Normal 12 2 3 3 2 2 2 2" xfId="16664"/>
    <cellStyle name="Normal 12 2 3 3 2 2 3" xfId="12440"/>
    <cellStyle name="Normal 12 2 3 3 2 3" xfId="6104"/>
    <cellStyle name="Normal 12 2 3 3 2 3 2" xfId="14552"/>
    <cellStyle name="Normal 12 2 3 3 2 4" xfId="10328"/>
    <cellStyle name="Normal 12 2 3 3 3" xfId="2934"/>
    <cellStyle name="Normal 12 2 3 3 3 2" xfId="7160"/>
    <cellStyle name="Normal 12 2 3 3 3 2 2" xfId="15608"/>
    <cellStyle name="Normal 12 2 3 3 3 3" xfId="11384"/>
    <cellStyle name="Normal 12 2 3 3 4" xfId="5048"/>
    <cellStyle name="Normal 12 2 3 3 4 2" xfId="13496"/>
    <cellStyle name="Normal 12 2 3 3 5" xfId="9272"/>
    <cellStyle name="Normal 12 2 3 4" xfId="1168"/>
    <cellStyle name="Normal 12 2 3 4 2" xfId="2230"/>
    <cellStyle name="Normal 12 2 3 4 2 2" xfId="4342"/>
    <cellStyle name="Normal 12 2 3 4 2 2 2" xfId="8568"/>
    <cellStyle name="Normal 12 2 3 4 2 2 2 2" xfId="17016"/>
    <cellStyle name="Normal 12 2 3 4 2 2 3" xfId="12792"/>
    <cellStyle name="Normal 12 2 3 4 2 3" xfId="6456"/>
    <cellStyle name="Normal 12 2 3 4 2 3 2" xfId="14904"/>
    <cellStyle name="Normal 12 2 3 4 2 4" xfId="10680"/>
    <cellStyle name="Normal 12 2 3 4 3" xfId="3286"/>
    <cellStyle name="Normal 12 2 3 4 3 2" xfId="7512"/>
    <cellStyle name="Normal 12 2 3 4 3 2 2" xfId="15960"/>
    <cellStyle name="Normal 12 2 3 4 3 3" xfId="11736"/>
    <cellStyle name="Normal 12 2 3 4 4" xfId="5400"/>
    <cellStyle name="Normal 12 2 3 4 4 2" xfId="13848"/>
    <cellStyle name="Normal 12 2 3 4 5" xfId="9624"/>
    <cellStyle name="Normal 12 2 3 5" xfId="1350"/>
    <cellStyle name="Normal 12 2 3 5 2" xfId="2406"/>
    <cellStyle name="Normal 12 2 3 5 2 2" xfId="4518"/>
    <cellStyle name="Normal 12 2 3 5 2 2 2" xfId="8744"/>
    <cellStyle name="Normal 12 2 3 5 2 2 2 2" xfId="17192"/>
    <cellStyle name="Normal 12 2 3 5 2 2 3" xfId="12968"/>
    <cellStyle name="Normal 12 2 3 5 2 3" xfId="6632"/>
    <cellStyle name="Normal 12 2 3 5 2 3 2" xfId="15080"/>
    <cellStyle name="Normal 12 2 3 5 2 4" xfId="10856"/>
    <cellStyle name="Normal 12 2 3 5 3" xfId="3462"/>
    <cellStyle name="Normal 12 2 3 5 3 2" xfId="7688"/>
    <cellStyle name="Normal 12 2 3 5 3 2 2" xfId="16136"/>
    <cellStyle name="Normal 12 2 3 5 3 3" xfId="11912"/>
    <cellStyle name="Normal 12 2 3 5 4" xfId="5576"/>
    <cellStyle name="Normal 12 2 3 5 4 2" xfId="14024"/>
    <cellStyle name="Normal 12 2 3 5 5" xfId="9800"/>
    <cellStyle name="Normal 12 2 3 6" xfId="1526"/>
    <cellStyle name="Normal 12 2 3 6 2" xfId="3638"/>
    <cellStyle name="Normal 12 2 3 6 2 2" xfId="7864"/>
    <cellStyle name="Normal 12 2 3 6 2 2 2" xfId="16312"/>
    <cellStyle name="Normal 12 2 3 6 2 3" xfId="12088"/>
    <cellStyle name="Normal 12 2 3 6 3" xfId="5752"/>
    <cellStyle name="Normal 12 2 3 6 3 2" xfId="14200"/>
    <cellStyle name="Normal 12 2 3 6 4" xfId="9976"/>
    <cellStyle name="Normal 12 2 3 7" xfId="2582"/>
    <cellStyle name="Normal 12 2 3 7 2" xfId="6808"/>
    <cellStyle name="Normal 12 2 3 7 2 2" xfId="15256"/>
    <cellStyle name="Normal 12 2 3 7 3" xfId="11032"/>
    <cellStyle name="Normal 12 2 3 8" xfId="4695"/>
    <cellStyle name="Normal 12 2 3 8 2" xfId="13144"/>
    <cellStyle name="Normal 12 2 3 9" xfId="8920"/>
    <cellStyle name="Normal 12 2 4" xfId="638"/>
    <cellStyle name="Normal 12 2 4 2" xfId="990"/>
    <cellStyle name="Normal 12 2 4 2 2" xfId="2052"/>
    <cellStyle name="Normal 12 2 4 2 2 2" xfId="4164"/>
    <cellStyle name="Normal 12 2 4 2 2 2 2" xfId="8390"/>
    <cellStyle name="Normal 12 2 4 2 2 2 2 2" xfId="16838"/>
    <cellStyle name="Normal 12 2 4 2 2 2 3" xfId="12614"/>
    <cellStyle name="Normal 12 2 4 2 2 3" xfId="6278"/>
    <cellStyle name="Normal 12 2 4 2 2 3 2" xfId="14726"/>
    <cellStyle name="Normal 12 2 4 2 2 4" xfId="10502"/>
    <cellStyle name="Normal 12 2 4 2 3" xfId="3108"/>
    <cellStyle name="Normal 12 2 4 2 3 2" xfId="7334"/>
    <cellStyle name="Normal 12 2 4 2 3 2 2" xfId="15782"/>
    <cellStyle name="Normal 12 2 4 2 3 3" xfId="11558"/>
    <cellStyle name="Normal 12 2 4 2 4" xfId="5222"/>
    <cellStyle name="Normal 12 2 4 2 4 2" xfId="13670"/>
    <cellStyle name="Normal 12 2 4 2 5" xfId="9446"/>
    <cellStyle name="Normal 12 2 4 3" xfId="1700"/>
    <cellStyle name="Normal 12 2 4 3 2" xfId="3812"/>
    <cellStyle name="Normal 12 2 4 3 2 2" xfId="8038"/>
    <cellStyle name="Normal 12 2 4 3 2 2 2" xfId="16486"/>
    <cellStyle name="Normal 12 2 4 3 2 3" xfId="12262"/>
    <cellStyle name="Normal 12 2 4 3 3" xfId="5926"/>
    <cellStyle name="Normal 12 2 4 3 3 2" xfId="14374"/>
    <cellStyle name="Normal 12 2 4 3 4" xfId="10150"/>
    <cellStyle name="Normal 12 2 4 4" xfId="2756"/>
    <cellStyle name="Normal 12 2 4 4 2" xfId="6982"/>
    <cellStyle name="Normal 12 2 4 4 2 2" xfId="15430"/>
    <cellStyle name="Normal 12 2 4 4 3" xfId="11206"/>
    <cellStyle name="Normal 12 2 4 5" xfId="4870"/>
    <cellStyle name="Normal 12 2 4 5 2" xfId="13318"/>
    <cellStyle name="Normal 12 2 4 6" xfId="9094"/>
    <cellStyle name="Normal 12 2 5" xfId="814"/>
    <cellStyle name="Normal 12 2 5 2" xfId="1876"/>
    <cellStyle name="Normal 12 2 5 2 2" xfId="3988"/>
    <cellStyle name="Normal 12 2 5 2 2 2" xfId="8214"/>
    <cellStyle name="Normal 12 2 5 2 2 2 2" xfId="16662"/>
    <cellStyle name="Normal 12 2 5 2 2 3" xfId="12438"/>
    <cellStyle name="Normal 12 2 5 2 3" xfId="6102"/>
    <cellStyle name="Normal 12 2 5 2 3 2" xfId="14550"/>
    <cellStyle name="Normal 12 2 5 2 4" xfId="10326"/>
    <cellStyle name="Normal 12 2 5 3" xfId="2932"/>
    <cellStyle name="Normal 12 2 5 3 2" xfId="7158"/>
    <cellStyle name="Normal 12 2 5 3 2 2" xfId="15606"/>
    <cellStyle name="Normal 12 2 5 3 3" xfId="11382"/>
    <cellStyle name="Normal 12 2 5 4" xfId="5046"/>
    <cellStyle name="Normal 12 2 5 4 2" xfId="13494"/>
    <cellStyle name="Normal 12 2 5 5" xfId="9270"/>
    <cellStyle name="Normal 12 2 6" xfId="1166"/>
    <cellStyle name="Normal 12 2 6 2" xfId="2228"/>
    <cellStyle name="Normal 12 2 6 2 2" xfId="4340"/>
    <cellStyle name="Normal 12 2 6 2 2 2" xfId="8566"/>
    <cellStyle name="Normal 12 2 6 2 2 2 2" xfId="17014"/>
    <cellStyle name="Normal 12 2 6 2 2 3" xfId="12790"/>
    <cellStyle name="Normal 12 2 6 2 3" xfId="6454"/>
    <cellStyle name="Normal 12 2 6 2 3 2" xfId="14902"/>
    <cellStyle name="Normal 12 2 6 2 4" xfId="10678"/>
    <cellStyle name="Normal 12 2 6 3" xfId="3284"/>
    <cellStyle name="Normal 12 2 6 3 2" xfId="7510"/>
    <cellStyle name="Normal 12 2 6 3 2 2" xfId="15958"/>
    <cellStyle name="Normal 12 2 6 3 3" xfId="11734"/>
    <cellStyle name="Normal 12 2 6 4" xfId="5398"/>
    <cellStyle name="Normal 12 2 6 4 2" xfId="13846"/>
    <cellStyle name="Normal 12 2 6 5" xfId="9622"/>
    <cellStyle name="Normal 12 2 7" xfId="1348"/>
    <cellStyle name="Normal 12 2 7 2" xfId="2404"/>
    <cellStyle name="Normal 12 2 7 2 2" xfId="4516"/>
    <cellStyle name="Normal 12 2 7 2 2 2" xfId="8742"/>
    <cellStyle name="Normal 12 2 7 2 2 2 2" xfId="17190"/>
    <cellStyle name="Normal 12 2 7 2 2 3" xfId="12966"/>
    <cellStyle name="Normal 12 2 7 2 3" xfId="6630"/>
    <cellStyle name="Normal 12 2 7 2 3 2" xfId="15078"/>
    <cellStyle name="Normal 12 2 7 2 4" xfId="10854"/>
    <cellStyle name="Normal 12 2 7 3" xfId="3460"/>
    <cellStyle name="Normal 12 2 7 3 2" xfId="7686"/>
    <cellStyle name="Normal 12 2 7 3 2 2" xfId="16134"/>
    <cellStyle name="Normal 12 2 7 3 3" xfId="11910"/>
    <cellStyle name="Normal 12 2 7 4" xfId="5574"/>
    <cellStyle name="Normal 12 2 7 4 2" xfId="14022"/>
    <cellStyle name="Normal 12 2 7 5" xfId="9798"/>
    <cellStyle name="Normal 12 2 8" xfId="1524"/>
    <cellStyle name="Normal 12 2 8 2" xfId="3636"/>
    <cellStyle name="Normal 12 2 8 2 2" xfId="7862"/>
    <cellStyle name="Normal 12 2 8 2 2 2" xfId="16310"/>
    <cellStyle name="Normal 12 2 8 2 3" xfId="12086"/>
    <cellStyle name="Normal 12 2 8 3" xfId="5750"/>
    <cellStyle name="Normal 12 2 8 3 2" xfId="14198"/>
    <cellStyle name="Normal 12 2 8 4" xfId="9974"/>
    <cellStyle name="Normal 12 2 9" xfId="2580"/>
    <cellStyle name="Normal 12 2 9 2" xfId="6806"/>
    <cellStyle name="Normal 12 2 9 2 2" xfId="15254"/>
    <cellStyle name="Normal 12 2 9 3" xfId="11030"/>
    <cellStyle name="Normal 12 3" xfId="299"/>
    <cellStyle name="Normal 12 4" xfId="300"/>
    <cellStyle name="Normal 12 4 2" xfId="641"/>
    <cellStyle name="Normal 12 4 2 2" xfId="993"/>
    <cellStyle name="Normal 12 4 2 2 2" xfId="2055"/>
    <cellStyle name="Normal 12 4 2 2 2 2" xfId="4167"/>
    <cellStyle name="Normal 12 4 2 2 2 2 2" xfId="8393"/>
    <cellStyle name="Normal 12 4 2 2 2 2 2 2" xfId="16841"/>
    <cellStyle name="Normal 12 4 2 2 2 2 3" xfId="12617"/>
    <cellStyle name="Normal 12 4 2 2 2 3" xfId="6281"/>
    <cellStyle name="Normal 12 4 2 2 2 3 2" xfId="14729"/>
    <cellStyle name="Normal 12 4 2 2 2 4" xfId="10505"/>
    <cellStyle name="Normal 12 4 2 2 3" xfId="3111"/>
    <cellStyle name="Normal 12 4 2 2 3 2" xfId="7337"/>
    <cellStyle name="Normal 12 4 2 2 3 2 2" xfId="15785"/>
    <cellStyle name="Normal 12 4 2 2 3 3" xfId="11561"/>
    <cellStyle name="Normal 12 4 2 2 4" xfId="5225"/>
    <cellStyle name="Normal 12 4 2 2 4 2" xfId="13673"/>
    <cellStyle name="Normal 12 4 2 2 5" xfId="9449"/>
    <cellStyle name="Normal 12 4 2 3" xfId="1703"/>
    <cellStyle name="Normal 12 4 2 3 2" xfId="3815"/>
    <cellStyle name="Normal 12 4 2 3 2 2" xfId="8041"/>
    <cellStyle name="Normal 12 4 2 3 2 2 2" xfId="16489"/>
    <cellStyle name="Normal 12 4 2 3 2 3" xfId="12265"/>
    <cellStyle name="Normal 12 4 2 3 3" xfId="5929"/>
    <cellStyle name="Normal 12 4 2 3 3 2" xfId="14377"/>
    <cellStyle name="Normal 12 4 2 3 4" xfId="10153"/>
    <cellStyle name="Normal 12 4 2 4" xfId="2759"/>
    <cellStyle name="Normal 12 4 2 4 2" xfId="6985"/>
    <cellStyle name="Normal 12 4 2 4 2 2" xfId="15433"/>
    <cellStyle name="Normal 12 4 2 4 3" xfId="11209"/>
    <cellStyle name="Normal 12 4 2 5" xfId="4873"/>
    <cellStyle name="Normal 12 4 2 5 2" xfId="13321"/>
    <cellStyle name="Normal 12 4 2 6" xfId="9097"/>
    <cellStyle name="Normal 12 4 3" xfId="817"/>
    <cellStyle name="Normal 12 4 3 2" xfId="1879"/>
    <cellStyle name="Normal 12 4 3 2 2" xfId="3991"/>
    <cellStyle name="Normal 12 4 3 2 2 2" xfId="8217"/>
    <cellStyle name="Normal 12 4 3 2 2 2 2" xfId="16665"/>
    <cellStyle name="Normal 12 4 3 2 2 3" xfId="12441"/>
    <cellStyle name="Normal 12 4 3 2 3" xfId="6105"/>
    <cellStyle name="Normal 12 4 3 2 3 2" xfId="14553"/>
    <cellStyle name="Normal 12 4 3 2 4" xfId="10329"/>
    <cellStyle name="Normal 12 4 3 3" xfId="2935"/>
    <cellStyle name="Normal 12 4 3 3 2" xfId="7161"/>
    <cellStyle name="Normal 12 4 3 3 2 2" xfId="15609"/>
    <cellStyle name="Normal 12 4 3 3 3" xfId="11385"/>
    <cellStyle name="Normal 12 4 3 4" xfId="5049"/>
    <cellStyle name="Normal 12 4 3 4 2" xfId="13497"/>
    <cellStyle name="Normal 12 4 3 5" xfId="9273"/>
    <cellStyle name="Normal 12 4 4" xfId="1169"/>
    <cellStyle name="Normal 12 4 4 2" xfId="2231"/>
    <cellStyle name="Normal 12 4 4 2 2" xfId="4343"/>
    <cellStyle name="Normal 12 4 4 2 2 2" xfId="8569"/>
    <cellStyle name="Normal 12 4 4 2 2 2 2" xfId="17017"/>
    <cellStyle name="Normal 12 4 4 2 2 3" xfId="12793"/>
    <cellStyle name="Normal 12 4 4 2 3" xfId="6457"/>
    <cellStyle name="Normal 12 4 4 2 3 2" xfId="14905"/>
    <cellStyle name="Normal 12 4 4 2 4" xfId="10681"/>
    <cellStyle name="Normal 12 4 4 3" xfId="3287"/>
    <cellStyle name="Normal 12 4 4 3 2" xfId="7513"/>
    <cellStyle name="Normal 12 4 4 3 2 2" xfId="15961"/>
    <cellStyle name="Normal 12 4 4 3 3" xfId="11737"/>
    <cellStyle name="Normal 12 4 4 4" xfId="5401"/>
    <cellStyle name="Normal 12 4 4 4 2" xfId="13849"/>
    <cellStyle name="Normal 12 4 4 5" xfId="9625"/>
    <cellStyle name="Normal 12 4 5" xfId="1351"/>
    <cellStyle name="Normal 12 4 5 2" xfId="2407"/>
    <cellStyle name="Normal 12 4 5 2 2" xfId="4519"/>
    <cellStyle name="Normal 12 4 5 2 2 2" xfId="8745"/>
    <cellStyle name="Normal 12 4 5 2 2 2 2" xfId="17193"/>
    <cellStyle name="Normal 12 4 5 2 2 3" xfId="12969"/>
    <cellStyle name="Normal 12 4 5 2 3" xfId="6633"/>
    <cellStyle name="Normal 12 4 5 2 3 2" xfId="15081"/>
    <cellStyle name="Normal 12 4 5 2 4" xfId="10857"/>
    <cellStyle name="Normal 12 4 5 3" xfId="3463"/>
    <cellStyle name="Normal 12 4 5 3 2" xfId="7689"/>
    <cellStyle name="Normal 12 4 5 3 2 2" xfId="16137"/>
    <cellStyle name="Normal 12 4 5 3 3" xfId="11913"/>
    <cellStyle name="Normal 12 4 5 4" xfId="5577"/>
    <cellStyle name="Normal 12 4 5 4 2" xfId="14025"/>
    <cellStyle name="Normal 12 4 5 5" xfId="9801"/>
    <cellStyle name="Normal 12 4 6" xfId="1527"/>
    <cellStyle name="Normal 12 4 6 2" xfId="3639"/>
    <cellStyle name="Normal 12 4 6 2 2" xfId="7865"/>
    <cellStyle name="Normal 12 4 6 2 2 2" xfId="16313"/>
    <cellStyle name="Normal 12 4 6 2 3" xfId="12089"/>
    <cellStyle name="Normal 12 4 6 3" xfId="5753"/>
    <cellStyle name="Normal 12 4 6 3 2" xfId="14201"/>
    <cellStyle name="Normal 12 4 6 4" xfId="9977"/>
    <cellStyle name="Normal 12 4 7" xfId="2583"/>
    <cellStyle name="Normal 12 4 7 2" xfId="6809"/>
    <cellStyle name="Normal 12 4 7 2 2" xfId="15257"/>
    <cellStyle name="Normal 12 4 7 3" xfId="11033"/>
    <cellStyle name="Normal 12 4 8" xfId="4696"/>
    <cellStyle name="Normal 12 4 8 2" xfId="13145"/>
    <cellStyle name="Normal 12 4 9" xfId="8921"/>
    <cellStyle name="Normal 12 5" xfId="301"/>
    <cellStyle name="Normal 12 5 2" xfId="642"/>
    <cellStyle name="Normal 12 5 2 2" xfId="994"/>
    <cellStyle name="Normal 12 5 2 2 2" xfId="2056"/>
    <cellStyle name="Normal 12 5 2 2 2 2" xfId="4168"/>
    <cellStyle name="Normal 12 5 2 2 2 2 2" xfId="8394"/>
    <cellStyle name="Normal 12 5 2 2 2 2 2 2" xfId="16842"/>
    <cellStyle name="Normal 12 5 2 2 2 2 3" xfId="12618"/>
    <cellStyle name="Normal 12 5 2 2 2 3" xfId="6282"/>
    <cellStyle name="Normal 12 5 2 2 2 3 2" xfId="14730"/>
    <cellStyle name="Normal 12 5 2 2 2 4" xfId="10506"/>
    <cellStyle name="Normal 12 5 2 2 3" xfId="3112"/>
    <cellStyle name="Normal 12 5 2 2 3 2" xfId="7338"/>
    <cellStyle name="Normal 12 5 2 2 3 2 2" xfId="15786"/>
    <cellStyle name="Normal 12 5 2 2 3 3" xfId="11562"/>
    <cellStyle name="Normal 12 5 2 2 4" xfId="5226"/>
    <cellStyle name="Normal 12 5 2 2 4 2" xfId="13674"/>
    <cellStyle name="Normal 12 5 2 2 5" xfId="9450"/>
    <cellStyle name="Normal 12 5 2 3" xfId="1704"/>
    <cellStyle name="Normal 12 5 2 3 2" xfId="3816"/>
    <cellStyle name="Normal 12 5 2 3 2 2" xfId="8042"/>
    <cellStyle name="Normal 12 5 2 3 2 2 2" xfId="16490"/>
    <cellStyle name="Normal 12 5 2 3 2 3" xfId="12266"/>
    <cellStyle name="Normal 12 5 2 3 3" xfId="5930"/>
    <cellStyle name="Normal 12 5 2 3 3 2" xfId="14378"/>
    <cellStyle name="Normal 12 5 2 3 4" xfId="10154"/>
    <cellStyle name="Normal 12 5 2 4" xfId="2760"/>
    <cellStyle name="Normal 12 5 2 4 2" xfId="6986"/>
    <cellStyle name="Normal 12 5 2 4 2 2" xfId="15434"/>
    <cellStyle name="Normal 12 5 2 4 3" xfId="11210"/>
    <cellStyle name="Normal 12 5 2 5" xfId="4874"/>
    <cellStyle name="Normal 12 5 2 5 2" xfId="13322"/>
    <cellStyle name="Normal 12 5 2 6" xfId="9098"/>
    <cellStyle name="Normal 12 5 3" xfId="818"/>
    <cellStyle name="Normal 12 5 3 2" xfId="1880"/>
    <cellStyle name="Normal 12 5 3 2 2" xfId="3992"/>
    <cellStyle name="Normal 12 5 3 2 2 2" xfId="8218"/>
    <cellStyle name="Normal 12 5 3 2 2 2 2" xfId="16666"/>
    <cellStyle name="Normal 12 5 3 2 2 3" xfId="12442"/>
    <cellStyle name="Normal 12 5 3 2 3" xfId="6106"/>
    <cellStyle name="Normal 12 5 3 2 3 2" xfId="14554"/>
    <cellStyle name="Normal 12 5 3 2 4" xfId="10330"/>
    <cellStyle name="Normal 12 5 3 3" xfId="2936"/>
    <cellStyle name="Normal 12 5 3 3 2" xfId="7162"/>
    <cellStyle name="Normal 12 5 3 3 2 2" xfId="15610"/>
    <cellStyle name="Normal 12 5 3 3 3" xfId="11386"/>
    <cellStyle name="Normal 12 5 3 4" xfId="5050"/>
    <cellStyle name="Normal 12 5 3 4 2" xfId="13498"/>
    <cellStyle name="Normal 12 5 3 5" xfId="9274"/>
    <cellStyle name="Normal 12 5 4" xfId="1170"/>
    <cellStyle name="Normal 12 5 4 2" xfId="2232"/>
    <cellStyle name="Normal 12 5 4 2 2" xfId="4344"/>
    <cellStyle name="Normal 12 5 4 2 2 2" xfId="8570"/>
    <cellStyle name="Normal 12 5 4 2 2 2 2" xfId="17018"/>
    <cellStyle name="Normal 12 5 4 2 2 3" xfId="12794"/>
    <cellStyle name="Normal 12 5 4 2 3" xfId="6458"/>
    <cellStyle name="Normal 12 5 4 2 3 2" xfId="14906"/>
    <cellStyle name="Normal 12 5 4 2 4" xfId="10682"/>
    <cellStyle name="Normal 12 5 4 3" xfId="3288"/>
    <cellStyle name="Normal 12 5 4 3 2" xfId="7514"/>
    <cellStyle name="Normal 12 5 4 3 2 2" xfId="15962"/>
    <cellStyle name="Normal 12 5 4 3 3" xfId="11738"/>
    <cellStyle name="Normal 12 5 4 4" xfId="5402"/>
    <cellStyle name="Normal 12 5 4 4 2" xfId="13850"/>
    <cellStyle name="Normal 12 5 4 5" xfId="9626"/>
    <cellStyle name="Normal 12 5 5" xfId="1352"/>
    <cellStyle name="Normal 12 5 5 2" xfId="2408"/>
    <cellStyle name="Normal 12 5 5 2 2" xfId="4520"/>
    <cellStyle name="Normal 12 5 5 2 2 2" xfId="8746"/>
    <cellStyle name="Normal 12 5 5 2 2 2 2" xfId="17194"/>
    <cellStyle name="Normal 12 5 5 2 2 3" xfId="12970"/>
    <cellStyle name="Normal 12 5 5 2 3" xfId="6634"/>
    <cellStyle name="Normal 12 5 5 2 3 2" xfId="15082"/>
    <cellStyle name="Normal 12 5 5 2 4" xfId="10858"/>
    <cellStyle name="Normal 12 5 5 3" xfId="3464"/>
    <cellStyle name="Normal 12 5 5 3 2" xfId="7690"/>
    <cellStyle name="Normal 12 5 5 3 2 2" xfId="16138"/>
    <cellStyle name="Normal 12 5 5 3 3" xfId="11914"/>
    <cellStyle name="Normal 12 5 5 4" xfId="5578"/>
    <cellStyle name="Normal 12 5 5 4 2" xfId="14026"/>
    <cellStyle name="Normal 12 5 5 5" xfId="9802"/>
    <cellStyle name="Normal 12 5 6" xfId="1528"/>
    <cellStyle name="Normal 12 5 6 2" xfId="3640"/>
    <cellStyle name="Normal 12 5 6 2 2" xfId="7866"/>
    <cellStyle name="Normal 12 5 6 2 2 2" xfId="16314"/>
    <cellStyle name="Normal 12 5 6 2 3" xfId="12090"/>
    <cellStyle name="Normal 12 5 6 3" xfId="5754"/>
    <cellStyle name="Normal 12 5 6 3 2" xfId="14202"/>
    <cellStyle name="Normal 12 5 6 4" xfId="9978"/>
    <cellStyle name="Normal 12 5 7" xfId="2584"/>
    <cellStyle name="Normal 12 5 7 2" xfId="6810"/>
    <cellStyle name="Normal 12 5 7 2 2" xfId="15258"/>
    <cellStyle name="Normal 12 5 7 3" xfId="11034"/>
    <cellStyle name="Normal 12 5 8" xfId="4697"/>
    <cellStyle name="Normal 12 5 8 2" xfId="13146"/>
    <cellStyle name="Normal 12 5 9" xfId="8922"/>
    <cellStyle name="Normal 12 6" xfId="637"/>
    <cellStyle name="Normal 12 6 2" xfId="989"/>
    <cellStyle name="Normal 12 6 2 2" xfId="2051"/>
    <cellStyle name="Normal 12 6 2 2 2" xfId="4163"/>
    <cellStyle name="Normal 12 6 2 2 2 2" xfId="8389"/>
    <cellStyle name="Normal 12 6 2 2 2 2 2" xfId="16837"/>
    <cellStyle name="Normal 12 6 2 2 2 3" xfId="12613"/>
    <cellStyle name="Normal 12 6 2 2 3" xfId="6277"/>
    <cellStyle name="Normal 12 6 2 2 3 2" xfId="14725"/>
    <cellStyle name="Normal 12 6 2 2 4" xfId="10501"/>
    <cellStyle name="Normal 12 6 2 3" xfId="3107"/>
    <cellStyle name="Normal 12 6 2 3 2" xfId="7333"/>
    <cellStyle name="Normal 12 6 2 3 2 2" xfId="15781"/>
    <cellStyle name="Normal 12 6 2 3 3" xfId="11557"/>
    <cellStyle name="Normal 12 6 2 4" xfId="5221"/>
    <cellStyle name="Normal 12 6 2 4 2" xfId="13669"/>
    <cellStyle name="Normal 12 6 2 5" xfId="9445"/>
    <cellStyle name="Normal 12 6 3" xfId="1699"/>
    <cellStyle name="Normal 12 6 3 2" xfId="3811"/>
    <cellStyle name="Normal 12 6 3 2 2" xfId="8037"/>
    <cellStyle name="Normal 12 6 3 2 2 2" xfId="16485"/>
    <cellStyle name="Normal 12 6 3 2 3" xfId="12261"/>
    <cellStyle name="Normal 12 6 3 3" xfId="5925"/>
    <cellStyle name="Normal 12 6 3 3 2" xfId="14373"/>
    <cellStyle name="Normal 12 6 3 4" xfId="10149"/>
    <cellStyle name="Normal 12 6 4" xfId="2755"/>
    <cellStyle name="Normal 12 6 4 2" xfId="6981"/>
    <cellStyle name="Normal 12 6 4 2 2" xfId="15429"/>
    <cellStyle name="Normal 12 6 4 3" xfId="11205"/>
    <cellStyle name="Normal 12 6 5" xfId="4869"/>
    <cellStyle name="Normal 12 6 5 2" xfId="13317"/>
    <cellStyle name="Normal 12 6 6" xfId="9093"/>
    <cellStyle name="Normal 12 7" xfId="813"/>
    <cellStyle name="Normal 12 7 2" xfId="1875"/>
    <cellStyle name="Normal 12 7 2 2" xfId="3987"/>
    <cellStyle name="Normal 12 7 2 2 2" xfId="8213"/>
    <cellStyle name="Normal 12 7 2 2 2 2" xfId="16661"/>
    <cellStyle name="Normal 12 7 2 2 3" xfId="12437"/>
    <cellStyle name="Normal 12 7 2 3" xfId="6101"/>
    <cellStyle name="Normal 12 7 2 3 2" xfId="14549"/>
    <cellStyle name="Normal 12 7 2 4" xfId="10325"/>
    <cellStyle name="Normal 12 7 3" xfId="2931"/>
    <cellStyle name="Normal 12 7 3 2" xfId="7157"/>
    <cellStyle name="Normal 12 7 3 2 2" xfId="15605"/>
    <cellStyle name="Normal 12 7 3 3" xfId="11381"/>
    <cellStyle name="Normal 12 7 4" xfId="5045"/>
    <cellStyle name="Normal 12 7 4 2" xfId="13493"/>
    <cellStyle name="Normal 12 7 5" xfId="9269"/>
    <cellStyle name="Normal 12 8" xfId="1165"/>
    <cellStyle name="Normal 12 8 2" xfId="2227"/>
    <cellStyle name="Normal 12 8 2 2" xfId="4339"/>
    <cellStyle name="Normal 12 8 2 2 2" xfId="8565"/>
    <cellStyle name="Normal 12 8 2 2 2 2" xfId="17013"/>
    <cellStyle name="Normal 12 8 2 2 3" xfId="12789"/>
    <cellStyle name="Normal 12 8 2 3" xfId="6453"/>
    <cellStyle name="Normal 12 8 2 3 2" xfId="14901"/>
    <cellStyle name="Normal 12 8 2 4" xfId="10677"/>
    <cellStyle name="Normal 12 8 3" xfId="3283"/>
    <cellStyle name="Normal 12 8 3 2" xfId="7509"/>
    <cellStyle name="Normal 12 8 3 2 2" xfId="15957"/>
    <cellStyle name="Normal 12 8 3 3" xfId="11733"/>
    <cellStyle name="Normal 12 8 4" xfId="5397"/>
    <cellStyle name="Normal 12 8 4 2" xfId="13845"/>
    <cellStyle name="Normal 12 8 5" xfId="9621"/>
    <cellStyle name="Normal 12 9" xfId="1347"/>
    <cellStyle name="Normal 12 9 2" xfId="2403"/>
    <cellStyle name="Normal 12 9 2 2" xfId="4515"/>
    <cellStyle name="Normal 12 9 2 2 2" xfId="8741"/>
    <cellStyle name="Normal 12 9 2 2 2 2" xfId="17189"/>
    <cellStyle name="Normal 12 9 2 2 3" xfId="12965"/>
    <cellStyle name="Normal 12 9 2 3" xfId="6629"/>
    <cellStyle name="Normal 12 9 2 3 2" xfId="15077"/>
    <cellStyle name="Normal 12 9 2 4" xfId="10853"/>
    <cellStyle name="Normal 12 9 3" xfId="3459"/>
    <cellStyle name="Normal 12 9 3 2" xfId="7685"/>
    <cellStyle name="Normal 12 9 3 2 2" xfId="16133"/>
    <cellStyle name="Normal 12 9 3 3" xfId="11909"/>
    <cellStyle name="Normal 12 9 4" xfId="5573"/>
    <cellStyle name="Normal 12 9 4 2" xfId="14021"/>
    <cellStyle name="Normal 12 9 5" xfId="9797"/>
    <cellStyle name="Normal 13" xfId="302"/>
    <cellStyle name="Normal 13 10" xfId="1529"/>
    <cellStyle name="Normal 13 10 2" xfId="3641"/>
    <cellStyle name="Normal 13 10 2 2" xfId="7867"/>
    <cellStyle name="Normal 13 10 2 2 2" xfId="16315"/>
    <cellStyle name="Normal 13 10 2 3" xfId="12091"/>
    <cellStyle name="Normal 13 10 3" xfId="5755"/>
    <cellStyle name="Normal 13 10 3 2" xfId="14203"/>
    <cellStyle name="Normal 13 10 4" xfId="9979"/>
    <cellStyle name="Normal 13 11" xfId="2585"/>
    <cellStyle name="Normal 13 11 2" xfId="6811"/>
    <cellStyle name="Normal 13 11 2 2" xfId="15259"/>
    <cellStyle name="Normal 13 11 3" xfId="11035"/>
    <cellStyle name="Normal 13 12" xfId="4698"/>
    <cellStyle name="Normal 13 12 2" xfId="13147"/>
    <cellStyle name="Normal 13 13" xfId="8923"/>
    <cellStyle name="Normal 13 14" xfId="17350"/>
    <cellStyle name="Normal 13 2" xfId="303"/>
    <cellStyle name="Normal 13 2 10" xfId="4699"/>
    <cellStyle name="Normal 13 2 10 2" xfId="13148"/>
    <cellStyle name="Normal 13 2 11" xfId="8924"/>
    <cellStyle name="Normal 13 2 12" xfId="17342"/>
    <cellStyle name="Normal 13 2 2" xfId="304"/>
    <cellStyle name="Normal 13 2 2 2" xfId="645"/>
    <cellStyle name="Normal 13 2 2 2 2" xfId="997"/>
    <cellStyle name="Normal 13 2 2 2 2 2" xfId="2059"/>
    <cellStyle name="Normal 13 2 2 2 2 2 2" xfId="4171"/>
    <cellStyle name="Normal 13 2 2 2 2 2 2 2" xfId="8397"/>
    <cellStyle name="Normal 13 2 2 2 2 2 2 2 2" xfId="16845"/>
    <cellStyle name="Normal 13 2 2 2 2 2 2 3" xfId="12621"/>
    <cellStyle name="Normal 13 2 2 2 2 2 3" xfId="6285"/>
    <cellStyle name="Normal 13 2 2 2 2 2 3 2" xfId="14733"/>
    <cellStyle name="Normal 13 2 2 2 2 2 4" xfId="10509"/>
    <cellStyle name="Normal 13 2 2 2 2 3" xfId="3115"/>
    <cellStyle name="Normal 13 2 2 2 2 3 2" xfId="7341"/>
    <cellStyle name="Normal 13 2 2 2 2 3 2 2" xfId="15789"/>
    <cellStyle name="Normal 13 2 2 2 2 3 3" xfId="11565"/>
    <cellStyle name="Normal 13 2 2 2 2 4" xfId="5229"/>
    <cellStyle name="Normal 13 2 2 2 2 4 2" xfId="13677"/>
    <cellStyle name="Normal 13 2 2 2 2 5" xfId="9453"/>
    <cellStyle name="Normal 13 2 2 2 3" xfId="1707"/>
    <cellStyle name="Normal 13 2 2 2 3 2" xfId="3819"/>
    <cellStyle name="Normal 13 2 2 2 3 2 2" xfId="8045"/>
    <cellStyle name="Normal 13 2 2 2 3 2 2 2" xfId="16493"/>
    <cellStyle name="Normal 13 2 2 2 3 2 3" xfId="12269"/>
    <cellStyle name="Normal 13 2 2 2 3 3" xfId="5933"/>
    <cellStyle name="Normal 13 2 2 2 3 3 2" xfId="14381"/>
    <cellStyle name="Normal 13 2 2 2 3 4" xfId="10157"/>
    <cellStyle name="Normal 13 2 2 2 4" xfId="2763"/>
    <cellStyle name="Normal 13 2 2 2 4 2" xfId="6989"/>
    <cellStyle name="Normal 13 2 2 2 4 2 2" xfId="15437"/>
    <cellStyle name="Normal 13 2 2 2 4 3" xfId="11213"/>
    <cellStyle name="Normal 13 2 2 2 5" xfId="4877"/>
    <cellStyle name="Normal 13 2 2 2 5 2" xfId="13325"/>
    <cellStyle name="Normal 13 2 2 2 6" xfId="9101"/>
    <cellStyle name="Normal 13 2 2 3" xfId="821"/>
    <cellStyle name="Normal 13 2 2 3 2" xfId="1883"/>
    <cellStyle name="Normal 13 2 2 3 2 2" xfId="3995"/>
    <cellStyle name="Normal 13 2 2 3 2 2 2" xfId="8221"/>
    <cellStyle name="Normal 13 2 2 3 2 2 2 2" xfId="16669"/>
    <cellStyle name="Normal 13 2 2 3 2 2 3" xfId="12445"/>
    <cellStyle name="Normal 13 2 2 3 2 3" xfId="6109"/>
    <cellStyle name="Normal 13 2 2 3 2 3 2" xfId="14557"/>
    <cellStyle name="Normal 13 2 2 3 2 4" xfId="10333"/>
    <cellStyle name="Normal 13 2 2 3 3" xfId="2939"/>
    <cellStyle name="Normal 13 2 2 3 3 2" xfId="7165"/>
    <cellStyle name="Normal 13 2 2 3 3 2 2" xfId="15613"/>
    <cellStyle name="Normal 13 2 2 3 3 3" xfId="11389"/>
    <cellStyle name="Normal 13 2 2 3 4" xfId="5053"/>
    <cellStyle name="Normal 13 2 2 3 4 2" xfId="13501"/>
    <cellStyle name="Normal 13 2 2 3 5" xfId="9277"/>
    <cellStyle name="Normal 13 2 2 4" xfId="1173"/>
    <cellStyle name="Normal 13 2 2 4 2" xfId="2235"/>
    <cellStyle name="Normal 13 2 2 4 2 2" xfId="4347"/>
    <cellStyle name="Normal 13 2 2 4 2 2 2" xfId="8573"/>
    <cellStyle name="Normal 13 2 2 4 2 2 2 2" xfId="17021"/>
    <cellStyle name="Normal 13 2 2 4 2 2 3" xfId="12797"/>
    <cellStyle name="Normal 13 2 2 4 2 3" xfId="6461"/>
    <cellStyle name="Normal 13 2 2 4 2 3 2" xfId="14909"/>
    <cellStyle name="Normal 13 2 2 4 2 4" xfId="10685"/>
    <cellStyle name="Normal 13 2 2 4 3" xfId="3291"/>
    <cellStyle name="Normal 13 2 2 4 3 2" xfId="7517"/>
    <cellStyle name="Normal 13 2 2 4 3 2 2" xfId="15965"/>
    <cellStyle name="Normal 13 2 2 4 3 3" xfId="11741"/>
    <cellStyle name="Normal 13 2 2 4 4" xfId="5405"/>
    <cellStyle name="Normal 13 2 2 4 4 2" xfId="13853"/>
    <cellStyle name="Normal 13 2 2 4 5" xfId="9629"/>
    <cellStyle name="Normal 13 2 2 5" xfId="1355"/>
    <cellStyle name="Normal 13 2 2 5 2" xfId="2411"/>
    <cellStyle name="Normal 13 2 2 5 2 2" xfId="4523"/>
    <cellStyle name="Normal 13 2 2 5 2 2 2" xfId="8749"/>
    <cellStyle name="Normal 13 2 2 5 2 2 2 2" xfId="17197"/>
    <cellStyle name="Normal 13 2 2 5 2 2 3" xfId="12973"/>
    <cellStyle name="Normal 13 2 2 5 2 3" xfId="6637"/>
    <cellStyle name="Normal 13 2 2 5 2 3 2" xfId="15085"/>
    <cellStyle name="Normal 13 2 2 5 2 4" xfId="10861"/>
    <cellStyle name="Normal 13 2 2 5 3" xfId="3467"/>
    <cellStyle name="Normal 13 2 2 5 3 2" xfId="7693"/>
    <cellStyle name="Normal 13 2 2 5 3 2 2" xfId="16141"/>
    <cellStyle name="Normal 13 2 2 5 3 3" xfId="11917"/>
    <cellStyle name="Normal 13 2 2 5 4" xfId="5581"/>
    <cellStyle name="Normal 13 2 2 5 4 2" xfId="14029"/>
    <cellStyle name="Normal 13 2 2 5 5" xfId="9805"/>
    <cellStyle name="Normal 13 2 2 6" xfId="1531"/>
    <cellStyle name="Normal 13 2 2 6 2" xfId="3643"/>
    <cellStyle name="Normal 13 2 2 6 2 2" xfId="7869"/>
    <cellStyle name="Normal 13 2 2 6 2 2 2" xfId="16317"/>
    <cellStyle name="Normal 13 2 2 6 2 3" xfId="12093"/>
    <cellStyle name="Normal 13 2 2 6 3" xfId="5757"/>
    <cellStyle name="Normal 13 2 2 6 3 2" xfId="14205"/>
    <cellStyle name="Normal 13 2 2 6 4" xfId="9981"/>
    <cellStyle name="Normal 13 2 2 7" xfId="2587"/>
    <cellStyle name="Normal 13 2 2 7 2" xfId="6813"/>
    <cellStyle name="Normal 13 2 2 7 2 2" xfId="15261"/>
    <cellStyle name="Normal 13 2 2 7 3" xfId="11037"/>
    <cellStyle name="Normal 13 2 2 8" xfId="4700"/>
    <cellStyle name="Normal 13 2 2 8 2" xfId="13149"/>
    <cellStyle name="Normal 13 2 2 9" xfId="8925"/>
    <cellStyle name="Normal 13 2 3" xfId="305"/>
    <cellStyle name="Normal 13 2 3 2" xfId="646"/>
    <cellStyle name="Normal 13 2 3 2 2" xfId="998"/>
    <cellStyle name="Normal 13 2 3 2 2 2" xfId="2060"/>
    <cellStyle name="Normal 13 2 3 2 2 2 2" xfId="4172"/>
    <cellStyle name="Normal 13 2 3 2 2 2 2 2" xfId="8398"/>
    <cellStyle name="Normal 13 2 3 2 2 2 2 2 2" xfId="16846"/>
    <cellStyle name="Normal 13 2 3 2 2 2 2 3" xfId="12622"/>
    <cellStyle name="Normal 13 2 3 2 2 2 3" xfId="6286"/>
    <cellStyle name="Normal 13 2 3 2 2 2 3 2" xfId="14734"/>
    <cellStyle name="Normal 13 2 3 2 2 2 4" xfId="10510"/>
    <cellStyle name="Normal 13 2 3 2 2 3" xfId="3116"/>
    <cellStyle name="Normal 13 2 3 2 2 3 2" xfId="7342"/>
    <cellStyle name="Normal 13 2 3 2 2 3 2 2" xfId="15790"/>
    <cellStyle name="Normal 13 2 3 2 2 3 3" xfId="11566"/>
    <cellStyle name="Normal 13 2 3 2 2 4" xfId="5230"/>
    <cellStyle name="Normal 13 2 3 2 2 4 2" xfId="13678"/>
    <cellStyle name="Normal 13 2 3 2 2 5" xfId="9454"/>
    <cellStyle name="Normal 13 2 3 2 3" xfId="1708"/>
    <cellStyle name="Normal 13 2 3 2 3 2" xfId="3820"/>
    <cellStyle name="Normal 13 2 3 2 3 2 2" xfId="8046"/>
    <cellStyle name="Normal 13 2 3 2 3 2 2 2" xfId="16494"/>
    <cellStyle name="Normal 13 2 3 2 3 2 3" xfId="12270"/>
    <cellStyle name="Normal 13 2 3 2 3 3" xfId="5934"/>
    <cellStyle name="Normal 13 2 3 2 3 3 2" xfId="14382"/>
    <cellStyle name="Normal 13 2 3 2 3 4" xfId="10158"/>
    <cellStyle name="Normal 13 2 3 2 4" xfId="2764"/>
    <cellStyle name="Normal 13 2 3 2 4 2" xfId="6990"/>
    <cellStyle name="Normal 13 2 3 2 4 2 2" xfId="15438"/>
    <cellStyle name="Normal 13 2 3 2 4 3" xfId="11214"/>
    <cellStyle name="Normal 13 2 3 2 5" xfId="4878"/>
    <cellStyle name="Normal 13 2 3 2 5 2" xfId="13326"/>
    <cellStyle name="Normal 13 2 3 2 6" xfId="9102"/>
    <cellStyle name="Normal 13 2 3 3" xfId="822"/>
    <cellStyle name="Normal 13 2 3 3 2" xfId="1884"/>
    <cellStyle name="Normal 13 2 3 3 2 2" xfId="3996"/>
    <cellStyle name="Normal 13 2 3 3 2 2 2" xfId="8222"/>
    <cellStyle name="Normal 13 2 3 3 2 2 2 2" xfId="16670"/>
    <cellStyle name="Normal 13 2 3 3 2 2 3" xfId="12446"/>
    <cellStyle name="Normal 13 2 3 3 2 3" xfId="6110"/>
    <cellStyle name="Normal 13 2 3 3 2 3 2" xfId="14558"/>
    <cellStyle name="Normal 13 2 3 3 2 4" xfId="10334"/>
    <cellStyle name="Normal 13 2 3 3 3" xfId="2940"/>
    <cellStyle name="Normal 13 2 3 3 3 2" xfId="7166"/>
    <cellStyle name="Normal 13 2 3 3 3 2 2" xfId="15614"/>
    <cellStyle name="Normal 13 2 3 3 3 3" xfId="11390"/>
    <cellStyle name="Normal 13 2 3 3 4" xfId="5054"/>
    <cellStyle name="Normal 13 2 3 3 4 2" xfId="13502"/>
    <cellStyle name="Normal 13 2 3 3 5" xfId="9278"/>
    <cellStyle name="Normal 13 2 3 4" xfId="1174"/>
    <cellStyle name="Normal 13 2 3 4 2" xfId="2236"/>
    <cellStyle name="Normal 13 2 3 4 2 2" xfId="4348"/>
    <cellStyle name="Normal 13 2 3 4 2 2 2" xfId="8574"/>
    <cellStyle name="Normal 13 2 3 4 2 2 2 2" xfId="17022"/>
    <cellStyle name="Normal 13 2 3 4 2 2 3" xfId="12798"/>
    <cellStyle name="Normal 13 2 3 4 2 3" xfId="6462"/>
    <cellStyle name="Normal 13 2 3 4 2 3 2" xfId="14910"/>
    <cellStyle name="Normal 13 2 3 4 2 4" xfId="10686"/>
    <cellStyle name="Normal 13 2 3 4 3" xfId="3292"/>
    <cellStyle name="Normal 13 2 3 4 3 2" xfId="7518"/>
    <cellStyle name="Normal 13 2 3 4 3 2 2" xfId="15966"/>
    <cellStyle name="Normal 13 2 3 4 3 3" xfId="11742"/>
    <cellStyle name="Normal 13 2 3 4 4" xfId="5406"/>
    <cellStyle name="Normal 13 2 3 4 4 2" xfId="13854"/>
    <cellStyle name="Normal 13 2 3 4 5" xfId="9630"/>
    <cellStyle name="Normal 13 2 3 5" xfId="1356"/>
    <cellStyle name="Normal 13 2 3 5 2" xfId="2412"/>
    <cellStyle name="Normal 13 2 3 5 2 2" xfId="4524"/>
    <cellStyle name="Normal 13 2 3 5 2 2 2" xfId="8750"/>
    <cellStyle name="Normal 13 2 3 5 2 2 2 2" xfId="17198"/>
    <cellStyle name="Normal 13 2 3 5 2 2 3" xfId="12974"/>
    <cellStyle name="Normal 13 2 3 5 2 3" xfId="6638"/>
    <cellStyle name="Normal 13 2 3 5 2 3 2" xfId="15086"/>
    <cellStyle name="Normal 13 2 3 5 2 4" xfId="10862"/>
    <cellStyle name="Normal 13 2 3 5 3" xfId="3468"/>
    <cellStyle name="Normal 13 2 3 5 3 2" xfId="7694"/>
    <cellStyle name="Normal 13 2 3 5 3 2 2" xfId="16142"/>
    <cellStyle name="Normal 13 2 3 5 3 3" xfId="11918"/>
    <cellStyle name="Normal 13 2 3 5 4" xfId="5582"/>
    <cellStyle name="Normal 13 2 3 5 4 2" xfId="14030"/>
    <cellStyle name="Normal 13 2 3 5 5" xfId="9806"/>
    <cellStyle name="Normal 13 2 3 6" xfId="1532"/>
    <cellStyle name="Normal 13 2 3 6 2" xfId="3644"/>
    <cellStyle name="Normal 13 2 3 6 2 2" xfId="7870"/>
    <cellStyle name="Normal 13 2 3 6 2 2 2" xfId="16318"/>
    <cellStyle name="Normal 13 2 3 6 2 3" xfId="12094"/>
    <cellStyle name="Normal 13 2 3 6 3" xfId="5758"/>
    <cellStyle name="Normal 13 2 3 6 3 2" xfId="14206"/>
    <cellStyle name="Normal 13 2 3 6 4" xfId="9982"/>
    <cellStyle name="Normal 13 2 3 7" xfId="2588"/>
    <cellStyle name="Normal 13 2 3 7 2" xfId="6814"/>
    <cellStyle name="Normal 13 2 3 7 2 2" xfId="15262"/>
    <cellStyle name="Normal 13 2 3 7 3" xfId="11038"/>
    <cellStyle name="Normal 13 2 3 8" xfId="4701"/>
    <cellStyle name="Normal 13 2 3 8 2" xfId="13150"/>
    <cellStyle name="Normal 13 2 3 9" xfId="8926"/>
    <cellStyle name="Normal 13 2 4" xfId="644"/>
    <cellStyle name="Normal 13 2 4 2" xfId="996"/>
    <cellStyle name="Normal 13 2 4 2 2" xfId="2058"/>
    <cellStyle name="Normal 13 2 4 2 2 2" xfId="4170"/>
    <cellStyle name="Normal 13 2 4 2 2 2 2" xfId="8396"/>
    <cellStyle name="Normal 13 2 4 2 2 2 2 2" xfId="16844"/>
    <cellStyle name="Normal 13 2 4 2 2 2 3" xfId="12620"/>
    <cellStyle name="Normal 13 2 4 2 2 3" xfId="6284"/>
    <cellStyle name="Normal 13 2 4 2 2 3 2" xfId="14732"/>
    <cellStyle name="Normal 13 2 4 2 2 4" xfId="10508"/>
    <cellStyle name="Normal 13 2 4 2 3" xfId="3114"/>
    <cellStyle name="Normal 13 2 4 2 3 2" xfId="7340"/>
    <cellStyle name="Normal 13 2 4 2 3 2 2" xfId="15788"/>
    <cellStyle name="Normal 13 2 4 2 3 3" xfId="11564"/>
    <cellStyle name="Normal 13 2 4 2 4" xfId="5228"/>
    <cellStyle name="Normal 13 2 4 2 4 2" xfId="13676"/>
    <cellStyle name="Normal 13 2 4 2 5" xfId="9452"/>
    <cellStyle name="Normal 13 2 4 3" xfId="1706"/>
    <cellStyle name="Normal 13 2 4 3 2" xfId="3818"/>
    <cellStyle name="Normal 13 2 4 3 2 2" xfId="8044"/>
    <cellStyle name="Normal 13 2 4 3 2 2 2" xfId="16492"/>
    <cellStyle name="Normal 13 2 4 3 2 3" xfId="12268"/>
    <cellStyle name="Normal 13 2 4 3 3" xfId="5932"/>
    <cellStyle name="Normal 13 2 4 3 3 2" xfId="14380"/>
    <cellStyle name="Normal 13 2 4 3 4" xfId="10156"/>
    <cellStyle name="Normal 13 2 4 4" xfId="2762"/>
    <cellStyle name="Normal 13 2 4 4 2" xfId="6988"/>
    <cellStyle name="Normal 13 2 4 4 2 2" xfId="15436"/>
    <cellStyle name="Normal 13 2 4 4 3" xfId="11212"/>
    <cellStyle name="Normal 13 2 4 5" xfId="4876"/>
    <cellStyle name="Normal 13 2 4 5 2" xfId="13324"/>
    <cellStyle name="Normal 13 2 4 6" xfId="9100"/>
    <cellStyle name="Normal 13 2 5" xfId="820"/>
    <cellStyle name="Normal 13 2 5 2" xfId="1882"/>
    <cellStyle name="Normal 13 2 5 2 2" xfId="3994"/>
    <cellStyle name="Normal 13 2 5 2 2 2" xfId="8220"/>
    <cellStyle name="Normal 13 2 5 2 2 2 2" xfId="16668"/>
    <cellStyle name="Normal 13 2 5 2 2 3" xfId="12444"/>
    <cellStyle name="Normal 13 2 5 2 3" xfId="6108"/>
    <cellStyle name="Normal 13 2 5 2 3 2" xfId="14556"/>
    <cellStyle name="Normal 13 2 5 2 4" xfId="10332"/>
    <cellStyle name="Normal 13 2 5 3" xfId="2938"/>
    <cellStyle name="Normal 13 2 5 3 2" xfId="7164"/>
    <cellStyle name="Normal 13 2 5 3 2 2" xfId="15612"/>
    <cellStyle name="Normal 13 2 5 3 3" xfId="11388"/>
    <cellStyle name="Normal 13 2 5 4" xfId="5052"/>
    <cellStyle name="Normal 13 2 5 4 2" xfId="13500"/>
    <cellStyle name="Normal 13 2 5 5" xfId="9276"/>
    <cellStyle name="Normal 13 2 6" xfId="1172"/>
    <cellStyle name="Normal 13 2 6 2" xfId="2234"/>
    <cellStyle name="Normal 13 2 6 2 2" xfId="4346"/>
    <cellStyle name="Normal 13 2 6 2 2 2" xfId="8572"/>
    <cellStyle name="Normal 13 2 6 2 2 2 2" xfId="17020"/>
    <cellStyle name="Normal 13 2 6 2 2 3" xfId="12796"/>
    <cellStyle name="Normal 13 2 6 2 3" xfId="6460"/>
    <cellStyle name="Normal 13 2 6 2 3 2" xfId="14908"/>
    <cellStyle name="Normal 13 2 6 2 4" xfId="10684"/>
    <cellStyle name="Normal 13 2 6 3" xfId="3290"/>
    <cellStyle name="Normal 13 2 6 3 2" xfId="7516"/>
    <cellStyle name="Normal 13 2 6 3 2 2" xfId="15964"/>
    <cellStyle name="Normal 13 2 6 3 3" xfId="11740"/>
    <cellStyle name="Normal 13 2 6 4" xfId="5404"/>
    <cellStyle name="Normal 13 2 6 4 2" xfId="13852"/>
    <cellStyle name="Normal 13 2 6 5" xfId="9628"/>
    <cellStyle name="Normal 13 2 7" xfId="1354"/>
    <cellStyle name="Normal 13 2 7 2" xfId="2410"/>
    <cellStyle name="Normal 13 2 7 2 2" xfId="4522"/>
    <cellStyle name="Normal 13 2 7 2 2 2" xfId="8748"/>
    <cellStyle name="Normal 13 2 7 2 2 2 2" xfId="17196"/>
    <cellStyle name="Normal 13 2 7 2 2 3" xfId="12972"/>
    <cellStyle name="Normal 13 2 7 2 3" xfId="6636"/>
    <cellStyle name="Normal 13 2 7 2 3 2" xfId="15084"/>
    <cellStyle name="Normal 13 2 7 2 4" xfId="10860"/>
    <cellStyle name="Normal 13 2 7 3" xfId="3466"/>
    <cellStyle name="Normal 13 2 7 3 2" xfId="7692"/>
    <cellStyle name="Normal 13 2 7 3 2 2" xfId="16140"/>
    <cellStyle name="Normal 13 2 7 3 3" xfId="11916"/>
    <cellStyle name="Normal 13 2 7 4" xfId="5580"/>
    <cellStyle name="Normal 13 2 7 4 2" xfId="14028"/>
    <cellStyle name="Normal 13 2 7 5" xfId="9804"/>
    <cellStyle name="Normal 13 2 8" xfId="1530"/>
    <cellStyle name="Normal 13 2 8 2" xfId="3642"/>
    <cellStyle name="Normal 13 2 8 2 2" xfId="7868"/>
    <cellStyle name="Normal 13 2 8 2 2 2" xfId="16316"/>
    <cellStyle name="Normal 13 2 8 2 3" xfId="12092"/>
    <cellStyle name="Normal 13 2 8 3" xfId="5756"/>
    <cellStyle name="Normal 13 2 8 3 2" xfId="14204"/>
    <cellStyle name="Normal 13 2 8 4" xfId="9980"/>
    <cellStyle name="Normal 13 2 9" xfId="2586"/>
    <cellStyle name="Normal 13 2 9 2" xfId="6812"/>
    <cellStyle name="Normal 13 2 9 2 2" xfId="15260"/>
    <cellStyle name="Normal 13 2 9 3" xfId="11036"/>
    <cellStyle name="Normal 13 3" xfId="306"/>
    <cellStyle name="Normal 13 4" xfId="307"/>
    <cellStyle name="Normal 13 4 2" xfId="647"/>
    <cellStyle name="Normal 13 4 2 2" xfId="999"/>
    <cellStyle name="Normal 13 4 2 2 2" xfId="2061"/>
    <cellStyle name="Normal 13 4 2 2 2 2" xfId="4173"/>
    <cellStyle name="Normal 13 4 2 2 2 2 2" xfId="8399"/>
    <cellStyle name="Normal 13 4 2 2 2 2 2 2" xfId="16847"/>
    <cellStyle name="Normal 13 4 2 2 2 2 3" xfId="12623"/>
    <cellStyle name="Normal 13 4 2 2 2 3" xfId="6287"/>
    <cellStyle name="Normal 13 4 2 2 2 3 2" xfId="14735"/>
    <cellStyle name="Normal 13 4 2 2 2 4" xfId="10511"/>
    <cellStyle name="Normal 13 4 2 2 3" xfId="3117"/>
    <cellStyle name="Normal 13 4 2 2 3 2" xfId="7343"/>
    <cellStyle name="Normal 13 4 2 2 3 2 2" xfId="15791"/>
    <cellStyle name="Normal 13 4 2 2 3 3" xfId="11567"/>
    <cellStyle name="Normal 13 4 2 2 4" xfId="5231"/>
    <cellStyle name="Normal 13 4 2 2 4 2" xfId="13679"/>
    <cellStyle name="Normal 13 4 2 2 5" xfId="9455"/>
    <cellStyle name="Normal 13 4 2 3" xfId="1709"/>
    <cellStyle name="Normal 13 4 2 3 2" xfId="3821"/>
    <cellStyle name="Normal 13 4 2 3 2 2" xfId="8047"/>
    <cellStyle name="Normal 13 4 2 3 2 2 2" xfId="16495"/>
    <cellStyle name="Normal 13 4 2 3 2 3" xfId="12271"/>
    <cellStyle name="Normal 13 4 2 3 3" xfId="5935"/>
    <cellStyle name="Normal 13 4 2 3 3 2" xfId="14383"/>
    <cellStyle name="Normal 13 4 2 3 4" xfId="10159"/>
    <cellStyle name="Normal 13 4 2 4" xfId="2765"/>
    <cellStyle name="Normal 13 4 2 4 2" xfId="6991"/>
    <cellStyle name="Normal 13 4 2 4 2 2" xfId="15439"/>
    <cellStyle name="Normal 13 4 2 4 3" xfId="11215"/>
    <cellStyle name="Normal 13 4 2 5" xfId="4879"/>
    <cellStyle name="Normal 13 4 2 5 2" xfId="13327"/>
    <cellStyle name="Normal 13 4 2 6" xfId="9103"/>
    <cellStyle name="Normal 13 4 3" xfId="823"/>
    <cellStyle name="Normal 13 4 3 2" xfId="1885"/>
    <cellStyle name="Normal 13 4 3 2 2" xfId="3997"/>
    <cellStyle name="Normal 13 4 3 2 2 2" xfId="8223"/>
    <cellStyle name="Normal 13 4 3 2 2 2 2" xfId="16671"/>
    <cellStyle name="Normal 13 4 3 2 2 3" xfId="12447"/>
    <cellStyle name="Normal 13 4 3 2 3" xfId="6111"/>
    <cellStyle name="Normal 13 4 3 2 3 2" xfId="14559"/>
    <cellStyle name="Normal 13 4 3 2 4" xfId="10335"/>
    <cellStyle name="Normal 13 4 3 3" xfId="2941"/>
    <cellStyle name="Normal 13 4 3 3 2" xfId="7167"/>
    <cellStyle name="Normal 13 4 3 3 2 2" xfId="15615"/>
    <cellStyle name="Normal 13 4 3 3 3" xfId="11391"/>
    <cellStyle name="Normal 13 4 3 4" xfId="5055"/>
    <cellStyle name="Normal 13 4 3 4 2" xfId="13503"/>
    <cellStyle name="Normal 13 4 3 5" xfId="9279"/>
    <cellStyle name="Normal 13 4 4" xfId="1175"/>
    <cellStyle name="Normal 13 4 4 2" xfId="2237"/>
    <cellStyle name="Normal 13 4 4 2 2" xfId="4349"/>
    <cellStyle name="Normal 13 4 4 2 2 2" xfId="8575"/>
    <cellStyle name="Normal 13 4 4 2 2 2 2" xfId="17023"/>
    <cellStyle name="Normal 13 4 4 2 2 3" xfId="12799"/>
    <cellStyle name="Normal 13 4 4 2 3" xfId="6463"/>
    <cellStyle name="Normal 13 4 4 2 3 2" xfId="14911"/>
    <cellStyle name="Normal 13 4 4 2 4" xfId="10687"/>
    <cellStyle name="Normal 13 4 4 3" xfId="3293"/>
    <cellStyle name="Normal 13 4 4 3 2" xfId="7519"/>
    <cellStyle name="Normal 13 4 4 3 2 2" xfId="15967"/>
    <cellStyle name="Normal 13 4 4 3 3" xfId="11743"/>
    <cellStyle name="Normal 13 4 4 4" xfId="5407"/>
    <cellStyle name="Normal 13 4 4 4 2" xfId="13855"/>
    <cellStyle name="Normal 13 4 4 5" xfId="9631"/>
    <cellStyle name="Normal 13 4 5" xfId="1357"/>
    <cellStyle name="Normal 13 4 5 2" xfId="2413"/>
    <cellStyle name="Normal 13 4 5 2 2" xfId="4525"/>
    <cellStyle name="Normal 13 4 5 2 2 2" xfId="8751"/>
    <cellStyle name="Normal 13 4 5 2 2 2 2" xfId="17199"/>
    <cellStyle name="Normal 13 4 5 2 2 3" xfId="12975"/>
    <cellStyle name="Normal 13 4 5 2 3" xfId="6639"/>
    <cellStyle name="Normal 13 4 5 2 3 2" xfId="15087"/>
    <cellStyle name="Normal 13 4 5 2 4" xfId="10863"/>
    <cellStyle name="Normal 13 4 5 3" xfId="3469"/>
    <cellStyle name="Normal 13 4 5 3 2" xfId="7695"/>
    <cellStyle name="Normal 13 4 5 3 2 2" xfId="16143"/>
    <cellStyle name="Normal 13 4 5 3 3" xfId="11919"/>
    <cellStyle name="Normal 13 4 5 4" xfId="5583"/>
    <cellStyle name="Normal 13 4 5 4 2" xfId="14031"/>
    <cellStyle name="Normal 13 4 5 5" xfId="9807"/>
    <cellStyle name="Normal 13 4 6" xfId="1533"/>
    <cellStyle name="Normal 13 4 6 2" xfId="3645"/>
    <cellStyle name="Normal 13 4 6 2 2" xfId="7871"/>
    <cellStyle name="Normal 13 4 6 2 2 2" xfId="16319"/>
    <cellStyle name="Normal 13 4 6 2 3" xfId="12095"/>
    <cellStyle name="Normal 13 4 6 3" xfId="5759"/>
    <cellStyle name="Normal 13 4 6 3 2" xfId="14207"/>
    <cellStyle name="Normal 13 4 6 4" xfId="9983"/>
    <cellStyle name="Normal 13 4 7" xfId="2589"/>
    <cellStyle name="Normal 13 4 7 2" xfId="6815"/>
    <cellStyle name="Normal 13 4 7 2 2" xfId="15263"/>
    <cellStyle name="Normal 13 4 7 3" xfId="11039"/>
    <cellStyle name="Normal 13 4 8" xfId="4702"/>
    <cellStyle name="Normal 13 4 8 2" xfId="13151"/>
    <cellStyle name="Normal 13 4 9" xfId="8927"/>
    <cellStyle name="Normal 13 5" xfId="308"/>
    <cellStyle name="Normal 13 5 2" xfId="648"/>
    <cellStyle name="Normal 13 5 2 2" xfId="1000"/>
    <cellStyle name="Normal 13 5 2 2 2" xfId="2062"/>
    <cellStyle name="Normal 13 5 2 2 2 2" xfId="4174"/>
    <cellStyle name="Normal 13 5 2 2 2 2 2" xfId="8400"/>
    <cellStyle name="Normal 13 5 2 2 2 2 2 2" xfId="16848"/>
    <cellStyle name="Normal 13 5 2 2 2 2 3" xfId="12624"/>
    <cellStyle name="Normal 13 5 2 2 2 3" xfId="6288"/>
    <cellStyle name="Normal 13 5 2 2 2 3 2" xfId="14736"/>
    <cellStyle name="Normal 13 5 2 2 2 4" xfId="10512"/>
    <cellStyle name="Normal 13 5 2 2 3" xfId="3118"/>
    <cellStyle name="Normal 13 5 2 2 3 2" xfId="7344"/>
    <cellStyle name="Normal 13 5 2 2 3 2 2" xfId="15792"/>
    <cellStyle name="Normal 13 5 2 2 3 3" xfId="11568"/>
    <cellStyle name="Normal 13 5 2 2 4" xfId="5232"/>
    <cellStyle name="Normal 13 5 2 2 4 2" xfId="13680"/>
    <cellStyle name="Normal 13 5 2 2 5" xfId="9456"/>
    <cellStyle name="Normal 13 5 2 3" xfId="1710"/>
    <cellStyle name="Normal 13 5 2 3 2" xfId="3822"/>
    <cellStyle name="Normal 13 5 2 3 2 2" xfId="8048"/>
    <cellStyle name="Normal 13 5 2 3 2 2 2" xfId="16496"/>
    <cellStyle name="Normal 13 5 2 3 2 3" xfId="12272"/>
    <cellStyle name="Normal 13 5 2 3 3" xfId="5936"/>
    <cellStyle name="Normal 13 5 2 3 3 2" xfId="14384"/>
    <cellStyle name="Normal 13 5 2 3 4" xfId="10160"/>
    <cellStyle name="Normal 13 5 2 4" xfId="2766"/>
    <cellStyle name="Normal 13 5 2 4 2" xfId="6992"/>
    <cellStyle name="Normal 13 5 2 4 2 2" xfId="15440"/>
    <cellStyle name="Normal 13 5 2 4 3" xfId="11216"/>
    <cellStyle name="Normal 13 5 2 5" xfId="4880"/>
    <cellStyle name="Normal 13 5 2 5 2" xfId="13328"/>
    <cellStyle name="Normal 13 5 2 6" xfId="9104"/>
    <cellStyle name="Normal 13 5 3" xfId="824"/>
    <cellStyle name="Normal 13 5 3 2" xfId="1886"/>
    <cellStyle name="Normal 13 5 3 2 2" xfId="3998"/>
    <cellStyle name="Normal 13 5 3 2 2 2" xfId="8224"/>
    <cellStyle name="Normal 13 5 3 2 2 2 2" xfId="16672"/>
    <cellStyle name="Normal 13 5 3 2 2 3" xfId="12448"/>
    <cellStyle name="Normal 13 5 3 2 3" xfId="6112"/>
    <cellStyle name="Normal 13 5 3 2 3 2" xfId="14560"/>
    <cellStyle name="Normal 13 5 3 2 4" xfId="10336"/>
    <cellStyle name="Normal 13 5 3 3" xfId="2942"/>
    <cellStyle name="Normal 13 5 3 3 2" xfId="7168"/>
    <cellStyle name="Normal 13 5 3 3 2 2" xfId="15616"/>
    <cellStyle name="Normal 13 5 3 3 3" xfId="11392"/>
    <cellStyle name="Normal 13 5 3 4" xfId="5056"/>
    <cellStyle name="Normal 13 5 3 4 2" xfId="13504"/>
    <cellStyle name="Normal 13 5 3 5" xfId="9280"/>
    <cellStyle name="Normal 13 5 4" xfId="1176"/>
    <cellStyle name="Normal 13 5 4 2" xfId="2238"/>
    <cellStyle name="Normal 13 5 4 2 2" xfId="4350"/>
    <cellStyle name="Normal 13 5 4 2 2 2" xfId="8576"/>
    <cellStyle name="Normal 13 5 4 2 2 2 2" xfId="17024"/>
    <cellStyle name="Normal 13 5 4 2 2 3" xfId="12800"/>
    <cellStyle name="Normal 13 5 4 2 3" xfId="6464"/>
    <cellStyle name="Normal 13 5 4 2 3 2" xfId="14912"/>
    <cellStyle name="Normal 13 5 4 2 4" xfId="10688"/>
    <cellStyle name="Normal 13 5 4 3" xfId="3294"/>
    <cellStyle name="Normal 13 5 4 3 2" xfId="7520"/>
    <cellStyle name="Normal 13 5 4 3 2 2" xfId="15968"/>
    <cellStyle name="Normal 13 5 4 3 3" xfId="11744"/>
    <cellStyle name="Normal 13 5 4 4" xfId="5408"/>
    <cellStyle name="Normal 13 5 4 4 2" xfId="13856"/>
    <cellStyle name="Normal 13 5 4 5" xfId="9632"/>
    <cellStyle name="Normal 13 5 5" xfId="1358"/>
    <cellStyle name="Normal 13 5 5 2" xfId="2414"/>
    <cellStyle name="Normal 13 5 5 2 2" xfId="4526"/>
    <cellStyle name="Normal 13 5 5 2 2 2" xfId="8752"/>
    <cellStyle name="Normal 13 5 5 2 2 2 2" xfId="17200"/>
    <cellStyle name="Normal 13 5 5 2 2 3" xfId="12976"/>
    <cellStyle name="Normal 13 5 5 2 3" xfId="6640"/>
    <cellStyle name="Normal 13 5 5 2 3 2" xfId="15088"/>
    <cellStyle name="Normal 13 5 5 2 4" xfId="10864"/>
    <cellStyle name="Normal 13 5 5 3" xfId="3470"/>
    <cellStyle name="Normal 13 5 5 3 2" xfId="7696"/>
    <cellStyle name="Normal 13 5 5 3 2 2" xfId="16144"/>
    <cellStyle name="Normal 13 5 5 3 3" xfId="11920"/>
    <cellStyle name="Normal 13 5 5 4" xfId="5584"/>
    <cellStyle name="Normal 13 5 5 4 2" xfId="14032"/>
    <cellStyle name="Normal 13 5 5 5" xfId="9808"/>
    <cellStyle name="Normal 13 5 6" xfId="1534"/>
    <cellStyle name="Normal 13 5 6 2" xfId="3646"/>
    <cellStyle name="Normal 13 5 6 2 2" xfId="7872"/>
    <cellStyle name="Normal 13 5 6 2 2 2" xfId="16320"/>
    <cellStyle name="Normal 13 5 6 2 3" xfId="12096"/>
    <cellStyle name="Normal 13 5 6 3" xfId="5760"/>
    <cellStyle name="Normal 13 5 6 3 2" xfId="14208"/>
    <cellStyle name="Normal 13 5 6 4" xfId="9984"/>
    <cellStyle name="Normal 13 5 7" xfId="2590"/>
    <cellStyle name="Normal 13 5 7 2" xfId="6816"/>
    <cellStyle name="Normal 13 5 7 2 2" xfId="15264"/>
    <cellStyle name="Normal 13 5 7 3" xfId="11040"/>
    <cellStyle name="Normal 13 5 8" xfId="4703"/>
    <cellStyle name="Normal 13 5 8 2" xfId="13152"/>
    <cellStyle name="Normal 13 5 9" xfId="8928"/>
    <cellStyle name="Normal 13 6" xfId="643"/>
    <cellStyle name="Normal 13 6 2" xfId="995"/>
    <cellStyle name="Normal 13 6 2 2" xfId="2057"/>
    <cellStyle name="Normal 13 6 2 2 2" xfId="4169"/>
    <cellStyle name="Normal 13 6 2 2 2 2" xfId="8395"/>
    <cellStyle name="Normal 13 6 2 2 2 2 2" xfId="16843"/>
    <cellStyle name="Normal 13 6 2 2 2 3" xfId="12619"/>
    <cellStyle name="Normal 13 6 2 2 3" xfId="6283"/>
    <cellStyle name="Normal 13 6 2 2 3 2" xfId="14731"/>
    <cellStyle name="Normal 13 6 2 2 4" xfId="10507"/>
    <cellStyle name="Normal 13 6 2 3" xfId="3113"/>
    <cellStyle name="Normal 13 6 2 3 2" xfId="7339"/>
    <cellStyle name="Normal 13 6 2 3 2 2" xfId="15787"/>
    <cellStyle name="Normal 13 6 2 3 3" xfId="11563"/>
    <cellStyle name="Normal 13 6 2 4" xfId="5227"/>
    <cellStyle name="Normal 13 6 2 4 2" xfId="13675"/>
    <cellStyle name="Normal 13 6 2 5" xfId="9451"/>
    <cellStyle name="Normal 13 6 3" xfId="1705"/>
    <cellStyle name="Normal 13 6 3 2" xfId="3817"/>
    <cellStyle name="Normal 13 6 3 2 2" xfId="8043"/>
    <cellStyle name="Normal 13 6 3 2 2 2" xfId="16491"/>
    <cellStyle name="Normal 13 6 3 2 3" xfId="12267"/>
    <cellStyle name="Normal 13 6 3 3" xfId="5931"/>
    <cellStyle name="Normal 13 6 3 3 2" xfId="14379"/>
    <cellStyle name="Normal 13 6 3 4" xfId="10155"/>
    <cellStyle name="Normal 13 6 4" xfId="2761"/>
    <cellStyle name="Normal 13 6 4 2" xfId="6987"/>
    <cellStyle name="Normal 13 6 4 2 2" xfId="15435"/>
    <cellStyle name="Normal 13 6 4 3" xfId="11211"/>
    <cellStyle name="Normal 13 6 5" xfId="4875"/>
    <cellStyle name="Normal 13 6 5 2" xfId="13323"/>
    <cellStyle name="Normal 13 6 6" xfId="9099"/>
    <cellStyle name="Normal 13 7" xfId="819"/>
    <cellStyle name="Normal 13 7 2" xfId="1881"/>
    <cellStyle name="Normal 13 7 2 2" xfId="3993"/>
    <cellStyle name="Normal 13 7 2 2 2" xfId="8219"/>
    <cellStyle name="Normal 13 7 2 2 2 2" xfId="16667"/>
    <cellStyle name="Normal 13 7 2 2 3" xfId="12443"/>
    <cellStyle name="Normal 13 7 2 3" xfId="6107"/>
    <cellStyle name="Normal 13 7 2 3 2" xfId="14555"/>
    <cellStyle name="Normal 13 7 2 4" xfId="10331"/>
    <cellStyle name="Normal 13 7 3" xfId="2937"/>
    <cellStyle name="Normal 13 7 3 2" xfId="7163"/>
    <cellStyle name="Normal 13 7 3 2 2" xfId="15611"/>
    <cellStyle name="Normal 13 7 3 3" xfId="11387"/>
    <cellStyle name="Normal 13 7 4" xfId="5051"/>
    <cellStyle name="Normal 13 7 4 2" xfId="13499"/>
    <cellStyle name="Normal 13 7 5" xfId="9275"/>
    <cellStyle name="Normal 13 8" xfId="1171"/>
    <cellStyle name="Normal 13 8 2" xfId="2233"/>
    <cellStyle name="Normal 13 8 2 2" xfId="4345"/>
    <cellStyle name="Normal 13 8 2 2 2" xfId="8571"/>
    <cellStyle name="Normal 13 8 2 2 2 2" xfId="17019"/>
    <cellStyle name="Normal 13 8 2 2 3" xfId="12795"/>
    <cellStyle name="Normal 13 8 2 3" xfId="6459"/>
    <cellStyle name="Normal 13 8 2 3 2" xfId="14907"/>
    <cellStyle name="Normal 13 8 2 4" xfId="10683"/>
    <cellStyle name="Normal 13 8 3" xfId="3289"/>
    <cellStyle name="Normal 13 8 3 2" xfId="7515"/>
    <cellStyle name="Normal 13 8 3 2 2" xfId="15963"/>
    <cellStyle name="Normal 13 8 3 3" xfId="11739"/>
    <cellStyle name="Normal 13 8 4" xfId="5403"/>
    <cellStyle name="Normal 13 8 4 2" xfId="13851"/>
    <cellStyle name="Normal 13 8 5" xfId="9627"/>
    <cellStyle name="Normal 13 9" xfId="1353"/>
    <cellStyle name="Normal 13 9 2" xfId="2409"/>
    <cellStyle name="Normal 13 9 2 2" xfId="4521"/>
    <cellStyle name="Normal 13 9 2 2 2" xfId="8747"/>
    <cellStyle name="Normal 13 9 2 2 2 2" xfId="17195"/>
    <cellStyle name="Normal 13 9 2 2 3" xfId="12971"/>
    <cellStyle name="Normal 13 9 2 3" xfId="6635"/>
    <cellStyle name="Normal 13 9 2 3 2" xfId="15083"/>
    <cellStyle name="Normal 13 9 2 4" xfId="10859"/>
    <cellStyle name="Normal 13 9 3" xfId="3465"/>
    <cellStyle name="Normal 13 9 3 2" xfId="7691"/>
    <cellStyle name="Normal 13 9 3 2 2" xfId="16139"/>
    <cellStyle name="Normal 13 9 3 3" xfId="11915"/>
    <cellStyle name="Normal 13 9 4" xfId="5579"/>
    <cellStyle name="Normal 13 9 4 2" xfId="14027"/>
    <cellStyle name="Normal 13 9 5" xfId="9803"/>
    <cellStyle name="Normal 14" xfId="309"/>
    <cellStyle name="Normal 14 10" xfId="1535"/>
    <cellStyle name="Normal 14 10 2" xfId="3647"/>
    <cellStyle name="Normal 14 10 2 2" xfId="7873"/>
    <cellStyle name="Normal 14 10 2 2 2" xfId="16321"/>
    <cellStyle name="Normal 14 10 2 3" xfId="12097"/>
    <cellStyle name="Normal 14 10 3" xfId="5761"/>
    <cellStyle name="Normal 14 10 3 2" xfId="14209"/>
    <cellStyle name="Normal 14 10 4" xfId="9985"/>
    <cellStyle name="Normal 14 11" xfId="2591"/>
    <cellStyle name="Normal 14 11 2" xfId="6817"/>
    <cellStyle name="Normal 14 11 2 2" xfId="15265"/>
    <cellStyle name="Normal 14 11 3" xfId="11041"/>
    <cellStyle name="Normal 14 12" xfId="4704"/>
    <cellStyle name="Normal 14 12 2" xfId="13153"/>
    <cellStyle name="Normal 14 13" xfId="8929"/>
    <cellStyle name="Normal 14 14" xfId="17411"/>
    <cellStyle name="Normal 14 2" xfId="310"/>
    <cellStyle name="Normal 14 2 10" xfId="4705"/>
    <cellStyle name="Normal 14 2 10 2" xfId="13154"/>
    <cellStyle name="Normal 14 2 11" xfId="8930"/>
    <cellStyle name="Normal 14 2 12" xfId="17439"/>
    <cellStyle name="Normal 14 2 2" xfId="311"/>
    <cellStyle name="Normal 14 2 2 2" xfId="651"/>
    <cellStyle name="Normal 14 2 2 2 2" xfId="1003"/>
    <cellStyle name="Normal 14 2 2 2 2 2" xfId="2065"/>
    <cellStyle name="Normal 14 2 2 2 2 2 2" xfId="4177"/>
    <cellStyle name="Normal 14 2 2 2 2 2 2 2" xfId="8403"/>
    <cellStyle name="Normal 14 2 2 2 2 2 2 2 2" xfId="16851"/>
    <cellStyle name="Normal 14 2 2 2 2 2 2 3" xfId="12627"/>
    <cellStyle name="Normal 14 2 2 2 2 2 3" xfId="6291"/>
    <cellStyle name="Normal 14 2 2 2 2 2 3 2" xfId="14739"/>
    <cellStyle name="Normal 14 2 2 2 2 2 4" xfId="10515"/>
    <cellStyle name="Normal 14 2 2 2 2 3" xfId="3121"/>
    <cellStyle name="Normal 14 2 2 2 2 3 2" xfId="7347"/>
    <cellStyle name="Normal 14 2 2 2 2 3 2 2" xfId="15795"/>
    <cellStyle name="Normal 14 2 2 2 2 3 3" xfId="11571"/>
    <cellStyle name="Normal 14 2 2 2 2 4" xfId="5235"/>
    <cellStyle name="Normal 14 2 2 2 2 4 2" xfId="13683"/>
    <cellStyle name="Normal 14 2 2 2 2 5" xfId="9459"/>
    <cellStyle name="Normal 14 2 2 2 3" xfId="1713"/>
    <cellStyle name="Normal 14 2 2 2 3 2" xfId="3825"/>
    <cellStyle name="Normal 14 2 2 2 3 2 2" xfId="8051"/>
    <cellStyle name="Normal 14 2 2 2 3 2 2 2" xfId="16499"/>
    <cellStyle name="Normal 14 2 2 2 3 2 3" xfId="12275"/>
    <cellStyle name="Normal 14 2 2 2 3 3" xfId="5939"/>
    <cellStyle name="Normal 14 2 2 2 3 3 2" xfId="14387"/>
    <cellStyle name="Normal 14 2 2 2 3 4" xfId="10163"/>
    <cellStyle name="Normal 14 2 2 2 4" xfId="2769"/>
    <cellStyle name="Normal 14 2 2 2 4 2" xfId="6995"/>
    <cellStyle name="Normal 14 2 2 2 4 2 2" xfId="15443"/>
    <cellStyle name="Normal 14 2 2 2 4 3" xfId="11219"/>
    <cellStyle name="Normal 14 2 2 2 5" xfId="4883"/>
    <cellStyle name="Normal 14 2 2 2 5 2" xfId="13331"/>
    <cellStyle name="Normal 14 2 2 2 6" xfId="9107"/>
    <cellStyle name="Normal 14 2 2 3" xfId="827"/>
    <cellStyle name="Normal 14 2 2 3 2" xfId="1889"/>
    <cellStyle name="Normal 14 2 2 3 2 2" xfId="4001"/>
    <cellStyle name="Normal 14 2 2 3 2 2 2" xfId="8227"/>
    <cellStyle name="Normal 14 2 2 3 2 2 2 2" xfId="16675"/>
    <cellStyle name="Normal 14 2 2 3 2 2 3" xfId="12451"/>
    <cellStyle name="Normal 14 2 2 3 2 3" xfId="6115"/>
    <cellStyle name="Normal 14 2 2 3 2 3 2" xfId="14563"/>
    <cellStyle name="Normal 14 2 2 3 2 4" xfId="10339"/>
    <cellStyle name="Normal 14 2 2 3 3" xfId="2945"/>
    <cellStyle name="Normal 14 2 2 3 3 2" xfId="7171"/>
    <cellStyle name="Normal 14 2 2 3 3 2 2" xfId="15619"/>
    <cellStyle name="Normal 14 2 2 3 3 3" xfId="11395"/>
    <cellStyle name="Normal 14 2 2 3 4" xfId="5059"/>
    <cellStyle name="Normal 14 2 2 3 4 2" xfId="13507"/>
    <cellStyle name="Normal 14 2 2 3 5" xfId="9283"/>
    <cellStyle name="Normal 14 2 2 4" xfId="1179"/>
    <cellStyle name="Normal 14 2 2 4 2" xfId="2241"/>
    <cellStyle name="Normal 14 2 2 4 2 2" xfId="4353"/>
    <cellStyle name="Normal 14 2 2 4 2 2 2" xfId="8579"/>
    <cellStyle name="Normal 14 2 2 4 2 2 2 2" xfId="17027"/>
    <cellStyle name="Normal 14 2 2 4 2 2 3" xfId="12803"/>
    <cellStyle name="Normal 14 2 2 4 2 3" xfId="6467"/>
    <cellStyle name="Normal 14 2 2 4 2 3 2" xfId="14915"/>
    <cellStyle name="Normal 14 2 2 4 2 4" xfId="10691"/>
    <cellStyle name="Normal 14 2 2 4 3" xfId="3297"/>
    <cellStyle name="Normal 14 2 2 4 3 2" xfId="7523"/>
    <cellStyle name="Normal 14 2 2 4 3 2 2" xfId="15971"/>
    <cellStyle name="Normal 14 2 2 4 3 3" xfId="11747"/>
    <cellStyle name="Normal 14 2 2 4 4" xfId="5411"/>
    <cellStyle name="Normal 14 2 2 4 4 2" xfId="13859"/>
    <cellStyle name="Normal 14 2 2 4 5" xfId="9635"/>
    <cellStyle name="Normal 14 2 2 5" xfId="1361"/>
    <cellStyle name="Normal 14 2 2 5 2" xfId="2417"/>
    <cellStyle name="Normal 14 2 2 5 2 2" xfId="4529"/>
    <cellStyle name="Normal 14 2 2 5 2 2 2" xfId="8755"/>
    <cellStyle name="Normal 14 2 2 5 2 2 2 2" xfId="17203"/>
    <cellStyle name="Normal 14 2 2 5 2 2 3" xfId="12979"/>
    <cellStyle name="Normal 14 2 2 5 2 3" xfId="6643"/>
    <cellStyle name="Normal 14 2 2 5 2 3 2" xfId="15091"/>
    <cellStyle name="Normal 14 2 2 5 2 4" xfId="10867"/>
    <cellStyle name="Normal 14 2 2 5 3" xfId="3473"/>
    <cellStyle name="Normal 14 2 2 5 3 2" xfId="7699"/>
    <cellStyle name="Normal 14 2 2 5 3 2 2" xfId="16147"/>
    <cellStyle name="Normal 14 2 2 5 3 3" xfId="11923"/>
    <cellStyle name="Normal 14 2 2 5 4" xfId="5587"/>
    <cellStyle name="Normal 14 2 2 5 4 2" xfId="14035"/>
    <cellStyle name="Normal 14 2 2 5 5" xfId="9811"/>
    <cellStyle name="Normal 14 2 2 6" xfId="1537"/>
    <cellStyle name="Normal 14 2 2 6 2" xfId="3649"/>
    <cellStyle name="Normal 14 2 2 6 2 2" xfId="7875"/>
    <cellStyle name="Normal 14 2 2 6 2 2 2" xfId="16323"/>
    <cellStyle name="Normal 14 2 2 6 2 3" xfId="12099"/>
    <cellStyle name="Normal 14 2 2 6 3" xfId="5763"/>
    <cellStyle name="Normal 14 2 2 6 3 2" xfId="14211"/>
    <cellStyle name="Normal 14 2 2 6 4" xfId="9987"/>
    <cellStyle name="Normal 14 2 2 7" xfId="2593"/>
    <cellStyle name="Normal 14 2 2 7 2" xfId="6819"/>
    <cellStyle name="Normal 14 2 2 7 2 2" xfId="15267"/>
    <cellStyle name="Normal 14 2 2 7 3" xfId="11043"/>
    <cellStyle name="Normal 14 2 2 8" xfId="4706"/>
    <cellStyle name="Normal 14 2 2 8 2" xfId="13155"/>
    <cellStyle name="Normal 14 2 2 9" xfId="8931"/>
    <cellStyle name="Normal 14 2 3" xfId="312"/>
    <cellStyle name="Normal 14 2 3 2" xfId="652"/>
    <cellStyle name="Normal 14 2 3 2 2" xfId="1004"/>
    <cellStyle name="Normal 14 2 3 2 2 2" xfId="2066"/>
    <cellStyle name="Normal 14 2 3 2 2 2 2" xfId="4178"/>
    <cellStyle name="Normal 14 2 3 2 2 2 2 2" xfId="8404"/>
    <cellStyle name="Normal 14 2 3 2 2 2 2 2 2" xfId="16852"/>
    <cellStyle name="Normal 14 2 3 2 2 2 2 3" xfId="12628"/>
    <cellStyle name="Normal 14 2 3 2 2 2 3" xfId="6292"/>
    <cellStyle name="Normal 14 2 3 2 2 2 3 2" xfId="14740"/>
    <cellStyle name="Normal 14 2 3 2 2 2 4" xfId="10516"/>
    <cellStyle name="Normal 14 2 3 2 2 3" xfId="3122"/>
    <cellStyle name="Normal 14 2 3 2 2 3 2" xfId="7348"/>
    <cellStyle name="Normal 14 2 3 2 2 3 2 2" xfId="15796"/>
    <cellStyle name="Normal 14 2 3 2 2 3 3" xfId="11572"/>
    <cellStyle name="Normal 14 2 3 2 2 4" xfId="5236"/>
    <cellStyle name="Normal 14 2 3 2 2 4 2" xfId="13684"/>
    <cellStyle name="Normal 14 2 3 2 2 5" xfId="9460"/>
    <cellStyle name="Normal 14 2 3 2 3" xfId="1714"/>
    <cellStyle name="Normal 14 2 3 2 3 2" xfId="3826"/>
    <cellStyle name="Normal 14 2 3 2 3 2 2" xfId="8052"/>
    <cellStyle name="Normal 14 2 3 2 3 2 2 2" xfId="16500"/>
    <cellStyle name="Normal 14 2 3 2 3 2 3" xfId="12276"/>
    <cellStyle name="Normal 14 2 3 2 3 3" xfId="5940"/>
    <cellStyle name="Normal 14 2 3 2 3 3 2" xfId="14388"/>
    <cellStyle name="Normal 14 2 3 2 3 4" xfId="10164"/>
    <cellStyle name="Normal 14 2 3 2 4" xfId="2770"/>
    <cellStyle name="Normal 14 2 3 2 4 2" xfId="6996"/>
    <cellStyle name="Normal 14 2 3 2 4 2 2" xfId="15444"/>
    <cellStyle name="Normal 14 2 3 2 4 3" xfId="11220"/>
    <cellStyle name="Normal 14 2 3 2 5" xfId="4884"/>
    <cellStyle name="Normal 14 2 3 2 5 2" xfId="13332"/>
    <cellStyle name="Normal 14 2 3 2 6" xfId="9108"/>
    <cellStyle name="Normal 14 2 3 3" xfId="828"/>
    <cellStyle name="Normal 14 2 3 3 2" xfId="1890"/>
    <cellStyle name="Normal 14 2 3 3 2 2" xfId="4002"/>
    <cellStyle name="Normal 14 2 3 3 2 2 2" xfId="8228"/>
    <cellStyle name="Normal 14 2 3 3 2 2 2 2" xfId="16676"/>
    <cellStyle name="Normal 14 2 3 3 2 2 3" xfId="12452"/>
    <cellStyle name="Normal 14 2 3 3 2 3" xfId="6116"/>
    <cellStyle name="Normal 14 2 3 3 2 3 2" xfId="14564"/>
    <cellStyle name="Normal 14 2 3 3 2 4" xfId="10340"/>
    <cellStyle name="Normal 14 2 3 3 3" xfId="2946"/>
    <cellStyle name="Normal 14 2 3 3 3 2" xfId="7172"/>
    <cellStyle name="Normal 14 2 3 3 3 2 2" xfId="15620"/>
    <cellStyle name="Normal 14 2 3 3 3 3" xfId="11396"/>
    <cellStyle name="Normal 14 2 3 3 4" xfId="5060"/>
    <cellStyle name="Normal 14 2 3 3 4 2" xfId="13508"/>
    <cellStyle name="Normal 14 2 3 3 5" xfId="9284"/>
    <cellStyle name="Normal 14 2 3 4" xfId="1180"/>
    <cellStyle name="Normal 14 2 3 4 2" xfId="2242"/>
    <cellStyle name="Normal 14 2 3 4 2 2" xfId="4354"/>
    <cellStyle name="Normal 14 2 3 4 2 2 2" xfId="8580"/>
    <cellStyle name="Normal 14 2 3 4 2 2 2 2" xfId="17028"/>
    <cellStyle name="Normal 14 2 3 4 2 2 3" xfId="12804"/>
    <cellStyle name="Normal 14 2 3 4 2 3" xfId="6468"/>
    <cellStyle name="Normal 14 2 3 4 2 3 2" xfId="14916"/>
    <cellStyle name="Normal 14 2 3 4 2 4" xfId="10692"/>
    <cellStyle name="Normal 14 2 3 4 3" xfId="3298"/>
    <cellStyle name="Normal 14 2 3 4 3 2" xfId="7524"/>
    <cellStyle name="Normal 14 2 3 4 3 2 2" xfId="15972"/>
    <cellStyle name="Normal 14 2 3 4 3 3" xfId="11748"/>
    <cellStyle name="Normal 14 2 3 4 4" xfId="5412"/>
    <cellStyle name="Normal 14 2 3 4 4 2" xfId="13860"/>
    <cellStyle name="Normal 14 2 3 4 5" xfId="9636"/>
    <cellStyle name="Normal 14 2 3 5" xfId="1362"/>
    <cellStyle name="Normal 14 2 3 5 2" xfId="2418"/>
    <cellStyle name="Normal 14 2 3 5 2 2" xfId="4530"/>
    <cellStyle name="Normal 14 2 3 5 2 2 2" xfId="8756"/>
    <cellStyle name="Normal 14 2 3 5 2 2 2 2" xfId="17204"/>
    <cellStyle name="Normal 14 2 3 5 2 2 3" xfId="12980"/>
    <cellStyle name="Normal 14 2 3 5 2 3" xfId="6644"/>
    <cellStyle name="Normal 14 2 3 5 2 3 2" xfId="15092"/>
    <cellStyle name="Normal 14 2 3 5 2 4" xfId="10868"/>
    <cellStyle name="Normal 14 2 3 5 3" xfId="3474"/>
    <cellStyle name="Normal 14 2 3 5 3 2" xfId="7700"/>
    <cellStyle name="Normal 14 2 3 5 3 2 2" xfId="16148"/>
    <cellStyle name="Normal 14 2 3 5 3 3" xfId="11924"/>
    <cellStyle name="Normal 14 2 3 5 4" xfId="5588"/>
    <cellStyle name="Normal 14 2 3 5 4 2" xfId="14036"/>
    <cellStyle name="Normal 14 2 3 5 5" xfId="9812"/>
    <cellStyle name="Normal 14 2 3 6" xfId="1538"/>
    <cellStyle name="Normal 14 2 3 6 2" xfId="3650"/>
    <cellStyle name="Normal 14 2 3 6 2 2" xfId="7876"/>
    <cellStyle name="Normal 14 2 3 6 2 2 2" xfId="16324"/>
    <cellStyle name="Normal 14 2 3 6 2 3" xfId="12100"/>
    <cellStyle name="Normal 14 2 3 6 3" xfId="5764"/>
    <cellStyle name="Normal 14 2 3 6 3 2" xfId="14212"/>
    <cellStyle name="Normal 14 2 3 6 4" xfId="9988"/>
    <cellStyle name="Normal 14 2 3 7" xfId="2594"/>
    <cellStyle name="Normal 14 2 3 7 2" xfId="6820"/>
    <cellStyle name="Normal 14 2 3 7 2 2" xfId="15268"/>
    <cellStyle name="Normal 14 2 3 7 3" xfId="11044"/>
    <cellStyle name="Normal 14 2 3 8" xfId="4707"/>
    <cellStyle name="Normal 14 2 3 8 2" xfId="13156"/>
    <cellStyle name="Normal 14 2 3 9" xfId="8932"/>
    <cellStyle name="Normal 14 2 4" xfId="650"/>
    <cellStyle name="Normal 14 2 4 2" xfId="1002"/>
    <cellStyle name="Normal 14 2 4 2 2" xfId="2064"/>
    <cellStyle name="Normal 14 2 4 2 2 2" xfId="4176"/>
    <cellStyle name="Normal 14 2 4 2 2 2 2" xfId="8402"/>
    <cellStyle name="Normal 14 2 4 2 2 2 2 2" xfId="16850"/>
    <cellStyle name="Normal 14 2 4 2 2 2 3" xfId="12626"/>
    <cellStyle name="Normal 14 2 4 2 2 3" xfId="6290"/>
    <cellStyle name="Normal 14 2 4 2 2 3 2" xfId="14738"/>
    <cellStyle name="Normal 14 2 4 2 2 4" xfId="10514"/>
    <cellStyle name="Normal 14 2 4 2 3" xfId="3120"/>
    <cellStyle name="Normal 14 2 4 2 3 2" xfId="7346"/>
    <cellStyle name="Normal 14 2 4 2 3 2 2" xfId="15794"/>
    <cellStyle name="Normal 14 2 4 2 3 3" xfId="11570"/>
    <cellStyle name="Normal 14 2 4 2 4" xfId="5234"/>
    <cellStyle name="Normal 14 2 4 2 4 2" xfId="13682"/>
    <cellStyle name="Normal 14 2 4 2 5" xfId="9458"/>
    <cellStyle name="Normal 14 2 4 3" xfId="1712"/>
    <cellStyle name="Normal 14 2 4 3 2" xfId="3824"/>
    <cellStyle name="Normal 14 2 4 3 2 2" xfId="8050"/>
    <cellStyle name="Normal 14 2 4 3 2 2 2" xfId="16498"/>
    <cellStyle name="Normal 14 2 4 3 2 3" xfId="12274"/>
    <cellStyle name="Normal 14 2 4 3 3" xfId="5938"/>
    <cellStyle name="Normal 14 2 4 3 3 2" xfId="14386"/>
    <cellStyle name="Normal 14 2 4 3 4" xfId="10162"/>
    <cellStyle name="Normal 14 2 4 4" xfId="2768"/>
    <cellStyle name="Normal 14 2 4 4 2" xfId="6994"/>
    <cellStyle name="Normal 14 2 4 4 2 2" xfId="15442"/>
    <cellStyle name="Normal 14 2 4 4 3" xfId="11218"/>
    <cellStyle name="Normal 14 2 4 5" xfId="4882"/>
    <cellStyle name="Normal 14 2 4 5 2" xfId="13330"/>
    <cellStyle name="Normal 14 2 4 6" xfId="9106"/>
    <cellStyle name="Normal 14 2 5" xfId="826"/>
    <cellStyle name="Normal 14 2 5 2" xfId="1888"/>
    <cellStyle name="Normal 14 2 5 2 2" xfId="4000"/>
    <cellStyle name="Normal 14 2 5 2 2 2" xfId="8226"/>
    <cellStyle name="Normal 14 2 5 2 2 2 2" xfId="16674"/>
    <cellStyle name="Normal 14 2 5 2 2 3" xfId="12450"/>
    <cellStyle name="Normal 14 2 5 2 3" xfId="6114"/>
    <cellStyle name="Normal 14 2 5 2 3 2" xfId="14562"/>
    <cellStyle name="Normal 14 2 5 2 4" xfId="10338"/>
    <cellStyle name="Normal 14 2 5 3" xfId="2944"/>
    <cellStyle name="Normal 14 2 5 3 2" xfId="7170"/>
    <cellStyle name="Normal 14 2 5 3 2 2" xfId="15618"/>
    <cellStyle name="Normal 14 2 5 3 3" xfId="11394"/>
    <cellStyle name="Normal 14 2 5 4" xfId="5058"/>
    <cellStyle name="Normal 14 2 5 4 2" xfId="13506"/>
    <cellStyle name="Normal 14 2 5 5" xfId="9282"/>
    <cellStyle name="Normal 14 2 6" xfId="1178"/>
    <cellStyle name="Normal 14 2 6 2" xfId="2240"/>
    <cellStyle name="Normal 14 2 6 2 2" xfId="4352"/>
    <cellStyle name="Normal 14 2 6 2 2 2" xfId="8578"/>
    <cellStyle name="Normal 14 2 6 2 2 2 2" xfId="17026"/>
    <cellStyle name="Normal 14 2 6 2 2 3" xfId="12802"/>
    <cellStyle name="Normal 14 2 6 2 3" xfId="6466"/>
    <cellStyle name="Normal 14 2 6 2 3 2" xfId="14914"/>
    <cellStyle name="Normal 14 2 6 2 4" xfId="10690"/>
    <cellStyle name="Normal 14 2 6 3" xfId="3296"/>
    <cellStyle name="Normal 14 2 6 3 2" xfId="7522"/>
    <cellStyle name="Normal 14 2 6 3 2 2" xfId="15970"/>
    <cellStyle name="Normal 14 2 6 3 3" xfId="11746"/>
    <cellStyle name="Normal 14 2 6 4" xfId="5410"/>
    <cellStyle name="Normal 14 2 6 4 2" xfId="13858"/>
    <cellStyle name="Normal 14 2 6 5" xfId="9634"/>
    <cellStyle name="Normal 14 2 7" xfId="1360"/>
    <cellStyle name="Normal 14 2 7 2" xfId="2416"/>
    <cellStyle name="Normal 14 2 7 2 2" xfId="4528"/>
    <cellStyle name="Normal 14 2 7 2 2 2" xfId="8754"/>
    <cellStyle name="Normal 14 2 7 2 2 2 2" xfId="17202"/>
    <cellStyle name="Normal 14 2 7 2 2 3" xfId="12978"/>
    <cellStyle name="Normal 14 2 7 2 3" xfId="6642"/>
    <cellStyle name="Normal 14 2 7 2 3 2" xfId="15090"/>
    <cellStyle name="Normal 14 2 7 2 4" xfId="10866"/>
    <cellStyle name="Normal 14 2 7 3" xfId="3472"/>
    <cellStyle name="Normal 14 2 7 3 2" xfId="7698"/>
    <cellStyle name="Normal 14 2 7 3 2 2" xfId="16146"/>
    <cellStyle name="Normal 14 2 7 3 3" xfId="11922"/>
    <cellStyle name="Normal 14 2 7 4" xfId="5586"/>
    <cellStyle name="Normal 14 2 7 4 2" xfId="14034"/>
    <cellStyle name="Normal 14 2 7 5" xfId="9810"/>
    <cellStyle name="Normal 14 2 8" xfId="1536"/>
    <cellStyle name="Normal 14 2 8 2" xfId="3648"/>
    <cellStyle name="Normal 14 2 8 2 2" xfId="7874"/>
    <cellStyle name="Normal 14 2 8 2 2 2" xfId="16322"/>
    <cellStyle name="Normal 14 2 8 2 3" xfId="12098"/>
    <cellStyle name="Normal 14 2 8 3" xfId="5762"/>
    <cellStyle name="Normal 14 2 8 3 2" xfId="14210"/>
    <cellStyle name="Normal 14 2 8 4" xfId="9986"/>
    <cellStyle name="Normal 14 2 9" xfId="2592"/>
    <cellStyle name="Normal 14 2 9 2" xfId="6818"/>
    <cellStyle name="Normal 14 2 9 2 2" xfId="15266"/>
    <cellStyle name="Normal 14 2 9 3" xfId="11042"/>
    <cellStyle name="Normal 14 3" xfId="313"/>
    <cellStyle name="Normal 14 4" xfId="314"/>
    <cellStyle name="Normal 14 4 2" xfId="653"/>
    <cellStyle name="Normal 14 4 2 2" xfId="1005"/>
    <cellStyle name="Normal 14 4 2 2 2" xfId="2067"/>
    <cellStyle name="Normal 14 4 2 2 2 2" xfId="4179"/>
    <cellStyle name="Normal 14 4 2 2 2 2 2" xfId="8405"/>
    <cellStyle name="Normal 14 4 2 2 2 2 2 2" xfId="16853"/>
    <cellStyle name="Normal 14 4 2 2 2 2 3" xfId="12629"/>
    <cellStyle name="Normal 14 4 2 2 2 3" xfId="6293"/>
    <cellStyle name="Normal 14 4 2 2 2 3 2" xfId="14741"/>
    <cellStyle name="Normal 14 4 2 2 2 4" xfId="10517"/>
    <cellStyle name="Normal 14 4 2 2 3" xfId="3123"/>
    <cellStyle name="Normal 14 4 2 2 3 2" xfId="7349"/>
    <cellStyle name="Normal 14 4 2 2 3 2 2" xfId="15797"/>
    <cellStyle name="Normal 14 4 2 2 3 3" xfId="11573"/>
    <cellStyle name="Normal 14 4 2 2 4" xfId="5237"/>
    <cellStyle name="Normal 14 4 2 2 4 2" xfId="13685"/>
    <cellStyle name="Normal 14 4 2 2 5" xfId="9461"/>
    <cellStyle name="Normal 14 4 2 3" xfId="1715"/>
    <cellStyle name="Normal 14 4 2 3 2" xfId="3827"/>
    <cellStyle name="Normal 14 4 2 3 2 2" xfId="8053"/>
    <cellStyle name="Normal 14 4 2 3 2 2 2" xfId="16501"/>
    <cellStyle name="Normal 14 4 2 3 2 3" xfId="12277"/>
    <cellStyle name="Normal 14 4 2 3 3" xfId="5941"/>
    <cellStyle name="Normal 14 4 2 3 3 2" xfId="14389"/>
    <cellStyle name="Normal 14 4 2 3 4" xfId="10165"/>
    <cellStyle name="Normal 14 4 2 4" xfId="2771"/>
    <cellStyle name="Normal 14 4 2 4 2" xfId="6997"/>
    <cellStyle name="Normal 14 4 2 4 2 2" xfId="15445"/>
    <cellStyle name="Normal 14 4 2 4 3" xfId="11221"/>
    <cellStyle name="Normal 14 4 2 5" xfId="4885"/>
    <cellStyle name="Normal 14 4 2 5 2" xfId="13333"/>
    <cellStyle name="Normal 14 4 2 6" xfId="9109"/>
    <cellStyle name="Normal 14 4 3" xfId="829"/>
    <cellStyle name="Normal 14 4 3 2" xfId="1891"/>
    <cellStyle name="Normal 14 4 3 2 2" xfId="4003"/>
    <cellStyle name="Normal 14 4 3 2 2 2" xfId="8229"/>
    <cellStyle name="Normal 14 4 3 2 2 2 2" xfId="16677"/>
    <cellStyle name="Normal 14 4 3 2 2 3" xfId="12453"/>
    <cellStyle name="Normal 14 4 3 2 3" xfId="6117"/>
    <cellStyle name="Normal 14 4 3 2 3 2" xfId="14565"/>
    <cellStyle name="Normal 14 4 3 2 4" xfId="10341"/>
    <cellStyle name="Normal 14 4 3 3" xfId="2947"/>
    <cellStyle name="Normal 14 4 3 3 2" xfId="7173"/>
    <cellStyle name="Normal 14 4 3 3 2 2" xfId="15621"/>
    <cellStyle name="Normal 14 4 3 3 3" xfId="11397"/>
    <cellStyle name="Normal 14 4 3 4" xfId="5061"/>
    <cellStyle name="Normal 14 4 3 4 2" xfId="13509"/>
    <cellStyle name="Normal 14 4 3 5" xfId="9285"/>
    <cellStyle name="Normal 14 4 4" xfId="1181"/>
    <cellStyle name="Normal 14 4 4 2" xfId="2243"/>
    <cellStyle name="Normal 14 4 4 2 2" xfId="4355"/>
    <cellStyle name="Normal 14 4 4 2 2 2" xfId="8581"/>
    <cellStyle name="Normal 14 4 4 2 2 2 2" xfId="17029"/>
    <cellStyle name="Normal 14 4 4 2 2 3" xfId="12805"/>
    <cellStyle name="Normal 14 4 4 2 3" xfId="6469"/>
    <cellStyle name="Normal 14 4 4 2 3 2" xfId="14917"/>
    <cellStyle name="Normal 14 4 4 2 4" xfId="10693"/>
    <cellStyle name="Normal 14 4 4 3" xfId="3299"/>
    <cellStyle name="Normal 14 4 4 3 2" xfId="7525"/>
    <cellStyle name="Normal 14 4 4 3 2 2" xfId="15973"/>
    <cellStyle name="Normal 14 4 4 3 3" xfId="11749"/>
    <cellStyle name="Normal 14 4 4 4" xfId="5413"/>
    <cellStyle name="Normal 14 4 4 4 2" xfId="13861"/>
    <cellStyle name="Normal 14 4 4 5" xfId="9637"/>
    <cellStyle name="Normal 14 4 5" xfId="1363"/>
    <cellStyle name="Normal 14 4 5 2" xfId="2419"/>
    <cellStyle name="Normal 14 4 5 2 2" xfId="4531"/>
    <cellStyle name="Normal 14 4 5 2 2 2" xfId="8757"/>
    <cellStyle name="Normal 14 4 5 2 2 2 2" xfId="17205"/>
    <cellStyle name="Normal 14 4 5 2 2 3" xfId="12981"/>
    <cellStyle name="Normal 14 4 5 2 3" xfId="6645"/>
    <cellStyle name="Normal 14 4 5 2 3 2" xfId="15093"/>
    <cellStyle name="Normal 14 4 5 2 4" xfId="10869"/>
    <cellStyle name="Normal 14 4 5 3" xfId="3475"/>
    <cellStyle name="Normal 14 4 5 3 2" xfId="7701"/>
    <cellStyle name="Normal 14 4 5 3 2 2" xfId="16149"/>
    <cellStyle name="Normal 14 4 5 3 3" xfId="11925"/>
    <cellStyle name="Normal 14 4 5 4" xfId="5589"/>
    <cellStyle name="Normal 14 4 5 4 2" xfId="14037"/>
    <cellStyle name="Normal 14 4 5 5" xfId="9813"/>
    <cellStyle name="Normal 14 4 6" xfId="1539"/>
    <cellStyle name="Normal 14 4 6 2" xfId="3651"/>
    <cellStyle name="Normal 14 4 6 2 2" xfId="7877"/>
    <cellStyle name="Normal 14 4 6 2 2 2" xfId="16325"/>
    <cellStyle name="Normal 14 4 6 2 3" xfId="12101"/>
    <cellStyle name="Normal 14 4 6 3" xfId="5765"/>
    <cellStyle name="Normal 14 4 6 3 2" xfId="14213"/>
    <cellStyle name="Normal 14 4 6 4" xfId="9989"/>
    <cellStyle name="Normal 14 4 7" xfId="2595"/>
    <cellStyle name="Normal 14 4 7 2" xfId="6821"/>
    <cellStyle name="Normal 14 4 7 2 2" xfId="15269"/>
    <cellStyle name="Normal 14 4 7 3" xfId="11045"/>
    <cellStyle name="Normal 14 4 8" xfId="4708"/>
    <cellStyle name="Normal 14 4 8 2" xfId="13157"/>
    <cellStyle name="Normal 14 4 9" xfId="8933"/>
    <cellStyle name="Normal 14 5" xfId="315"/>
    <cellStyle name="Normal 14 5 2" xfId="654"/>
    <cellStyle name="Normal 14 5 2 2" xfId="1006"/>
    <cellStyle name="Normal 14 5 2 2 2" xfId="2068"/>
    <cellStyle name="Normal 14 5 2 2 2 2" xfId="4180"/>
    <cellStyle name="Normal 14 5 2 2 2 2 2" xfId="8406"/>
    <cellStyle name="Normal 14 5 2 2 2 2 2 2" xfId="16854"/>
    <cellStyle name="Normal 14 5 2 2 2 2 3" xfId="12630"/>
    <cellStyle name="Normal 14 5 2 2 2 3" xfId="6294"/>
    <cellStyle name="Normal 14 5 2 2 2 3 2" xfId="14742"/>
    <cellStyle name="Normal 14 5 2 2 2 4" xfId="10518"/>
    <cellStyle name="Normal 14 5 2 2 3" xfId="3124"/>
    <cellStyle name="Normal 14 5 2 2 3 2" xfId="7350"/>
    <cellStyle name="Normal 14 5 2 2 3 2 2" xfId="15798"/>
    <cellStyle name="Normal 14 5 2 2 3 3" xfId="11574"/>
    <cellStyle name="Normal 14 5 2 2 4" xfId="5238"/>
    <cellStyle name="Normal 14 5 2 2 4 2" xfId="13686"/>
    <cellStyle name="Normal 14 5 2 2 5" xfId="9462"/>
    <cellStyle name="Normal 14 5 2 3" xfId="1716"/>
    <cellStyle name="Normal 14 5 2 3 2" xfId="3828"/>
    <cellStyle name="Normal 14 5 2 3 2 2" xfId="8054"/>
    <cellStyle name="Normal 14 5 2 3 2 2 2" xfId="16502"/>
    <cellStyle name="Normal 14 5 2 3 2 3" xfId="12278"/>
    <cellStyle name="Normal 14 5 2 3 3" xfId="5942"/>
    <cellStyle name="Normal 14 5 2 3 3 2" xfId="14390"/>
    <cellStyle name="Normal 14 5 2 3 4" xfId="10166"/>
    <cellStyle name="Normal 14 5 2 4" xfId="2772"/>
    <cellStyle name="Normal 14 5 2 4 2" xfId="6998"/>
    <cellStyle name="Normal 14 5 2 4 2 2" xfId="15446"/>
    <cellStyle name="Normal 14 5 2 4 3" xfId="11222"/>
    <cellStyle name="Normal 14 5 2 5" xfId="4886"/>
    <cellStyle name="Normal 14 5 2 5 2" xfId="13334"/>
    <cellStyle name="Normal 14 5 2 6" xfId="9110"/>
    <cellStyle name="Normal 14 5 3" xfId="830"/>
    <cellStyle name="Normal 14 5 3 2" xfId="1892"/>
    <cellStyle name="Normal 14 5 3 2 2" xfId="4004"/>
    <cellStyle name="Normal 14 5 3 2 2 2" xfId="8230"/>
    <cellStyle name="Normal 14 5 3 2 2 2 2" xfId="16678"/>
    <cellStyle name="Normal 14 5 3 2 2 3" xfId="12454"/>
    <cellStyle name="Normal 14 5 3 2 3" xfId="6118"/>
    <cellStyle name="Normal 14 5 3 2 3 2" xfId="14566"/>
    <cellStyle name="Normal 14 5 3 2 4" xfId="10342"/>
    <cellStyle name="Normal 14 5 3 3" xfId="2948"/>
    <cellStyle name="Normal 14 5 3 3 2" xfId="7174"/>
    <cellStyle name="Normal 14 5 3 3 2 2" xfId="15622"/>
    <cellStyle name="Normal 14 5 3 3 3" xfId="11398"/>
    <cellStyle name="Normal 14 5 3 4" xfId="5062"/>
    <cellStyle name="Normal 14 5 3 4 2" xfId="13510"/>
    <cellStyle name="Normal 14 5 3 5" xfId="9286"/>
    <cellStyle name="Normal 14 5 4" xfId="1182"/>
    <cellStyle name="Normal 14 5 4 2" xfId="2244"/>
    <cellStyle name="Normal 14 5 4 2 2" xfId="4356"/>
    <cellStyle name="Normal 14 5 4 2 2 2" xfId="8582"/>
    <cellStyle name="Normal 14 5 4 2 2 2 2" xfId="17030"/>
    <cellStyle name="Normal 14 5 4 2 2 3" xfId="12806"/>
    <cellStyle name="Normal 14 5 4 2 3" xfId="6470"/>
    <cellStyle name="Normal 14 5 4 2 3 2" xfId="14918"/>
    <cellStyle name="Normal 14 5 4 2 4" xfId="10694"/>
    <cellStyle name="Normal 14 5 4 3" xfId="3300"/>
    <cellStyle name="Normal 14 5 4 3 2" xfId="7526"/>
    <cellStyle name="Normal 14 5 4 3 2 2" xfId="15974"/>
    <cellStyle name="Normal 14 5 4 3 3" xfId="11750"/>
    <cellStyle name="Normal 14 5 4 4" xfId="5414"/>
    <cellStyle name="Normal 14 5 4 4 2" xfId="13862"/>
    <cellStyle name="Normal 14 5 4 5" xfId="9638"/>
    <cellStyle name="Normal 14 5 5" xfId="1364"/>
    <cellStyle name="Normal 14 5 5 2" xfId="2420"/>
    <cellStyle name="Normal 14 5 5 2 2" xfId="4532"/>
    <cellStyle name="Normal 14 5 5 2 2 2" xfId="8758"/>
    <cellStyle name="Normal 14 5 5 2 2 2 2" xfId="17206"/>
    <cellStyle name="Normal 14 5 5 2 2 3" xfId="12982"/>
    <cellStyle name="Normal 14 5 5 2 3" xfId="6646"/>
    <cellStyle name="Normal 14 5 5 2 3 2" xfId="15094"/>
    <cellStyle name="Normal 14 5 5 2 4" xfId="10870"/>
    <cellStyle name="Normal 14 5 5 3" xfId="3476"/>
    <cellStyle name="Normal 14 5 5 3 2" xfId="7702"/>
    <cellStyle name="Normal 14 5 5 3 2 2" xfId="16150"/>
    <cellStyle name="Normal 14 5 5 3 3" xfId="11926"/>
    <cellStyle name="Normal 14 5 5 4" xfId="5590"/>
    <cellStyle name="Normal 14 5 5 4 2" xfId="14038"/>
    <cellStyle name="Normal 14 5 5 5" xfId="9814"/>
    <cellStyle name="Normal 14 5 6" xfId="1540"/>
    <cellStyle name="Normal 14 5 6 2" xfId="3652"/>
    <cellStyle name="Normal 14 5 6 2 2" xfId="7878"/>
    <cellStyle name="Normal 14 5 6 2 2 2" xfId="16326"/>
    <cellStyle name="Normal 14 5 6 2 3" xfId="12102"/>
    <cellStyle name="Normal 14 5 6 3" xfId="5766"/>
    <cellStyle name="Normal 14 5 6 3 2" xfId="14214"/>
    <cellStyle name="Normal 14 5 6 4" xfId="9990"/>
    <cellStyle name="Normal 14 5 7" xfId="2596"/>
    <cellStyle name="Normal 14 5 7 2" xfId="6822"/>
    <cellStyle name="Normal 14 5 7 2 2" xfId="15270"/>
    <cellStyle name="Normal 14 5 7 3" xfId="11046"/>
    <cellStyle name="Normal 14 5 8" xfId="4709"/>
    <cellStyle name="Normal 14 5 8 2" xfId="13158"/>
    <cellStyle name="Normal 14 5 9" xfId="8934"/>
    <cellStyle name="Normal 14 6" xfId="649"/>
    <cellStyle name="Normal 14 6 2" xfId="1001"/>
    <cellStyle name="Normal 14 6 2 2" xfId="2063"/>
    <cellStyle name="Normal 14 6 2 2 2" xfId="4175"/>
    <cellStyle name="Normal 14 6 2 2 2 2" xfId="8401"/>
    <cellStyle name="Normal 14 6 2 2 2 2 2" xfId="16849"/>
    <cellStyle name="Normal 14 6 2 2 2 3" xfId="12625"/>
    <cellStyle name="Normal 14 6 2 2 3" xfId="6289"/>
    <cellStyle name="Normal 14 6 2 2 3 2" xfId="14737"/>
    <cellStyle name="Normal 14 6 2 2 4" xfId="10513"/>
    <cellStyle name="Normal 14 6 2 3" xfId="3119"/>
    <cellStyle name="Normal 14 6 2 3 2" xfId="7345"/>
    <cellStyle name="Normal 14 6 2 3 2 2" xfId="15793"/>
    <cellStyle name="Normal 14 6 2 3 3" xfId="11569"/>
    <cellStyle name="Normal 14 6 2 4" xfId="5233"/>
    <cellStyle name="Normal 14 6 2 4 2" xfId="13681"/>
    <cellStyle name="Normal 14 6 2 5" xfId="9457"/>
    <cellStyle name="Normal 14 6 3" xfId="1711"/>
    <cellStyle name="Normal 14 6 3 2" xfId="3823"/>
    <cellStyle name="Normal 14 6 3 2 2" xfId="8049"/>
    <cellStyle name="Normal 14 6 3 2 2 2" xfId="16497"/>
    <cellStyle name="Normal 14 6 3 2 3" xfId="12273"/>
    <cellStyle name="Normal 14 6 3 3" xfId="5937"/>
    <cellStyle name="Normal 14 6 3 3 2" xfId="14385"/>
    <cellStyle name="Normal 14 6 3 4" xfId="10161"/>
    <cellStyle name="Normal 14 6 4" xfId="2767"/>
    <cellStyle name="Normal 14 6 4 2" xfId="6993"/>
    <cellStyle name="Normal 14 6 4 2 2" xfId="15441"/>
    <cellStyle name="Normal 14 6 4 3" xfId="11217"/>
    <cellStyle name="Normal 14 6 5" xfId="4881"/>
    <cellStyle name="Normal 14 6 5 2" xfId="13329"/>
    <cellStyle name="Normal 14 6 6" xfId="9105"/>
    <cellStyle name="Normal 14 7" xfId="825"/>
    <cellStyle name="Normal 14 7 2" xfId="1887"/>
    <cellStyle name="Normal 14 7 2 2" xfId="3999"/>
    <cellStyle name="Normal 14 7 2 2 2" xfId="8225"/>
    <cellStyle name="Normal 14 7 2 2 2 2" xfId="16673"/>
    <cellStyle name="Normal 14 7 2 2 3" xfId="12449"/>
    <cellStyle name="Normal 14 7 2 3" xfId="6113"/>
    <cellStyle name="Normal 14 7 2 3 2" xfId="14561"/>
    <cellStyle name="Normal 14 7 2 4" xfId="10337"/>
    <cellStyle name="Normal 14 7 3" xfId="2943"/>
    <cellStyle name="Normal 14 7 3 2" xfId="7169"/>
    <cellStyle name="Normal 14 7 3 2 2" xfId="15617"/>
    <cellStyle name="Normal 14 7 3 3" xfId="11393"/>
    <cellStyle name="Normal 14 7 4" xfId="5057"/>
    <cellStyle name="Normal 14 7 4 2" xfId="13505"/>
    <cellStyle name="Normal 14 7 5" xfId="9281"/>
    <cellStyle name="Normal 14 8" xfId="1177"/>
    <cellStyle name="Normal 14 8 2" xfId="2239"/>
    <cellStyle name="Normal 14 8 2 2" xfId="4351"/>
    <cellStyle name="Normal 14 8 2 2 2" xfId="8577"/>
    <cellStyle name="Normal 14 8 2 2 2 2" xfId="17025"/>
    <cellStyle name="Normal 14 8 2 2 3" xfId="12801"/>
    <cellStyle name="Normal 14 8 2 3" xfId="6465"/>
    <cellStyle name="Normal 14 8 2 3 2" xfId="14913"/>
    <cellStyle name="Normal 14 8 2 4" xfId="10689"/>
    <cellStyle name="Normal 14 8 3" xfId="3295"/>
    <cellStyle name="Normal 14 8 3 2" xfId="7521"/>
    <cellStyle name="Normal 14 8 3 2 2" xfId="15969"/>
    <cellStyle name="Normal 14 8 3 3" xfId="11745"/>
    <cellStyle name="Normal 14 8 4" xfId="5409"/>
    <cellStyle name="Normal 14 8 4 2" xfId="13857"/>
    <cellStyle name="Normal 14 8 5" xfId="9633"/>
    <cellStyle name="Normal 14 9" xfId="1359"/>
    <cellStyle name="Normal 14 9 2" xfId="2415"/>
    <cellStyle name="Normal 14 9 2 2" xfId="4527"/>
    <cellStyle name="Normal 14 9 2 2 2" xfId="8753"/>
    <cellStyle name="Normal 14 9 2 2 2 2" xfId="17201"/>
    <cellStyle name="Normal 14 9 2 2 3" xfId="12977"/>
    <cellStyle name="Normal 14 9 2 3" xfId="6641"/>
    <cellStyle name="Normal 14 9 2 3 2" xfId="15089"/>
    <cellStyle name="Normal 14 9 2 4" xfId="10865"/>
    <cellStyle name="Normal 14 9 3" xfId="3471"/>
    <cellStyle name="Normal 14 9 3 2" xfId="7697"/>
    <cellStyle name="Normal 14 9 3 2 2" xfId="16145"/>
    <cellStyle name="Normal 14 9 3 3" xfId="11921"/>
    <cellStyle name="Normal 14 9 4" xfId="5585"/>
    <cellStyle name="Normal 14 9 4 2" xfId="14033"/>
    <cellStyle name="Normal 14 9 5" xfId="9809"/>
    <cellStyle name="Normal 15" xfId="316"/>
    <cellStyle name="Normal 15 2" xfId="317"/>
    <cellStyle name="Normal 16" xfId="318"/>
    <cellStyle name="Normal 16 2" xfId="319"/>
    <cellStyle name="Normal 17" xfId="320"/>
    <cellStyle name="Normal 17 2" xfId="321"/>
    <cellStyle name="Normal 18" xfId="322"/>
    <cellStyle name="Normal 18 2" xfId="323"/>
    <cellStyle name="Normal 19" xfId="324"/>
    <cellStyle name="Normal 19 2" xfId="325"/>
    <cellStyle name="Normal 2" xfId="34"/>
    <cellStyle name="Normal 2 2" xfId="326"/>
    <cellStyle name="Normal 2 2 2" xfId="17461"/>
    <cellStyle name="Normal 2 2 3" xfId="17401"/>
    <cellStyle name="Normal 2 2 3 2" xfId="17367"/>
    <cellStyle name="Normal 2 2 4" xfId="17346"/>
    <cellStyle name="Normal 2 2 5" xfId="17430"/>
    <cellStyle name="Normal 2 3" xfId="327"/>
    <cellStyle name="Normal 2 3 2" xfId="328"/>
    <cellStyle name="Normal 2 3 2 2" xfId="17434"/>
    <cellStyle name="Normal 2 3 2 3" xfId="17406"/>
    <cellStyle name="Normal 2 3 3" xfId="329"/>
    <cellStyle name="Normal 2 3 3 10" xfId="4710"/>
    <cellStyle name="Normal 2 3 3 10 2" xfId="13159"/>
    <cellStyle name="Normal 2 3 3 11" xfId="8935"/>
    <cellStyle name="Normal 2 3 3 2" xfId="330"/>
    <cellStyle name="Normal 2 3 3 2 2" xfId="656"/>
    <cellStyle name="Normal 2 3 3 2 2 2" xfId="1008"/>
    <cellStyle name="Normal 2 3 3 2 2 2 2" xfId="2070"/>
    <cellStyle name="Normal 2 3 3 2 2 2 2 2" xfId="4182"/>
    <cellStyle name="Normal 2 3 3 2 2 2 2 2 2" xfId="8408"/>
    <cellStyle name="Normal 2 3 3 2 2 2 2 2 2 2" xfId="16856"/>
    <cellStyle name="Normal 2 3 3 2 2 2 2 2 3" xfId="12632"/>
    <cellStyle name="Normal 2 3 3 2 2 2 2 3" xfId="6296"/>
    <cellStyle name="Normal 2 3 3 2 2 2 2 3 2" xfId="14744"/>
    <cellStyle name="Normal 2 3 3 2 2 2 2 4" xfId="10520"/>
    <cellStyle name="Normal 2 3 3 2 2 2 3" xfId="3126"/>
    <cellStyle name="Normal 2 3 3 2 2 2 3 2" xfId="7352"/>
    <cellStyle name="Normal 2 3 3 2 2 2 3 2 2" xfId="15800"/>
    <cellStyle name="Normal 2 3 3 2 2 2 3 3" xfId="11576"/>
    <cellStyle name="Normal 2 3 3 2 2 2 4" xfId="5240"/>
    <cellStyle name="Normal 2 3 3 2 2 2 4 2" xfId="13688"/>
    <cellStyle name="Normal 2 3 3 2 2 2 5" xfId="9464"/>
    <cellStyle name="Normal 2 3 3 2 2 3" xfId="1718"/>
    <cellStyle name="Normal 2 3 3 2 2 3 2" xfId="3830"/>
    <cellStyle name="Normal 2 3 3 2 2 3 2 2" xfId="8056"/>
    <cellStyle name="Normal 2 3 3 2 2 3 2 2 2" xfId="16504"/>
    <cellStyle name="Normal 2 3 3 2 2 3 2 3" xfId="12280"/>
    <cellStyle name="Normal 2 3 3 2 2 3 3" xfId="5944"/>
    <cellStyle name="Normal 2 3 3 2 2 3 3 2" xfId="14392"/>
    <cellStyle name="Normal 2 3 3 2 2 3 4" xfId="10168"/>
    <cellStyle name="Normal 2 3 3 2 2 4" xfId="2774"/>
    <cellStyle name="Normal 2 3 3 2 2 4 2" xfId="7000"/>
    <cellStyle name="Normal 2 3 3 2 2 4 2 2" xfId="15448"/>
    <cellStyle name="Normal 2 3 3 2 2 4 3" xfId="11224"/>
    <cellStyle name="Normal 2 3 3 2 2 5" xfId="4888"/>
    <cellStyle name="Normal 2 3 3 2 2 5 2" xfId="13336"/>
    <cellStyle name="Normal 2 3 3 2 2 6" xfId="9112"/>
    <cellStyle name="Normal 2 3 3 2 3" xfId="832"/>
    <cellStyle name="Normal 2 3 3 2 3 2" xfId="1894"/>
    <cellStyle name="Normal 2 3 3 2 3 2 2" xfId="4006"/>
    <cellStyle name="Normal 2 3 3 2 3 2 2 2" xfId="8232"/>
    <cellStyle name="Normal 2 3 3 2 3 2 2 2 2" xfId="16680"/>
    <cellStyle name="Normal 2 3 3 2 3 2 2 3" xfId="12456"/>
    <cellStyle name="Normal 2 3 3 2 3 2 3" xfId="6120"/>
    <cellStyle name="Normal 2 3 3 2 3 2 3 2" xfId="14568"/>
    <cellStyle name="Normal 2 3 3 2 3 2 4" xfId="10344"/>
    <cellStyle name="Normal 2 3 3 2 3 3" xfId="2950"/>
    <cellStyle name="Normal 2 3 3 2 3 3 2" xfId="7176"/>
    <cellStyle name="Normal 2 3 3 2 3 3 2 2" xfId="15624"/>
    <cellStyle name="Normal 2 3 3 2 3 3 3" xfId="11400"/>
    <cellStyle name="Normal 2 3 3 2 3 4" xfId="5064"/>
    <cellStyle name="Normal 2 3 3 2 3 4 2" xfId="13512"/>
    <cellStyle name="Normal 2 3 3 2 3 5" xfId="9288"/>
    <cellStyle name="Normal 2 3 3 2 4" xfId="1184"/>
    <cellStyle name="Normal 2 3 3 2 4 2" xfId="2246"/>
    <cellStyle name="Normal 2 3 3 2 4 2 2" xfId="4358"/>
    <cellStyle name="Normal 2 3 3 2 4 2 2 2" xfId="8584"/>
    <cellStyle name="Normal 2 3 3 2 4 2 2 2 2" xfId="17032"/>
    <cellStyle name="Normal 2 3 3 2 4 2 2 3" xfId="12808"/>
    <cellStyle name="Normal 2 3 3 2 4 2 3" xfId="6472"/>
    <cellStyle name="Normal 2 3 3 2 4 2 3 2" xfId="14920"/>
    <cellStyle name="Normal 2 3 3 2 4 2 4" xfId="10696"/>
    <cellStyle name="Normal 2 3 3 2 4 3" xfId="3302"/>
    <cellStyle name="Normal 2 3 3 2 4 3 2" xfId="7528"/>
    <cellStyle name="Normal 2 3 3 2 4 3 2 2" xfId="15976"/>
    <cellStyle name="Normal 2 3 3 2 4 3 3" xfId="11752"/>
    <cellStyle name="Normal 2 3 3 2 4 4" xfId="5416"/>
    <cellStyle name="Normal 2 3 3 2 4 4 2" xfId="13864"/>
    <cellStyle name="Normal 2 3 3 2 4 5" xfId="9640"/>
    <cellStyle name="Normal 2 3 3 2 5" xfId="1366"/>
    <cellStyle name="Normal 2 3 3 2 5 2" xfId="2422"/>
    <cellStyle name="Normal 2 3 3 2 5 2 2" xfId="4534"/>
    <cellStyle name="Normal 2 3 3 2 5 2 2 2" xfId="8760"/>
    <cellStyle name="Normal 2 3 3 2 5 2 2 2 2" xfId="17208"/>
    <cellStyle name="Normal 2 3 3 2 5 2 2 3" xfId="12984"/>
    <cellStyle name="Normal 2 3 3 2 5 2 3" xfId="6648"/>
    <cellStyle name="Normal 2 3 3 2 5 2 3 2" xfId="15096"/>
    <cellStyle name="Normal 2 3 3 2 5 2 4" xfId="10872"/>
    <cellStyle name="Normal 2 3 3 2 5 3" xfId="3478"/>
    <cellStyle name="Normal 2 3 3 2 5 3 2" xfId="7704"/>
    <cellStyle name="Normal 2 3 3 2 5 3 2 2" xfId="16152"/>
    <cellStyle name="Normal 2 3 3 2 5 3 3" xfId="11928"/>
    <cellStyle name="Normal 2 3 3 2 5 4" xfId="5592"/>
    <cellStyle name="Normal 2 3 3 2 5 4 2" xfId="14040"/>
    <cellStyle name="Normal 2 3 3 2 5 5" xfId="9816"/>
    <cellStyle name="Normal 2 3 3 2 6" xfId="1542"/>
    <cellStyle name="Normal 2 3 3 2 6 2" xfId="3654"/>
    <cellStyle name="Normal 2 3 3 2 6 2 2" xfId="7880"/>
    <cellStyle name="Normal 2 3 3 2 6 2 2 2" xfId="16328"/>
    <cellStyle name="Normal 2 3 3 2 6 2 3" xfId="12104"/>
    <cellStyle name="Normal 2 3 3 2 6 3" xfId="5768"/>
    <cellStyle name="Normal 2 3 3 2 6 3 2" xfId="14216"/>
    <cellStyle name="Normal 2 3 3 2 6 4" xfId="9992"/>
    <cellStyle name="Normal 2 3 3 2 7" xfId="2598"/>
    <cellStyle name="Normal 2 3 3 2 7 2" xfId="6824"/>
    <cellStyle name="Normal 2 3 3 2 7 2 2" xfId="15272"/>
    <cellStyle name="Normal 2 3 3 2 7 3" xfId="11048"/>
    <cellStyle name="Normal 2 3 3 2 8" xfId="4711"/>
    <cellStyle name="Normal 2 3 3 2 8 2" xfId="13160"/>
    <cellStyle name="Normal 2 3 3 2 9" xfId="8936"/>
    <cellStyle name="Normal 2 3 3 3" xfId="331"/>
    <cellStyle name="Normal 2 3 3 3 2" xfId="657"/>
    <cellStyle name="Normal 2 3 3 3 2 2" xfId="1009"/>
    <cellStyle name="Normal 2 3 3 3 2 2 2" xfId="2071"/>
    <cellStyle name="Normal 2 3 3 3 2 2 2 2" xfId="4183"/>
    <cellStyle name="Normal 2 3 3 3 2 2 2 2 2" xfId="8409"/>
    <cellStyle name="Normal 2 3 3 3 2 2 2 2 2 2" xfId="16857"/>
    <cellStyle name="Normal 2 3 3 3 2 2 2 2 3" xfId="12633"/>
    <cellStyle name="Normal 2 3 3 3 2 2 2 3" xfId="6297"/>
    <cellStyle name="Normal 2 3 3 3 2 2 2 3 2" xfId="14745"/>
    <cellStyle name="Normal 2 3 3 3 2 2 2 4" xfId="10521"/>
    <cellStyle name="Normal 2 3 3 3 2 2 3" xfId="3127"/>
    <cellStyle name="Normal 2 3 3 3 2 2 3 2" xfId="7353"/>
    <cellStyle name="Normal 2 3 3 3 2 2 3 2 2" xfId="15801"/>
    <cellStyle name="Normal 2 3 3 3 2 2 3 3" xfId="11577"/>
    <cellStyle name="Normal 2 3 3 3 2 2 4" xfId="5241"/>
    <cellStyle name="Normal 2 3 3 3 2 2 4 2" xfId="13689"/>
    <cellStyle name="Normal 2 3 3 3 2 2 5" xfId="9465"/>
    <cellStyle name="Normal 2 3 3 3 2 3" xfId="1719"/>
    <cellStyle name="Normal 2 3 3 3 2 3 2" xfId="3831"/>
    <cellStyle name="Normal 2 3 3 3 2 3 2 2" xfId="8057"/>
    <cellStyle name="Normal 2 3 3 3 2 3 2 2 2" xfId="16505"/>
    <cellStyle name="Normal 2 3 3 3 2 3 2 3" xfId="12281"/>
    <cellStyle name="Normal 2 3 3 3 2 3 3" xfId="5945"/>
    <cellStyle name="Normal 2 3 3 3 2 3 3 2" xfId="14393"/>
    <cellStyle name="Normal 2 3 3 3 2 3 4" xfId="10169"/>
    <cellStyle name="Normal 2 3 3 3 2 4" xfId="2775"/>
    <cellStyle name="Normal 2 3 3 3 2 4 2" xfId="7001"/>
    <cellStyle name="Normal 2 3 3 3 2 4 2 2" xfId="15449"/>
    <cellStyle name="Normal 2 3 3 3 2 4 3" xfId="11225"/>
    <cellStyle name="Normal 2 3 3 3 2 5" xfId="4889"/>
    <cellStyle name="Normal 2 3 3 3 2 5 2" xfId="13337"/>
    <cellStyle name="Normal 2 3 3 3 2 6" xfId="9113"/>
    <cellStyle name="Normal 2 3 3 3 3" xfId="833"/>
    <cellStyle name="Normal 2 3 3 3 3 2" xfId="1895"/>
    <cellStyle name="Normal 2 3 3 3 3 2 2" xfId="4007"/>
    <cellStyle name="Normal 2 3 3 3 3 2 2 2" xfId="8233"/>
    <cellStyle name="Normal 2 3 3 3 3 2 2 2 2" xfId="16681"/>
    <cellStyle name="Normal 2 3 3 3 3 2 2 3" xfId="12457"/>
    <cellStyle name="Normal 2 3 3 3 3 2 3" xfId="6121"/>
    <cellStyle name="Normal 2 3 3 3 3 2 3 2" xfId="14569"/>
    <cellStyle name="Normal 2 3 3 3 3 2 4" xfId="10345"/>
    <cellStyle name="Normal 2 3 3 3 3 3" xfId="2951"/>
    <cellStyle name="Normal 2 3 3 3 3 3 2" xfId="7177"/>
    <cellStyle name="Normal 2 3 3 3 3 3 2 2" xfId="15625"/>
    <cellStyle name="Normal 2 3 3 3 3 3 3" xfId="11401"/>
    <cellStyle name="Normal 2 3 3 3 3 4" xfId="5065"/>
    <cellStyle name="Normal 2 3 3 3 3 4 2" xfId="13513"/>
    <cellStyle name="Normal 2 3 3 3 3 5" xfId="9289"/>
    <cellStyle name="Normal 2 3 3 3 4" xfId="1185"/>
    <cellStyle name="Normal 2 3 3 3 4 2" xfId="2247"/>
    <cellStyle name="Normal 2 3 3 3 4 2 2" xfId="4359"/>
    <cellStyle name="Normal 2 3 3 3 4 2 2 2" xfId="8585"/>
    <cellStyle name="Normal 2 3 3 3 4 2 2 2 2" xfId="17033"/>
    <cellStyle name="Normal 2 3 3 3 4 2 2 3" xfId="12809"/>
    <cellStyle name="Normal 2 3 3 3 4 2 3" xfId="6473"/>
    <cellStyle name="Normal 2 3 3 3 4 2 3 2" xfId="14921"/>
    <cellStyle name="Normal 2 3 3 3 4 2 4" xfId="10697"/>
    <cellStyle name="Normal 2 3 3 3 4 3" xfId="3303"/>
    <cellStyle name="Normal 2 3 3 3 4 3 2" xfId="7529"/>
    <cellStyle name="Normal 2 3 3 3 4 3 2 2" xfId="15977"/>
    <cellStyle name="Normal 2 3 3 3 4 3 3" xfId="11753"/>
    <cellStyle name="Normal 2 3 3 3 4 4" xfId="5417"/>
    <cellStyle name="Normal 2 3 3 3 4 4 2" xfId="13865"/>
    <cellStyle name="Normal 2 3 3 3 4 5" xfId="9641"/>
    <cellStyle name="Normal 2 3 3 3 5" xfId="1367"/>
    <cellStyle name="Normal 2 3 3 3 5 2" xfId="2423"/>
    <cellStyle name="Normal 2 3 3 3 5 2 2" xfId="4535"/>
    <cellStyle name="Normal 2 3 3 3 5 2 2 2" xfId="8761"/>
    <cellStyle name="Normal 2 3 3 3 5 2 2 2 2" xfId="17209"/>
    <cellStyle name="Normal 2 3 3 3 5 2 2 3" xfId="12985"/>
    <cellStyle name="Normal 2 3 3 3 5 2 3" xfId="6649"/>
    <cellStyle name="Normal 2 3 3 3 5 2 3 2" xfId="15097"/>
    <cellStyle name="Normal 2 3 3 3 5 2 4" xfId="10873"/>
    <cellStyle name="Normal 2 3 3 3 5 3" xfId="3479"/>
    <cellStyle name="Normal 2 3 3 3 5 3 2" xfId="7705"/>
    <cellStyle name="Normal 2 3 3 3 5 3 2 2" xfId="16153"/>
    <cellStyle name="Normal 2 3 3 3 5 3 3" xfId="11929"/>
    <cellStyle name="Normal 2 3 3 3 5 4" xfId="5593"/>
    <cellStyle name="Normal 2 3 3 3 5 4 2" xfId="14041"/>
    <cellStyle name="Normal 2 3 3 3 5 5" xfId="9817"/>
    <cellStyle name="Normal 2 3 3 3 6" xfId="1543"/>
    <cellStyle name="Normal 2 3 3 3 6 2" xfId="3655"/>
    <cellStyle name="Normal 2 3 3 3 6 2 2" xfId="7881"/>
    <cellStyle name="Normal 2 3 3 3 6 2 2 2" xfId="16329"/>
    <cellStyle name="Normal 2 3 3 3 6 2 3" xfId="12105"/>
    <cellStyle name="Normal 2 3 3 3 6 3" xfId="5769"/>
    <cellStyle name="Normal 2 3 3 3 6 3 2" xfId="14217"/>
    <cellStyle name="Normal 2 3 3 3 6 4" xfId="9993"/>
    <cellStyle name="Normal 2 3 3 3 7" xfId="2599"/>
    <cellStyle name="Normal 2 3 3 3 7 2" xfId="6825"/>
    <cellStyle name="Normal 2 3 3 3 7 2 2" xfId="15273"/>
    <cellStyle name="Normal 2 3 3 3 7 3" xfId="11049"/>
    <cellStyle name="Normal 2 3 3 3 8" xfId="4712"/>
    <cellStyle name="Normal 2 3 3 3 8 2" xfId="13161"/>
    <cellStyle name="Normal 2 3 3 3 9" xfId="8937"/>
    <cellStyle name="Normal 2 3 3 4" xfId="655"/>
    <cellStyle name="Normal 2 3 3 4 2" xfId="1007"/>
    <cellStyle name="Normal 2 3 3 4 2 2" xfId="2069"/>
    <cellStyle name="Normal 2 3 3 4 2 2 2" xfId="4181"/>
    <cellStyle name="Normal 2 3 3 4 2 2 2 2" xfId="8407"/>
    <cellStyle name="Normal 2 3 3 4 2 2 2 2 2" xfId="16855"/>
    <cellStyle name="Normal 2 3 3 4 2 2 2 3" xfId="12631"/>
    <cellStyle name="Normal 2 3 3 4 2 2 3" xfId="6295"/>
    <cellStyle name="Normal 2 3 3 4 2 2 3 2" xfId="14743"/>
    <cellStyle name="Normal 2 3 3 4 2 2 4" xfId="10519"/>
    <cellStyle name="Normal 2 3 3 4 2 3" xfId="3125"/>
    <cellStyle name="Normal 2 3 3 4 2 3 2" xfId="7351"/>
    <cellStyle name="Normal 2 3 3 4 2 3 2 2" xfId="15799"/>
    <cellStyle name="Normal 2 3 3 4 2 3 3" xfId="11575"/>
    <cellStyle name="Normal 2 3 3 4 2 4" xfId="5239"/>
    <cellStyle name="Normal 2 3 3 4 2 4 2" xfId="13687"/>
    <cellStyle name="Normal 2 3 3 4 2 5" xfId="9463"/>
    <cellStyle name="Normal 2 3 3 4 3" xfId="1717"/>
    <cellStyle name="Normal 2 3 3 4 3 2" xfId="3829"/>
    <cellStyle name="Normal 2 3 3 4 3 2 2" xfId="8055"/>
    <cellStyle name="Normal 2 3 3 4 3 2 2 2" xfId="16503"/>
    <cellStyle name="Normal 2 3 3 4 3 2 3" xfId="12279"/>
    <cellStyle name="Normal 2 3 3 4 3 3" xfId="5943"/>
    <cellStyle name="Normal 2 3 3 4 3 3 2" xfId="14391"/>
    <cellStyle name="Normal 2 3 3 4 3 4" xfId="10167"/>
    <cellStyle name="Normal 2 3 3 4 4" xfId="2773"/>
    <cellStyle name="Normal 2 3 3 4 4 2" xfId="6999"/>
    <cellStyle name="Normal 2 3 3 4 4 2 2" xfId="15447"/>
    <cellStyle name="Normal 2 3 3 4 4 3" xfId="11223"/>
    <cellStyle name="Normal 2 3 3 4 5" xfId="4887"/>
    <cellStyle name="Normal 2 3 3 4 5 2" xfId="13335"/>
    <cellStyle name="Normal 2 3 3 4 6" xfId="9111"/>
    <cellStyle name="Normal 2 3 3 5" xfId="831"/>
    <cellStyle name="Normal 2 3 3 5 2" xfId="1893"/>
    <cellStyle name="Normal 2 3 3 5 2 2" xfId="4005"/>
    <cellStyle name="Normal 2 3 3 5 2 2 2" xfId="8231"/>
    <cellStyle name="Normal 2 3 3 5 2 2 2 2" xfId="16679"/>
    <cellStyle name="Normal 2 3 3 5 2 2 3" xfId="12455"/>
    <cellStyle name="Normal 2 3 3 5 2 3" xfId="6119"/>
    <cellStyle name="Normal 2 3 3 5 2 3 2" xfId="14567"/>
    <cellStyle name="Normal 2 3 3 5 2 4" xfId="10343"/>
    <cellStyle name="Normal 2 3 3 5 3" xfId="2949"/>
    <cellStyle name="Normal 2 3 3 5 3 2" xfId="7175"/>
    <cellStyle name="Normal 2 3 3 5 3 2 2" xfId="15623"/>
    <cellStyle name="Normal 2 3 3 5 3 3" xfId="11399"/>
    <cellStyle name="Normal 2 3 3 5 4" xfId="5063"/>
    <cellStyle name="Normal 2 3 3 5 4 2" xfId="13511"/>
    <cellStyle name="Normal 2 3 3 5 5" xfId="9287"/>
    <cellStyle name="Normal 2 3 3 6" xfId="1183"/>
    <cellStyle name="Normal 2 3 3 6 2" xfId="2245"/>
    <cellStyle name="Normal 2 3 3 6 2 2" xfId="4357"/>
    <cellStyle name="Normal 2 3 3 6 2 2 2" xfId="8583"/>
    <cellStyle name="Normal 2 3 3 6 2 2 2 2" xfId="17031"/>
    <cellStyle name="Normal 2 3 3 6 2 2 3" xfId="12807"/>
    <cellStyle name="Normal 2 3 3 6 2 3" xfId="6471"/>
    <cellStyle name="Normal 2 3 3 6 2 3 2" xfId="14919"/>
    <cellStyle name="Normal 2 3 3 6 2 4" xfId="10695"/>
    <cellStyle name="Normal 2 3 3 6 3" xfId="3301"/>
    <cellStyle name="Normal 2 3 3 6 3 2" xfId="7527"/>
    <cellStyle name="Normal 2 3 3 6 3 2 2" xfId="15975"/>
    <cellStyle name="Normal 2 3 3 6 3 3" xfId="11751"/>
    <cellStyle name="Normal 2 3 3 6 4" xfId="5415"/>
    <cellStyle name="Normal 2 3 3 6 4 2" xfId="13863"/>
    <cellStyle name="Normal 2 3 3 6 5" xfId="9639"/>
    <cellStyle name="Normal 2 3 3 7" xfId="1365"/>
    <cellStyle name="Normal 2 3 3 7 2" xfId="2421"/>
    <cellStyle name="Normal 2 3 3 7 2 2" xfId="4533"/>
    <cellStyle name="Normal 2 3 3 7 2 2 2" xfId="8759"/>
    <cellStyle name="Normal 2 3 3 7 2 2 2 2" xfId="17207"/>
    <cellStyle name="Normal 2 3 3 7 2 2 3" xfId="12983"/>
    <cellStyle name="Normal 2 3 3 7 2 3" xfId="6647"/>
    <cellStyle name="Normal 2 3 3 7 2 3 2" xfId="15095"/>
    <cellStyle name="Normal 2 3 3 7 2 4" xfId="10871"/>
    <cellStyle name="Normal 2 3 3 7 3" xfId="3477"/>
    <cellStyle name="Normal 2 3 3 7 3 2" xfId="7703"/>
    <cellStyle name="Normal 2 3 3 7 3 2 2" xfId="16151"/>
    <cellStyle name="Normal 2 3 3 7 3 3" xfId="11927"/>
    <cellStyle name="Normal 2 3 3 7 4" xfId="5591"/>
    <cellStyle name="Normal 2 3 3 7 4 2" xfId="14039"/>
    <cellStyle name="Normal 2 3 3 7 5" xfId="9815"/>
    <cellStyle name="Normal 2 3 3 8" xfId="1541"/>
    <cellStyle name="Normal 2 3 3 8 2" xfId="3653"/>
    <cellStyle name="Normal 2 3 3 8 2 2" xfId="7879"/>
    <cellStyle name="Normal 2 3 3 8 2 2 2" xfId="16327"/>
    <cellStyle name="Normal 2 3 3 8 2 3" xfId="12103"/>
    <cellStyle name="Normal 2 3 3 8 3" xfId="5767"/>
    <cellStyle name="Normal 2 3 3 8 3 2" xfId="14215"/>
    <cellStyle name="Normal 2 3 3 8 4" xfId="9991"/>
    <cellStyle name="Normal 2 3 3 9" xfId="2597"/>
    <cellStyle name="Normal 2 3 3 9 2" xfId="6823"/>
    <cellStyle name="Normal 2 3 3 9 2 2" xfId="15271"/>
    <cellStyle name="Normal 2 3 3 9 3" xfId="11047"/>
    <cellStyle name="Normal 2 4" xfId="332"/>
    <cellStyle name="Normal 2 4 2" xfId="333"/>
    <cellStyle name="Normal 2 4 2 2" xfId="17390"/>
    <cellStyle name="Normal 2 4 2 3" xfId="17450"/>
    <cellStyle name="Normal 2 4 3" xfId="334"/>
    <cellStyle name="Normal 2 4 3 10" xfId="4713"/>
    <cellStyle name="Normal 2 4 3 10 2" xfId="13162"/>
    <cellStyle name="Normal 2 4 3 11" xfId="8938"/>
    <cellStyle name="Normal 2 4 3 2" xfId="335"/>
    <cellStyle name="Normal 2 4 3 2 2" xfId="659"/>
    <cellStyle name="Normal 2 4 3 2 2 2" xfId="1011"/>
    <cellStyle name="Normal 2 4 3 2 2 2 2" xfId="2073"/>
    <cellStyle name="Normal 2 4 3 2 2 2 2 2" xfId="4185"/>
    <cellStyle name="Normal 2 4 3 2 2 2 2 2 2" xfId="8411"/>
    <cellStyle name="Normal 2 4 3 2 2 2 2 2 2 2" xfId="16859"/>
    <cellStyle name="Normal 2 4 3 2 2 2 2 2 3" xfId="12635"/>
    <cellStyle name="Normal 2 4 3 2 2 2 2 3" xfId="6299"/>
    <cellStyle name="Normal 2 4 3 2 2 2 2 3 2" xfId="14747"/>
    <cellStyle name="Normal 2 4 3 2 2 2 2 4" xfId="10523"/>
    <cellStyle name="Normal 2 4 3 2 2 2 3" xfId="3129"/>
    <cellStyle name="Normal 2 4 3 2 2 2 3 2" xfId="7355"/>
    <cellStyle name="Normal 2 4 3 2 2 2 3 2 2" xfId="15803"/>
    <cellStyle name="Normal 2 4 3 2 2 2 3 3" xfId="11579"/>
    <cellStyle name="Normal 2 4 3 2 2 2 4" xfId="5243"/>
    <cellStyle name="Normal 2 4 3 2 2 2 4 2" xfId="13691"/>
    <cellStyle name="Normal 2 4 3 2 2 2 5" xfId="9467"/>
    <cellStyle name="Normal 2 4 3 2 2 3" xfId="1721"/>
    <cellStyle name="Normal 2 4 3 2 2 3 2" xfId="3833"/>
    <cellStyle name="Normal 2 4 3 2 2 3 2 2" xfId="8059"/>
    <cellStyle name="Normal 2 4 3 2 2 3 2 2 2" xfId="16507"/>
    <cellStyle name="Normal 2 4 3 2 2 3 2 3" xfId="12283"/>
    <cellStyle name="Normal 2 4 3 2 2 3 3" xfId="5947"/>
    <cellStyle name="Normal 2 4 3 2 2 3 3 2" xfId="14395"/>
    <cellStyle name="Normal 2 4 3 2 2 3 4" xfId="10171"/>
    <cellStyle name="Normal 2 4 3 2 2 4" xfId="2777"/>
    <cellStyle name="Normal 2 4 3 2 2 4 2" xfId="7003"/>
    <cellStyle name="Normal 2 4 3 2 2 4 2 2" xfId="15451"/>
    <cellStyle name="Normal 2 4 3 2 2 4 3" xfId="11227"/>
    <cellStyle name="Normal 2 4 3 2 2 5" xfId="4891"/>
    <cellStyle name="Normal 2 4 3 2 2 5 2" xfId="13339"/>
    <cellStyle name="Normal 2 4 3 2 2 6" xfId="9115"/>
    <cellStyle name="Normal 2 4 3 2 3" xfId="835"/>
    <cellStyle name="Normal 2 4 3 2 3 2" xfId="1897"/>
    <cellStyle name="Normal 2 4 3 2 3 2 2" xfId="4009"/>
    <cellStyle name="Normal 2 4 3 2 3 2 2 2" xfId="8235"/>
    <cellStyle name="Normal 2 4 3 2 3 2 2 2 2" xfId="16683"/>
    <cellStyle name="Normal 2 4 3 2 3 2 2 3" xfId="12459"/>
    <cellStyle name="Normal 2 4 3 2 3 2 3" xfId="6123"/>
    <cellStyle name="Normal 2 4 3 2 3 2 3 2" xfId="14571"/>
    <cellStyle name="Normal 2 4 3 2 3 2 4" xfId="10347"/>
    <cellStyle name="Normal 2 4 3 2 3 3" xfId="2953"/>
    <cellStyle name="Normal 2 4 3 2 3 3 2" xfId="7179"/>
    <cellStyle name="Normal 2 4 3 2 3 3 2 2" xfId="15627"/>
    <cellStyle name="Normal 2 4 3 2 3 3 3" xfId="11403"/>
    <cellStyle name="Normal 2 4 3 2 3 4" xfId="5067"/>
    <cellStyle name="Normal 2 4 3 2 3 4 2" xfId="13515"/>
    <cellStyle name="Normal 2 4 3 2 3 5" xfId="9291"/>
    <cellStyle name="Normal 2 4 3 2 4" xfId="1187"/>
    <cellStyle name="Normal 2 4 3 2 4 2" xfId="2249"/>
    <cellStyle name="Normal 2 4 3 2 4 2 2" xfId="4361"/>
    <cellStyle name="Normal 2 4 3 2 4 2 2 2" xfId="8587"/>
    <cellStyle name="Normal 2 4 3 2 4 2 2 2 2" xfId="17035"/>
    <cellStyle name="Normal 2 4 3 2 4 2 2 3" xfId="12811"/>
    <cellStyle name="Normal 2 4 3 2 4 2 3" xfId="6475"/>
    <cellStyle name="Normal 2 4 3 2 4 2 3 2" xfId="14923"/>
    <cellStyle name="Normal 2 4 3 2 4 2 4" xfId="10699"/>
    <cellStyle name="Normal 2 4 3 2 4 3" xfId="3305"/>
    <cellStyle name="Normal 2 4 3 2 4 3 2" xfId="7531"/>
    <cellStyle name="Normal 2 4 3 2 4 3 2 2" xfId="15979"/>
    <cellStyle name="Normal 2 4 3 2 4 3 3" xfId="11755"/>
    <cellStyle name="Normal 2 4 3 2 4 4" xfId="5419"/>
    <cellStyle name="Normal 2 4 3 2 4 4 2" xfId="13867"/>
    <cellStyle name="Normal 2 4 3 2 4 5" xfId="9643"/>
    <cellStyle name="Normal 2 4 3 2 5" xfId="1369"/>
    <cellStyle name="Normal 2 4 3 2 5 2" xfId="2425"/>
    <cellStyle name="Normal 2 4 3 2 5 2 2" xfId="4537"/>
    <cellStyle name="Normal 2 4 3 2 5 2 2 2" xfId="8763"/>
    <cellStyle name="Normal 2 4 3 2 5 2 2 2 2" xfId="17211"/>
    <cellStyle name="Normal 2 4 3 2 5 2 2 3" xfId="12987"/>
    <cellStyle name="Normal 2 4 3 2 5 2 3" xfId="6651"/>
    <cellStyle name="Normal 2 4 3 2 5 2 3 2" xfId="15099"/>
    <cellStyle name="Normal 2 4 3 2 5 2 4" xfId="10875"/>
    <cellStyle name="Normal 2 4 3 2 5 3" xfId="3481"/>
    <cellStyle name="Normal 2 4 3 2 5 3 2" xfId="7707"/>
    <cellStyle name="Normal 2 4 3 2 5 3 2 2" xfId="16155"/>
    <cellStyle name="Normal 2 4 3 2 5 3 3" xfId="11931"/>
    <cellStyle name="Normal 2 4 3 2 5 4" xfId="5595"/>
    <cellStyle name="Normal 2 4 3 2 5 4 2" xfId="14043"/>
    <cellStyle name="Normal 2 4 3 2 5 5" xfId="9819"/>
    <cellStyle name="Normal 2 4 3 2 6" xfId="1545"/>
    <cellStyle name="Normal 2 4 3 2 6 2" xfId="3657"/>
    <cellStyle name="Normal 2 4 3 2 6 2 2" xfId="7883"/>
    <cellStyle name="Normal 2 4 3 2 6 2 2 2" xfId="16331"/>
    <cellStyle name="Normal 2 4 3 2 6 2 3" xfId="12107"/>
    <cellStyle name="Normal 2 4 3 2 6 3" xfId="5771"/>
    <cellStyle name="Normal 2 4 3 2 6 3 2" xfId="14219"/>
    <cellStyle name="Normal 2 4 3 2 6 4" xfId="9995"/>
    <cellStyle name="Normal 2 4 3 2 7" xfId="2601"/>
    <cellStyle name="Normal 2 4 3 2 7 2" xfId="6827"/>
    <cellStyle name="Normal 2 4 3 2 7 2 2" xfId="15275"/>
    <cellStyle name="Normal 2 4 3 2 7 3" xfId="11051"/>
    <cellStyle name="Normal 2 4 3 2 8" xfId="4714"/>
    <cellStyle name="Normal 2 4 3 2 8 2" xfId="13163"/>
    <cellStyle name="Normal 2 4 3 2 9" xfId="8939"/>
    <cellStyle name="Normal 2 4 3 3" xfId="336"/>
    <cellStyle name="Normal 2 4 3 3 2" xfId="660"/>
    <cellStyle name="Normal 2 4 3 3 2 2" xfId="1012"/>
    <cellStyle name="Normal 2 4 3 3 2 2 2" xfId="2074"/>
    <cellStyle name="Normal 2 4 3 3 2 2 2 2" xfId="4186"/>
    <cellStyle name="Normal 2 4 3 3 2 2 2 2 2" xfId="8412"/>
    <cellStyle name="Normal 2 4 3 3 2 2 2 2 2 2" xfId="16860"/>
    <cellStyle name="Normal 2 4 3 3 2 2 2 2 3" xfId="12636"/>
    <cellStyle name="Normal 2 4 3 3 2 2 2 3" xfId="6300"/>
    <cellStyle name="Normal 2 4 3 3 2 2 2 3 2" xfId="14748"/>
    <cellStyle name="Normal 2 4 3 3 2 2 2 4" xfId="10524"/>
    <cellStyle name="Normal 2 4 3 3 2 2 3" xfId="3130"/>
    <cellStyle name="Normal 2 4 3 3 2 2 3 2" xfId="7356"/>
    <cellStyle name="Normal 2 4 3 3 2 2 3 2 2" xfId="15804"/>
    <cellStyle name="Normal 2 4 3 3 2 2 3 3" xfId="11580"/>
    <cellStyle name="Normal 2 4 3 3 2 2 4" xfId="5244"/>
    <cellStyle name="Normal 2 4 3 3 2 2 4 2" xfId="13692"/>
    <cellStyle name="Normal 2 4 3 3 2 2 5" xfId="9468"/>
    <cellStyle name="Normal 2 4 3 3 2 3" xfId="1722"/>
    <cellStyle name="Normal 2 4 3 3 2 3 2" xfId="3834"/>
    <cellStyle name="Normal 2 4 3 3 2 3 2 2" xfId="8060"/>
    <cellStyle name="Normal 2 4 3 3 2 3 2 2 2" xfId="16508"/>
    <cellStyle name="Normal 2 4 3 3 2 3 2 3" xfId="12284"/>
    <cellStyle name="Normal 2 4 3 3 2 3 3" xfId="5948"/>
    <cellStyle name="Normal 2 4 3 3 2 3 3 2" xfId="14396"/>
    <cellStyle name="Normal 2 4 3 3 2 3 4" xfId="10172"/>
    <cellStyle name="Normal 2 4 3 3 2 4" xfId="2778"/>
    <cellStyle name="Normal 2 4 3 3 2 4 2" xfId="7004"/>
    <cellStyle name="Normal 2 4 3 3 2 4 2 2" xfId="15452"/>
    <cellStyle name="Normal 2 4 3 3 2 4 3" xfId="11228"/>
    <cellStyle name="Normal 2 4 3 3 2 5" xfId="4892"/>
    <cellStyle name="Normal 2 4 3 3 2 5 2" xfId="13340"/>
    <cellStyle name="Normal 2 4 3 3 2 6" xfId="9116"/>
    <cellStyle name="Normal 2 4 3 3 3" xfId="836"/>
    <cellStyle name="Normal 2 4 3 3 3 2" xfId="1898"/>
    <cellStyle name="Normal 2 4 3 3 3 2 2" xfId="4010"/>
    <cellStyle name="Normal 2 4 3 3 3 2 2 2" xfId="8236"/>
    <cellStyle name="Normal 2 4 3 3 3 2 2 2 2" xfId="16684"/>
    <cellStyle name="Normal 2 4 3 3 3 2 2 3" xfId="12460"/>
    <cellStyle name="Normal 2 4 3 3 3 2 3" xfId="6124"/>
    <cellStyle name="Normal 2 4 3 3 3 2 3 2" xfId="14572"/>
    <cellStyle name="Normal 2 4 3 3 3 2 4" xfId="10348"/>
    <cellStyle name="Normal 2 4 3 3 3 3" xfId="2954"/>
    <cellStyle name="Normal 2 4 3 3 3 3 2" xfId="7180"/>
    <cellStyle name="Normal 2 4 3 3 3 3 2 2" xfId="15628"/>
    <cellStyle name="Normal 2 4 3 3 3 3 3" xfId="11404"/>
    <cellStyle name="Normal 2 4 3 3 3 4" xfId="5068"/>
    <cellStyle name="Normal 2 4 3 3 3 4 2" xfId="13516"/>
    <cellStyle name="Normal 2 4 3 3 3 5" xfId="9292"/>
    <cellStyle name="Normal 2 4 3 3 4" xfId="1188"/>
    <cellStyle name="Normal 2 4 3 3 4 2" xfId="2250"/>
    <cellStyle name="Normal 2 4 3 3 4 2 2" xfId="4362"/>
    <cellStyle name="Normal 2 4 3 3 4 2 2 2" xfId="8588"/>
    <cellStyle name="Normal 2 4 3 3 4 2 2 2 2" xfId="17036"/>
    <cellStyle name="Normal 2 4 3 3 4 2 2 3" xfId="12812"/>
    <cellStyle name="Normal 2 4 3 3 4 2 3" xfId="6476"/>
    <cellStyle name="Normal 2 4 3 3 4 2 3 2" xfId="14924"/>
    <cellStyle name="Normal 2 4 3 3 4 2 4" xfId="10700"/>
    <cellStyle name="Normal 2 4 3 3 4 3" xfId="3306"/>
    <cellStyle name="Normal 2 4 3 3 4 3 2" xfId="7532"/>
    <cellStyle name="Normal 2 4 3 3 4 3 2 2" xfId="15980"/>
    <cellStyle name="Normal 2 4 3 3 4 3 3" xfId="11756"/>
    <cellStyle name="Normal 2 4 3 3 4 4" xfId="5420"/>
    <cellStyle name="Normal 2 4 3 3 4 4 2" xfId="13868"/>
    <cellStyle name="Normal 2 4 3 3 4 5" xfId="9644"/>
    <cellStyle name="Normal 2 4 3 3 5" xfId="1370"/>
    <cellStyle name="Normal 2 4 3 3 5 2" xfId="2426"/>
    <cellStyle name="Normal 2 4 3 3 5 2 2" xfId="4538"/>
    <cellStyle name="Normal 2 4 3 3 5 2 2 2" xfId="8764"/>
    <cellStyle name="Normal 2 4 3 3 5 2 2 2 2" xfId="17212"/>
    <cellStyle name="Normal 2 4 3 3 5 2 2 3" xfId="12988"/>
    <cellStyle name="Normal 2 4 3 3 5 2 3" xfId="6652"/>
    <cellStyle name="Normal 2 4 3 3 5 2 3 2" xfId="15100"/>
    <cellStyle name="Normal 2 4 3 3 5 2 4" xfId="10876"/>
    <cellStyle name="Normal 2 4 3 3 5 3" xfId="3482"/>
    <cellStyle name="Normal 2 4 3 3 5 3 2" xfId="7708"/>
    <cellStyle name="Normal 2 4 3 3 5 3 2 2" xfId="16156"/>
    <cellStyle name="Normal 2 4 3 3 5 3 3" xfId="11932"/>
    <cellStyle name="Normal 2 4 3 3 5 4" xfId="5596"/>
    <cellStyle name="Normal 2 4 3 3 5 4 2" xfId="14044"/>
    <cellStyle name="Normal 2 4 3 3 5 5" xfId="9820"/>
    <cellStyle name="Normal 2 4 3 3 6" xfId="1546"/>
    <cellStyle name="Normal 2 4 3 3 6 2" xfId="3658"/>
    <cellStyle name="Normal 2 4 3 3 6 2 2" xfId="7884"/>
    <cellStyle name="Normal 2 4 3 3 6 2 2 2" xfId="16332"/>
    <cellStyle name="Normal 2 4 3 3 6 2 3" xfId="12108"/>
    <cellStyle name="Normal 2 4 3 3 6 3" xfId="5772"/>
    <cellStyle name="Normal 2 4 3 3 6 3 2" xfId="14220"/>
    <cellStyle name="Normal 2 4 3 3 6 4" xfId="9996"/>
    <cellStyle name="Normal 2 4 3 3 7" xfId="2602"/>
    <cellStyle name="Normal 2 4 3 3 7 2" xfId="6828"/>
    <cellStyle name="Normal 2 4 3 3 7 2 2" xfId="15276"/>
    <cellStyle name="Normal 2 4 3 3 7 3" xfId="11052"/>
    <cellStyle name="Normal 2 4 3 3 8" xfId="4715"/>
    <cellStyle name="Normal 2 4 3 3 8 2" xfId="13164"/>
    <cellStyle name="Normal 2 4 3 3 9" xfId="8940"/>
    <cellStyle name="Normal 2 4 3 4" xfId="658"/>
    <cellStyle name="Normal 2 4 3 4 2" xfId="1010"/>
    <cellStyle name="Normal 2 4 3 4 2 2" xfId="2072"/>
    <cellStyle name="Normal 2 4 3 4 2 2 2" xfId="4184"/>
    <cellStyle name="Normal 2 4 3 4 2 2 2 2" xfId="8410"/>
    <cellStyle name="Normal 2 4 3 4 2 2 2 2 2" xfId="16858"/>
    <cellStyle name="Normal 2 4 3 4 2 2 2 3" xfId="12634"/>
    <cellStyle name="Normal 2 4 3 4 2 2 3" xfId="6298"/>
    <cellStyle name="Normal 2 4 3 4 2 2 3 2" xfId="14746"/>
    <cellStyle name="Normal 2 4 3 4 2 2 4" xfId="10522"/>
    <cellStyle name="Normal 2 4 3 4 2 3" xfId="3128"/>
    <cellStyle name="Normal 2 4 3 4 2 3 2" xfId="7354"/>
    <cellStyle name="Normal 2 4 3 4 2 3 2 2" xfId="15802"/>
    <cellStyle name="Normal 2 4 3 4 2 3 3" xfId="11578"/>
    <cellStyle name="Normal 2 4 3 4 2 4" xfId="5242"/>
    <cellStyle name="Normal 2 4 3 4 2 4 2" xfId="13690"/>
    <cellStyle name="Normal 2 4 3 4 2 5" xfId="9466"/>
    <cellStyle name="Normal 2 4 3 4 3" xfId="1720"/>
    <cellStyle name="Normal 2 4 3 4 3 2" xfId="3832"/>
    <cellStyle name="Normal 2 4 3 4 3 2 2" xfId="8058"/>
    <cellStyle name="Normal 2 4 3 4 3 2 2 2" xfId="16506"/>
    <cellStyle name="Normal 2 4 3 4 3 2 3" xfId="12282"/>
    <cellStyle name="Normal 2 4 3 4 3 3" xfId="5946"/>
    <cellStyle name="Normal 2 4 3 4 3 3 2" xfId="14394"/>
    <cellStyle name="Normal 2 4 3 4 3 4" xfId="10170"/>
    <cellStyle name="Normal 2 4 3 4 4" xfId="2776"/>
    <cellStyle name="Normal 2 4 3 4 4 2" xfId="7002"/>
    <cellStyle name="Normal 2 4 3 4 4 2 2" xfId="15450"/>
    <cellStyle name="Normal 2 4 3 4 4 3" xfId="11226"/>
    <cellStyle name="Normal 2 4 3 4 5" xfId="4890"/>
    <cellStyle name="Normal 2 4 3 4 5 2" xfId="13338"/>
    <cellStyle name="Normal 2 4 3 4 6" xfId="9114"/>
    <cellStyle name="Normal 2 4 3 5" xfId="834"/>
    <cellStyle name="Normal 2 4 3 5 2" xfId="1896"/>
    <cellStyle name="Normal 2 4 3 5 2 2" xfId="4008"/>
    <cellStyle name="Normal 2 4 3 5 2 2 2" xfId="8234"/>
    <cellStyle name="Normal 2 4 3 5 2 2 2 2" xfId="16682"/>
    <cellStyle name="Normal 2 4 3 5 2 2 3" xfId="12458"/>
    <cellStyle name="Normal 2 4 3 5 2 3" xfId="6122"/>
    <cellStyle name="Normal 2 4 3 5 2 3 2" xfId="14570"/>
    <cellStyle name="Normal 2 4 3 5 2 4" xfId="10346"/>
    <cellStyle name="Normal 2 4 3 5 3" xfId="2952"/>
    <cellStyle name="Normal 2 4 3 5 3 2" xfId="7178"/>
    <cellStyle name="Normal 2 4 3 5 3 2 2" xfId="15626"/>
    <cellStyle name="Normal 2 4 3 5 3 3" xfId="11402"/>
    <cellStyle name="Normal 2 4 3 5 4" xfId="5066"/>
    <cellStyle name="Normal 2 4 3 5 4 2" xfId="13514"/>
    <cellStyle name="Normal 2 4 3 5 5" xfId="9290"/>
    <cellStyle name="Normal 2 4 3 6" xfId="1186"/>
    <cellStyle name="Normal 2 4 3 6 2" xfId="2248"/>
    <cellStyle name="Normal 2 4 3 6 2 2" xfId="4360"/>
    <cellStyle name="Normal 2 4 3 6 2 2 2" xfId="8586"/>
    <cellStyle name="Normal 2 4 3 6 2 2 2 2" xfId="17034"/>
    <cellStyle name="Normal 2 4 3 6 2 2 3" xfId="12810"/>
    <cellStyle name="Normal 2 4 3 6 2 3" xfId="6474"/>
    <cellStyle name="Normal 2 4 3 6 2 3 2" xfId="14922"/>
    <cellStyle name="Normal 2 4 3 6 2 4" xfId="10698"/>
    <cellStyle name="Normal 2 4 3 6 3" xfId="3304"/>
    <cellStyle name="Normal 2 4 3 6 3 2" xfId="7530"/>
    <cellStyle name="Normal 2 4 3 6 3 2 2" xfId="15978"/>
    <cellStyle name="Normal 2 4 3 6 3 3" xfId="11754"/>
    <cellStyle name="Normal 2 4 3 6 4" xfId="5418"/>
    <cellStyle name="Normal 2 4 3 6 4 2" xfId="13866"/>
    <cellStyle name="Normal 2 4 3 6 5" xfId="9642"/>
    <cellStyle name="Normal 2 4 3 7" xfId="1368"/>
    <cellStyle name="Normal 2 4 3 7 2" xfId="2424"/>
    <cellStyle name="Normal 2 4 3 7 2 2" xfId="4536"/>
    <cellStyle name="Normal 2 4 3 7 2 2 2" xfId="8762"/>
    <cellStyle name="Normal 2 4 3 7 2 2 2 2" xfId="17210"/>
    <cellStyle name="Normal 2 4 3 7 2 2 3" xfId="12986"/>
    <cellStyle name="Normal 2 4 3 7 2 3" xfId="6650"/>
    <cellStyle name="Normal 2 4 3 7 2 3 2" xfId="15098"/>
    <cellStyle name="Normal 2 4 3 7 2 4" xfId="10874"/>
    <cellStyle name="Normal 2 4 3 7 3" xfId="3480"/>
    <cellStyle name="Normal 2 4 3 7 3 2" xfId="7706"/>
    <cellStyle name="Normal 2 4 3 7 3 2 2" xfId="16154"/>
    <cellStyle name="Normal 2 4 3 7 3 3" xfId="11930"/>
    <cellStyle name="Normal 2 4 3 7 4" xfId="5594"/>
    <cellStyle name="Normal 2 4 3 7 4 2" xfId="14042"/>
    <cellStyle name="Normal 2 4 3 7 5" xfId="9818"/>
    <cellStyle name="Normal 2 4 3 8" xfId="1544"/>
    <cellStyle name="Normal 2 4 3 8 2" xfId="3656"/>
    <cellStyle name="Normal 2 4 3 8 2 2" xfId="7882"/>
    <cellStyle name="Normal 2 4 3 8 2 2 2" xfId="16330"/>
    <cellStyle name="Normal 2 4 3 8 2 3" xfId="12106"/>
    <cellStyle name="Normal 2 4 3 8 3" xfId="5770"/>
    <cellStyle name="Normal 2 4 3 8 3 2" xfId="14218"/>
    <cellStyle name="Normal 2 4 3 8 4" xfId="9994"/>
    <cellStyle name="Normal 2 4 3 9" xfId="2600"/>
    <cellStyle name="Normal 2 4 3 9 2" xfId="6826"/>
    <cellStyle name="Normal 2 4 3 9 2 2" xfId="15274"/>
    <cellStyle name="Normal 2 4 3 9 3" xfId="11050"/>
    <cellStyle name="Normal 2 5" xfId="337"/>
    <cellStyle name="Normal 2 5 2" xfId="338"/>
    <cellStyle name="Normal 2 5 3" xfId="339"/>
    <cellStyle name="Normal 20" xfId="340"/>
    <cellStyle name="Normal 21" xfId="341"/>
    <cellStyle name="Normal 22" xfId="342"/>
    <cellStyle name="Normal 23" xfId="343"/>
    <cellStyle name="Normal 24" xfId="344"/>
    <cellStyle name="Normal 25" xfId="345"/>
    <cellStyle name="Normal 26" xfId="346"/>
    <cellStyle name="Normal 27" xfId="347"/>
    <cellStyle name="Normal 28" xfId="348"/>
    <cellStyle name="Normal 29" xfId="349"/>
    <cellStyle name="Normal 29 10" xfId="4716"/>
    <cellStyle name="Normal 29 10 2" xfId="13165"/>
    <cellStyle name="Normal 29 11" xfId="8941"/>
    <cellStyle name="Normal 29 2" xfId="350"/>
    <cellStyle name="Normal 29 2 2" xfId="662"/>
    <cellStyle name="Normal 29 2 2 2" xfId="1014"/>
    <cellStyle name="Normal 29 2 2 2 2" xfId="2076"/>
    <cellStyle name="Normal 29 2 2 2 2 2" xfId="4188"/>
    <cellStyle name="Normal 29 2 2 2 2 2 2" xfId="8414"/>
    <cellStyle name="Normal 29 2 2 2 2 2 2 2" xfId="16862"/>
    <cellStyle name="Normal 29 2 2 2 2 2 3" xfId="12638"/>
    <cellStyle name="Normal 29 2 2 2 2 3" xfId="6302"/>
    <cellStyle name="Normal 29 2 2 2 2 3 2" xfId="14750"/>
    <cellStyle name="Normal 29 2 2 2 2 4" xfId="10526"/>
    <cellStyle name="Normal 29 2 2 2 3" xfId="3132"/>
    <cellStyle name="Normal 29 2 2 2 3 2" xfId="7358"/>
    <cellStyle name="Normal 29 2 2 2 3 2 2" xfId="15806"/>
    <cellStyle name="Normal 29 2 2 2 3 3" xfId="11582"/>
    <cellStyle name="Normal 29 2 2 2 4" xfId="5246"/>
    <cellStyle name="Normal 29 2 2 2 4 2" xfId="13694"/>
    <cellStyle name="Normal 29 2 2 2 5" xfId="9470"/>
    <cellStyle name="Normal 29 2 2 3" xfId="1724"/>
    <cellStyle name="Normal 29 2 2 3 2" xfId="3836"/>
    <cellStyle name="Normal 29 2 2 3 2 2" xfId="8062"/>
    <cellStyle name="Normal 29 2 2 3 2 2 2" xfId="16510"/>
    <cellStyle name="Normal 29 2 2 3 2 3" xfId="12286"/>
    <cellStyle name="Normal 29 2 2 3 3" xfId="5950"/>
    <cellStyle name="Normal 29 2 2 3 3 2" xfId="14398"/>
    <cellStyle name="Normal 29 2 2 3 4" xfId="10174"/>
    <cellStyle name="Normal 29 2 2 4" xfId="2780"/>
    <cellStyle name="Normal 29 2 2 4 2" xfId="7006"/>
    <cellStyle name="Normal 29 2 2 4 2 2" xfId="15454"/>
    <cellStyle name="Normal 29 2 2 4 3" xfId="11230"/>
    <cellStyle name="Normal 29 2 2 5" xfId="4894"/>
    <cellStyle name="Normal 29 2 2 5 2" xfId="13342"/>
    <cellStyle name="Normal 29 2 2 6" xfId="9118"/>
    <cellStyle name="Normal 29 2 3" xfId="838"/>
    <cellStyle name="Normal 29 2 3 2" xfId="1900"/>
    <cellStyle name="Normal 29 2 3 2 2" xfId="4012"/>
    <cellStyle name="Normal 29 2 3 2 2 2" xfId="8238"/>
    <cellStyle name="Normal 29 2 3 2 2 2 2" xfId="16686"/>
    <cellStyle name="Normal 29 2 3 2 2 3" xfId="12462"/>
    <cellStyle name="Normal 29 2 3 2 3" xfId="6126"/>
    <cellStyle name="Normal 29 2 3 2 3 2" xfId="14574"/>
    <cellStyle name="Normal 29 2 3 2 4" xfId="10350"/>
    <cellStyle name="Normal 29 2 3 3" xfId="2956"/>
    <cellStyle name="Normal 29 2 3 3 2" xfId="7182"/>
    <cellStyle name="Normal 29 2 3 3 2 2" xfId="15630"/>
    <cellStyle name="Normal 29 2 3 3 3" xfId="11406"/>
    <cellStyle name="Normal 29 2 3 4" xfId="5070"/>
    <cellStyle name="Normal 29 2 3 4 2" xfId="13518"/>
    <cellStyle name="Normal 29 2 3 5" xfId="9294"/>
    <cellStyle name="Normal 29 2 4" xfId="1190"/>
    <cellStyle name="Normal 29 2 4 2" xfId="2252"/>
    <cellStyle name="Normal 29 2 4 2 2" xfId="4364"/>
    <cellStyle name="Normal 29 2 4 2 2 2" xfId="8590"/>
    <cellStyle name="Normal 29 2 4 2 2 2 2" xfId="17038"/>
    <cellStyle name="Normal 29 2 4 2 2 3" xfId="12814"/>
    <cellStyle name="Normal 29 2 4 2 3" xfId="6478"/>
    <cellStyle name="Normal 29 2 4 2 3 2" xfId="14926"/>
    <cellStyle name="Normal 29 2 4 2 4" xfId="10702"/>
    <cellStyle name="Normal 29 2 4 3" xfId="3308"/>
    <cellStyle name="Normal 29 2 4 3 2" xfId="7534"/>
    <cellStyle name="Normal 29 2 4 3 2 2" xfId="15982"/>
    <cellStyle name="Normal 29 2 4 3 3" xfId="11758"/>
    <cellStyle name="Normal 29 2 4 4" xfId="5422"/>
    <cellStyle name="Normal 29 2 4 4 2" xfId="13870"/>
    <cellStyle name="Normal 29 2 4 5" xfId="9646"/>
    <cellStyle name="Normal 29 2 5" xfId="1372"/>
    <cellStyle name="Normal 29 2 5 2" xfId="2428"/>
    <cellStyle name="Normal 29 2 5 2 2" xfId="4540"/>
    <cellStyle name="Normal 29 2 5 2 2 2" xfId="8766"/>
    <cellStyle name="Normal 29 2 5 2 2 2 2" xfId="17214"/>
    <cellStyle name="Normal 29 2 5 2 2 3" xfId="12990"/>
    <cellStyle name="Normal 29 2 5 2 3" xfId="6654"/>
    <cellStyle name="Normal 29 2 5 2 3 2" xfId="15102"/>
    <cellStyle name="Normal 29 2 5 2 4" xfId="10878"/>
    <cellStyle name="Normal 29 2 5 3" xfId="3484"/>
    <cellStyle name="Normal 29 2 5 3 2" xfId="7710"/>
    <cellStyle name="Normal 29 2 5 3 2 2" xfId="16158"/>
    <cellStyle name="Normal 29 2 5 3 3" xfId="11934"/>
    <cellStyle name="Normal 29 2 5 4" xfId="5598"/>
    <cellStyle name="Normal 29 2 5 4 2" xfId="14046"/>
    <cellStyle name="Normal 29 2 5 5" xfId="9822"/>
    <cellStyle name="Normal 29 2 6" xfId="1548"/>
    <cellStyle name="Normal 29 2 6 2" xfId="3660"/>
    <cellStyle name="Normal 29 2 6 2 2" xfId="7886"/>
    <cellStyle name="Normal 29 2 6 2 2 2" xfId="16334"/>
    <cellStyle name="Normal 29 2 6 2 3" xfId="12110"/>
    <cellStyle name="Normal 29 2 6 3" xfId="5774"/>
    <cellStyle name="Normal 29 2 6 3 2" xfId="14222"/>
    <cellStyle name="Normal 29 2 6 4" xfId="9998"/>
    <cellStyle name="Normal 29 2 7" xfId="2604"/>
    <cellStyle name="Normal 29 2 7 2" xfId="6830"/>
    <cellStyle name="Normal 29 2 7 2 2" xfId="15278"/>
    <cellStyle name="Normal 29 2 7 3" xfId="11054"/>
    <cellStyle name="Normal 29 2 8" xfId="4717"/>
    <cellStyle name="Normal 29 2 8 2" xfId="13166"/>
    <cellStyle name="Normal 29 2 9" xfId="8942"/>
    <cellStyle name="Normal 29 3" xfId="351"/>
    <cellStyle name="Normal 29 3 2" xfId="663"/>
    <cellStyle name="Normal 29 3 2 2" xfId="1015"/>
    <cellStyle name="Normal 29 3 2 2 2" xfId="2077"/>
    <cellStyle name="Normal 29 3 2 2 2 2" xfId="4189"/>
    <cellStyle name="Normal 29 3 2 2 2 2 2" xfId="8415"/>
    <cellStyle name="Normal 29 3 2 2 2 2 2 2" xfId="16863"/>
    <cellStyle name="Normal 29 3 2 2 2 2 3" xfId="12639"/>
    <cellStyle name="Normal 29 3 2 2 2 3" xfId="6303"/>
    <cellStyle name="Normal 29 3 2 2 2 3 2" xfId="14751"/>
    <cellStyle name="Normal 29 3 2 2 2 4" xfId="10527"/>
    <cellStyle name="Normal 29 3 2 2 3" xfId="3133"/>
    <cellStyle name="Normal 29 3 2 2 3 2" xfId="7359"/>
    <cellStyle name="Normal 29 3 2 2 3 2 2" xfId="15807"/>
    <cellStyle name="Normal 29 3 2 2 3 3" xfId="11583"/>
    <cellStyle name="Normal 29 3 2 2 4" xfId="5247"/>
    <cellStyle name="Normal 29 3 2 2 4 2" xfId="13695"/>
    <cellStyle name="Normal 29 3 2 2 5" xfId="9471"/>
    <cellStyle name="Normal 29 3 2 3" xfId="1725"/>
    <cellStyle name="Normal 29 3 2 3 2" xfId="3837"/>
    <cellStyle name="Normal 29 3 2 3 2 2" xfId="8063"/>
    <cellStyle name="Normal 29 3 2 3 2 2 2" xfId="16511"/>
    <cellStyle name="Normal 29 3 2 3 2 3" xfId="12287"/>
    <cellStyle name="Normal 29 3 2 3 3" xfId="5951"/>
    <cellStyle name="Normal 29 3 2 3 3 2" xfId="14399"/>
    <cellStyle name="Normal 29 3 2 3 4" xfId="10175"/>
    <cellStyle name="Normal 29 3 2 4" xfId="2781"/>
    <cellStyle name="Normal 29 3 2 4 2" xfId="7007"/>
    <cellStyle name="Normal 29 3 2 4 2 2" xfId="15455"/>
    <cellStyle name="Normal 29 3 2 4 3" xfId="11231"/>
    <cellStyle name="Normal 29 3 2 5" xfId="4895"/>
    <cellStyle name="Normal 29 3 2 5 2" xfId="13343"/>
    <cellStyle name="Normal 29 3 2 6" xfId="9119"/>
    <cellStyle name="Normal 29 3 3" xfId="839"/>
    <cellStyle name="Normal 29 3 3 2" xfId="1901"/>
    <cellStyle name="Normal 29 3 3 2 2" xfId="4013"/>
    <cellStyle name="Normal 29 3 3 2 2 2" xfId="8239"/>
    <cellStyle name="Normal 29 3 3 2 2 2 2" xfId="16687"/>
    <cellStyle name="Normal 29 3 3 2 2 3" xfId="12463"/>
    <cellStyle name="Normal 29 3 3 2 3" xfId="6127"/>
    <cellStyle name="Normal 29 3 3 2 3 2" xfId="14575"/>
    <cellStyle name="Normal 29 3 3 2 4" xfId="10351"/>
    <cellStyle name="Normal 29 3 3 3" xfId="2957"/>
    <cellStyle name="Normal 29 3 3 3 2" xfId="7183"/>
    <cellStyle name="Normal 29 3 3 3 2 2" xfId="15631"/>
    <cellStyle name="Normal 29 3 3 3 3" xfId="11407"/>
    <cellStyle name="Normal 29 3 3 4" xfId="5071"/>
    <cellStyle name="Normal 29 3 3 4 2" xfId="13519"/>
    <cellStyle name="Normal 29 3 3 5" xfId="9295"/>
    <cellStyle name="Normal 29 3 4" xfId="1191"/>
    <cellStyle name="Normal 29 3 4 2" xfId="2253"/>
    <cellStyle name="Normal 29 3 4 2 2" xfId="4365"/>
    <cellStyle name="Normal 29 3 4 2 2 2" xfId="8591"/>
    <cellStyle name="Normal 29 3 4 2 2 2 2" xfId="17039"/>
    <cellStyle name="Normal 29 3 4 2 2 3" xfId="12815"/>
    <cellStyle name="Normal 29 3 4 2 3" xfId="6479"/>
    <cellStyle name="Normal 29 3 4 2 3 2" xfId="14927"/>
    <cellStyle name="Normal 29 3 4 2 4" xfId="10703"/>
    <cellStyle name="Normal 29 3 4 3" xfId="3309"/>
    <cellStyle name="Normal 29 3 4 3 2" xfId="7535"/>
    <cellStyle name="Normal 29 3 4 3 2 2" xfId="15983"/>
    <cellStyle name="Normal 29 3 4 3 3" xfId="11759"/>
    <cellStyle name="Normal 29 3 4 4" xfId="5423"/>
    <cellStyle name="Normal 29 3 4 4 2" xfId="13871"/>
    <cellStyle name="Normal 29 3 4 5" xfId="9647"/>
    <cellStyle name="Normal 29 3 5" xfId="1373"/>
    <cellStyle name="Normal 29 3 5 2" xfId="2429"/>
    <cellStyle name="Normal 29 3 5 2 2" xfId="4541"/>
    <cellStyle name="Normal 29 3 5 2 2 2" xfId="8767"/>
    <cellStyle name="Normal 29 3 5 2 2 2 2" xfId="17215"/>
    <cellStyle name="Normal 29 3 5 2 2 3" xfId="12991"/>
    <cellStyle name="Normal 29 3 5 2 3" xfId="6655"/>
    <cellStyle name="Normal 29 3 5 2 3 2" xfId="15103"/>
    <cellStyle name="Normal 29 3 5 2 4" xfId="10879"/>
    <cellStyle name="Normal 29 3 5 3" xfId="3485"/>
    <cellStyle name="Normal 29 3 5 3 2" xfId="7711"/>
    <cellStyle name="Normal 29 3 5 3 2 2" xfId="16159"/>
    <cellStyle name="Normal 29 3 5 3 3" xfId="11935"/>
    <cellStyle name="Normal 29 3 5 4" xfId="5599"/>
    <cellStyle name="Normal 29 3 5 4 2" xfId="14047"/>
    <cellStyle name="Normal 29 3 5 5" xfId="9823"/>
    <cellStyle name="Normal 29 3 6" xfId="1549"/>
    <cellStyle name="Normal 29 3 6 2" xfId="3661"/>
    <cellStyle name="Normal 29 3 6 2 2" xfId="7887"/>
    <cellStyle name="Normal 29 3 6 2 2 2" xfId="16335"/>
    <cellStyle name="Normal 29 3 6 2 3" xfId="12111"/>
    <cellStyle name="Normal 29 3 6 3" xfId="5775"/>
    <cellStyle name="Normal 29 3 6 3 2" xfId="14223"/>
    <cellStyle name="Normal 29 3 6 4" xfId="9999"/>
    <cellStyle name="Normal 29 3 7" xfId="2605"/>
    <cellStyle name="Normal 29 3 7 2" xfId="6831"/>
    <cellStyle name="Normal 29 3 7 2 2" xfId="15279"/>
    <cellStyle name="Normal 29 3 7 3" xfId="11055"/>
    <cellStyle name="Normal 29 3 8" xfId="4718"/>
    <cellStyle name="Normal 29 3 8 2" xfId="13167"/>
    <cellStyle name="Normal 29 3 9" xfId="8943"/>
    <cellStyle name="Normal 29 4" xfId="661"/>
    <cellStyle name="Normal 29 4 2" xfId="1013"/>
    <cellStyle name="Normal 29 4 2 2" xfId="2075"/>
    <cellStyle name="Normal 29 4 2 2 2" xfId="4187"/>
    <cellStyle name="Normal 29 4 2 2 2 2" xfId="8413"/>
    <cellStyle name="Normal 29 4 2 2 2 2 2" xfId="16861"/>
    <cellStyle name="Normal 29 4 2 2 2 3" xfId="12637"/>
    <cellStyle name="Normal 29 4 2 2 3" xfId="6301"/>
    <cellStyle name="Normal 29 4 2 2 3 2" xfId="14749"/>
    <cellStyle name="Normal 29 4 2 2 4" xfId="10525"/>
    <cellStyle name="Normal 29 4 2 3" xfId="3131"/>
    <cellStyle name="Normal 29 4 2 3 2" xfId="7357"/>
    <cellStyle name="Normal 29 4 2 3 2 2" xfId="15805"/>
    <cellStyle name="Normal 29 4 2 3 3" xfId="11581"/>
    <cellStyle name="Normal 29 4 2 4" xfId="5245"/>
    <cellStyle name="Normal 29 4 2 4 2" xfId="13693"/>
    <cellStyle name="Normal 29 4 2 5" xfId="9469"/>
    <cellStyle name="Normal 29 4 3" xfId="1723"/>
    <cellStyle name="Normal 29 4 3 2" xfId="3835"/>
    <cellStyle name="Normal 29 4 3 2 2" xfId="8061"/>
    <cellStyle name="Normal 29 4 3 2 2 2" xfId="16509"/>
    <cellStyle name="Normal 29 4 3 2 3" xfId="12285"/>
    <cellStyle name="Normal 29 4 3 3" xfId="5949"/>
    <cellStyle name="Normal 29 4 3 3 2" xfId="14397"/>
    <cellStyle name="Normal 29 4 3 4" xfId="10173"/>
    <cellStyle name="Normal 29 4 4" xfId="2779"/>
    <cellStyle name="Normal 29 4 4 2" xfId="7005"/>
    <cellStyle name="Normal 29 4 4 2 2" xfId="15453"/>
    <cellStyle name="Normal 29 4 4 3" xfId="11229"/>
    <cellStyle name="Normal 29 4 5" xfId="4893"/>
    <cellStyle name="Normal 29 4 5 2" xfId="13341"/>
    <cellStyle name="Normal 29 4 6" xfId="9117"/>
    <cellStyle name="Normal 29 5" xfId="837"/>
    <cellStyle name="Normal 29 5 2" xfId="1899"/>
    <cellStyle name="Normal 29 5 2 2" xfId="4011"/>
    <cellStyle name="Normal 29 5 2 2 2" xfId="8237"/>
    <cellStyle name="Normal 29 5 2 2 2 2" xfId="16685"/>
    <cellStyle name="Normal 29 5 2 2 3" xfId="12461"/>
    <cellStyle name="Normal 29 5 2 3" xfId="6125"/>
    <cellStyle name="Normal 29 5 2 3 2" xfId="14573"/>
    <cellStyle name="Normal 29 5 2 4" xfId="10349"/>
    <cellStyle name="Normal 29 5 3" xfId="2955"/>
    <cellStyle name="Normal 29 5 3 2" xfId="7181"/>
    <cellStyle name="Normal 29 5 3 2 2" xfId="15629"/>
    <cellStyle name="Normal 29 5 3 3" xfId="11405"/>
    <cellStyle name="Normal 29 5 4" xfId="5069"/>
    <cellStyle name="Normal 29 5 4 2" xfId="13517"/>
    <cellStyle name="Normal 29 5 5" xfId="9293"/>
    <cellStyle name="Normal 29 6" xfId="1189"/>
    <cellStyle name="Normal 29 6 2" xfId="2251"/>
    <cellStyle name="Normal 29 6 2 2" xfId="4363"/>
    <cellStyle name="Normal 29 6 2 2 2" xfId="8589"/>
    <cellStyle name="Normal 29 6 2 2 2 2" xfId="17037"/>
    <cellStyle name="Normal 29 6 2 2 3" xfId="12813"/>
    <cellStyle name="Normal 29 6 2 3" xfId="6477"/>
    <cellStyle name="Normal 29 6 2 3 2" xfId="14925"/>
    <cellStyle name="Normal 29 6 2 4" xfId="10701"/>
    <cellStyle name="Normal 29 6 3" xfId="3307"/>
    <cellStyle name="Normal 29 6 3 2" xfId="7533"/>
    <cellStyle name="Normal 29 6 3 2 2" xfId="15981"/>
    <cellStyle name="Normal 29 6 3 3" xfId="11757"/>
    <cellStyle name="Normal 29 6 4" xfId="5421"/>
    <cellStyle name="Normal 29 6 4 2" xfId="13869"/>
    <cellStyle name="Normal 29 6 5" xfId="9645"/>
    <cellStyle name="Normal 29 7" xfId="1371"/>
    <cellStyle name="Normal 29 7 2" xfId="2427"/>
    <cellStyle name="Normal 29 7 2 2" xfId="4539"/>
    <cellStyle name="Normal 29 7 2 2 2" xfId="8765"/>
    <cellStyle name="Normal 29 7 2 2 2 2" xfId="17213"/>
    <cellStyle name="Normal 29 7 2 2 3" xfId="12989"/>
    <cellStyle name="Normal 29 7 2 3" xfId="6653"/>
    <cellStyle name="Normal 29 7 2 3 2" xfId="15101"/>
    <cellStyle name="Normal 29 7 2 4" xfId="10877"/>
    <cellStyle name="Normal 29 7 3" xfId="3483"/>
    <cellStyle name="Normal 29 7 3 2" xfId="7709"/>
    <cellStyle name="Normal 29 7 3 2 2" xfId="16157"/>
    <cellStyle name="Normal 29 7 3 3" xfId="11933"/>
    <cellStyle name="Normal 29 7 4" xfId="5597"/>
    <cellStyle name="Normal 29 7 4 2" xfId="14045"/>
    <cellStyle name="Normal 29 7 5" xfId="9821"/>
    <cellStyle name="Normal 29 8" xfId="1547"/>
    <cellStyle name="Normal 29 8 2" xfId="3659"/>
    <cellStyle name="Normal 29 8 2 2" xfId="7885"/>
    <cellStyle name="Normal 29 8 2 2 2" xfId="16333"/>
    <cellStyle name="Normal 29 8 2 3" xfId="12109"/>
    <cellStyle name="Normal 29 8 3" xfId="5773"/>
    <cellStyle name="Normal 29 8 3 2" xfId="14221"/>
    <cellStyle name="Normal 29 8 4" xfId="9997"/>
    <cellStyle name="Normal 29 9" xfId="2603"/>
    <cellStyle name="Normal 29 9 2" xfId="6829"/>
    <cellStyle name="Normal 29 9 2 2" xfId="15277"/>
    <cellStyle name="Normal 29 9 3" xfId="11053"/>
    <cellStyle name="Normal 3" xfId="352"/>
    <cellStyle name="Normal 3 2" xfId="353"/>
    <cellStyle name="Normal 3 2 2" xfId="354"/>
    <cellStyle name="Normal 3 2 2 2" xfId="17443"/>
    <cellStyle name="Normal 3 2 2 3" xfId="17415"/>
    <cellStyle name="Normal 3 2 3" xfId="355"/>
    <cellStyle name="Normal 3 2 3 10" xfId="4719"/>
    <cellStyle name="Normal 3 2 3 10 2" xfId="13168"/>
    <cellStyle name="Normal 3 2 3 11" xfId="8944"/>
    <cellStyle name="Normal 3 2 3 2" xfId="356"/>
    <cellStyle name="Normal 3 2 3 2 2" xfId="665"/>
    <cellStyle name="Normal 3 2 3 2 2 2" xfId="1017"/>
    <cellStyle name="Normal 3 2 3 2 2 2 2" xfId="2079"/>
    <cellStyle name="Normal 3 2 3 2 2 2 2 2" xfId="4191"/>
    <cellStyle name="Normal 3 2 3 2 2 2 2 2 2" xfId="8417"/>
    <cellStyle name="Normal 3 2 3 2 2 2 2 2 2 2" xfId="16865"/>
    <cellStyle name="Normal 3 2 3 2 2 2 2 2 3" xfId="12641"/>
    <cellStyle name="Normal 3 2 3 2 2 2 2 3" xfId="6305"/>
    <cellStyle name="Normal 3 2 3 2 2 2 2 3 2" xfId="14753"/>
    <cellStyle name="Normal 3 2 3 2 2 2 2 4" xfId="10529"/>
    <cellStyle name="Normal 3 2 3 2 2 2 3" xfId="3135"/>
    <cellStyle name="Normal 3 2 3 2 2 2 3 2" xfId="7361"/>
    <cellStyle name="Normal 3 2 3 2 2 2 3 2 2" xfId="15809"/>
    <cellStyle name="Normal 3 2 3 2 2 2 3 3" xfId="11585"/>
    <cellStyle name="Normal 3 2 3 2 2 2 4" xfId="5249"/>
    <cellStyle name="Normal 3 2 3 2 2 2 4 2" xfId="13697"/>
    <cellStyle name="Normal 3 2 3 2 2 2 5" xfId="9473"/>
    <cellStyle name="Normal 3 2 3 2 2 3" xfId="1727"/>
    <cellStyle name="Normal 3 2 3 2 2 3 2" xfId="3839"/>
    <cellStyle name="Normal 3 2 3 2 2 3 2 2" xfId="8065"/>
    <cellStyle name="Normal 3 2 3 2 2 3 2 2 2" xfId="16513"/>
    <cellStyle name="Normal 3 2 3 2 2 3 2 3" xfId="12289"/>
    <cellStyle name="Normal 3 2 3 2 2 3 3" xfId="5953"/>
    <cellStyle name="Normal 3 2 3 2 2 3 3 2" xfId="14401"/>
    <cellStyle name="Normal 3 2 3 2 2 3 4" xfId="10177"/>
    <cellStyle name="Normal 3 2 3 2 2 4" xfId="2783"/>
    <cellStyle name="Normal 3 2 3 2 2 4 2" xfId="7009"/>
    <cellStyle name="Normal 3 2 3 2 2 4 2 2" xfId="15457"/>
    <cellStyle name="Normal 3 2 3 2 2 4 3" xfId="11233"/>
    <cellStyle name="Normal 3 2 3 2 2 5" xfId="4897"/>
    <cellStyle name="Normal 3 2 3 2 2 5 2" xfId="13345"/>
    <cellStyle name="Normal 3 2 3 2 2 6" xfId="9121"/>
    <cellStyle name="Normal 3 2 3 2 3" xfId="841"/>
    <cellStyle name="Normal 3 2 3 2 3 2" xfId="1903"/>
    <cellStyle name="Normal 3 2 3 2 3 2 2" xfId="4015"/>
    <cellStyle name="Normal 3 2 3 2 3 2 2 2" xfId="8241"/>
    <cellStyle name="Normal 3 2 3 2 3 2 2 2 2" xfId="16689"/>
    <cellStyle name="Normal 3 2 3 2 3 2 2 3" xfId="12465"/>
    <cellStyle name="Normal 3 2 3 2 3 2 3" xfId="6129"/>
    <cellStyle name="Normal 3 2 3 2 3 2 3 2" xfId="14577"/>
    <cellStyle name="Normal 3 2 3 2 3 2 4" xfId="10353"/>
    <cellStyle name="Normal 3 2 3 2 3 3" xfId="2959"/>
    <cellStyle name="Normal 3 2 3 2 3 3 2" xfId="7185"/>
    <cellStyle name="Normal 3 2 3 2 3 3 2 2" xfId="15633"/>
    <cellStyle name="Normal 3 2 3 2 3 3 3" xfId="11409"/>
    <cellStyle name="Normal 3 2 3 2 3 4" xfId="5073"/>
    <cellStyle name="Normal 3 2 3 2 3 4 2" xfId="13521"/>
    <cellStyle name="Normal 3 2 3 2 3 5" xfId="9297"/>
    <cellStyle name="Normal 3 2 3 2 4" xfId="1193"/>
    <cellStyle name="Normal 3 2 3 2 4 2" xfId="2255"/>
    <cellStyle name="Normal 3 2 3 2 4 2 2" xfId="4367"/>
    <cellStyle name="Normal 3 2 3 2 4 2 2 2" xfId="8593"/>
    <cellStyle name="Normal 3 2 3 2 4 2 2 2 2" xfId="17041"/>
    <cellStyle name="Normal 3 2 3 2 4 2 2 3" xfId="12817"/>
    <cellStyle name="Normal 3 2 3 2 4 2 3" xfId="6481"/>
    <cellStyle name="Normal 3 2 3 2 4 2 3 2" xfId="14929"/>
    <cellStyle name="Normal 3 2 3 2 4 2 4" xfId="10705"/>
    <cellStyle name="Normal 3 2 3 2 4 3" xfId="3311"/>
    <cellStyle name="Normal 3 2 3 2 4 3 2" xfId="7537"/>
    <cellStyle name="Normal 3 2 3 2 4 3 2 2" xfId="15985"/>
    <cellStyle name="Normal 3 2 3 2 4 3 3" xfId="11761"/>
    <cellStyle name="Normal 3 2 3 2 4 4" xfId="5425"/>
    <cellStyle name="Normal 3 2 3 2 4 4 2" xfId="13873"/>
    <cellStyle name="Normal 3 2 3 2 4 5" xfId="9649"/>
    <cellStyle name="Normal 3 2 3 2 5" xfId="1375"/>
    <cellStyle name="Normal 3 2 3 2 5 2" xfId="2431"/>
    <cellStyle name="Normal 3 2 3 2 5 2 2" xfId="4543"/>
    <cellStyle name="Normal 3 2 3 2 5 2 2 2" xfId="8769"/>
    <cellStyle name="Normal 3 2 3 2 5 2 2 2 2" xfId="17217"/>
    <cellStyle name="Normal 3 2 3 2 5 2 2 3" xfId="12993"/>
    <cellStyle name="Normal 3 2 3 2 5 2 3" xfId="6657"/>
    <cellStyle name="Normal 3 2 3 2 5 2 3 2" xfId="15105"/>
    <cellStyle name="Normal 3 2 3 2 5 2 4" xfId="10881"/>
    <cellStyle name="Normal 3 2 3 2 5 3" xfId="3487"/>
    <cellStyle name="Normal 3 2 3 2 5 3 2" xfId="7713"/>
    <cellStyle name="Normal 3 2 3 2 5 3 2 2" xfId="16161"/>
    <cellStyle name="Normal 3 2 3 2 5 3 3" xfId="11937"/>
    <cellStyle name="Normal 3 2 3 2 5 4" xfId="5601"/>
    <cellStyle name="Normal 3 2 3 2 5 4 2" xfId="14049"/>
    <cellStyle name="Normal 3 2 3 2 5 5" xfId="9825"/>
    <cellStyle name="Normal 3 2 3 2 6" xfId="1551"/>
    <cellStyle name="Normal 3 2 3 2 6 2" xfId="3663"/>
    <cellStyle name="Normal 3 2 3 2 6 2 2" xfId="7889"/>
    <cellStyle name="Normal 3 2 3 2 6 2 2 2" xfId="16337"/>
    <cellStyle name="Normal 3 2 3 2 6 2 3" xfId="12113"/>
    <cellStyle name="Normal 3 2 3 2 6 3" xfId="5777"/>
    <cellStyle name="Normal 3 2 3 2 6 3 2" xfId="14225"/>
    <cellStyle name="Normal 3 2 3 2 6 4" xfId="10001"/>
    <cellStyle name="Normal 3 2 3 2 7" xfId="2607"/>
    <cellStyle name="Normal 3 2 3 2 7 2" xfId="6833"/>
    <cellStyle name="Normal 3 2 3 2 7 2 2" xfId="15281"/>
    <cellStyle name="Normal 3 2 3 2 7 3" xfId="11057"/>
    <cellStyle name="Normal 3 2 3 2 8" xfId="4720"/>
    <cellStyle name="Normal 3 2 3 2 8 2" xfId="13169"/>
    <cellStyle name="Normal 3 2 3 2 9" xfId="8945"/>
    <cellStyle name="Normal 3 2 3 3" xfId="357"/>
    <cellStyle name="Normal 3 2 3 3 2" xfId="666"/>
    <cellStyle name="Normal 3 2 3 3 2 2" xfId="1018"/>
    <cellStyle name="Normal 3 2 3 3 2 2 2" xfId="2080"/>
    <cellStyle name="Normal 3 2 3 3 2 2 2 2" xfId="4192"/>
    <cellStyle name="Normal 3 2 3 3 2 2 2 2 2" xfId="8418"/>
    <cellStyle name="Normal 3 2 3 3 2 2 2 2 2 2" xfId="16866"/>
    <cellStyle name="Normal 3 2 3 3 2 2 2 2 3" xfId="12642"/>
    <cellStyle name="Normal 3 2 3 3 2 2 2 3" xfId="6306"/>
    <cellStyle name="Normal 3 2 3 3 2 2 2 3 2" xfId="14754"/>
    <cellStyle name="Normal 3 2 3 3 2 2 2 4" xfId="10530"/>
    <cellStyle name="Normal 3 2 3 3 2 2 3" xfId="3136"/>
    <cellStyle name="Normal 3 2 3 3 2 2 3 2" xfId="7362"/>
    <cellStyle name="Normal 3 2 3 3 2 2 3 2 2" xfId="15810"/>
    <cellStyle name="Normal 3 2 3 3 2 2 3 3" xfId="11586"/>
    <cellStyle name="Normal 3 2 3 3 2 2 4" xfId="5250"/>
    <cellStyle name="Normal 3 2 3 3 2 2 4 2" xfId="13698"/>
    <cellStyle name="Normal 3 2 3 3 2 2 5" xfId="9474"/>
    <cellStyle name="Normal 3 2 3 3 2 3" xfId="1728"/>
    <cellStyle name="Normal 3 2 3 3 2 3 2" xfId="3840"/>
    <cellStyle name="Normal 3 2 3 3 2 3 2 2" xfId="8066"/>
    <cellStyle name="Normal 3 2 3 3 2 3 2 2 2" xfId="16514"/>
    <cellStyle name="Normal 3 2 3 3 2 3 2 3" xfId="12290"/>
    <cellStyle name="Normal 3 2 3 3 2 3 3" xfId="5954"/>
    <cellStyle name="Normal 3 2 3 3 2 3 3 2" xfId="14402"/>
    <cellStyle name="Normal 3 2 3 3 2 3 4" xfId="10178"/>
    <cellStyle name="Normal 3 2 3 3 2 4" xfId="2784"/>
    <cellStyle name="Normal 3 2 3 3 2 4 2" xfId="7010"/>
    <cellStyle name="Normal 3 2 3 3 2 4 2 2" xfId="15458"/>
    <cellStyle name="Normal 3 2 3 3 2 4 3" xfId="11234"/>
    <cellStyle name="Normal 3 2 3 3 2 5" xfId="4898"/>
    <cellStyle name="Normal 3 2 3 3 2 5 2" xfId="13346"/>
    <cellStyle name="Normal 3 2 3 3 2 6" xfId="9122"/>
    <cellStyle name="Normal 3 2 3 3 3" xfId="842"/>
    <cellStyle name="Normal 3 2 3 3 3 2" xfId="1904"/>
    <cellStyle name="Normal 3 2 3 3 3 2 2" xfId="4016"/>
    <cellStyle name="Normal 3 2 3 3 3 2 2 2" xfId="8242"/>
    <cellStyle name="Normal 3 2 3 3 3 2 2 2 2" xfId="16690"/>
    <cellStyle name="Normal 3 2 3 3 3 2 2 3" xfId="12466"/>
    <cellStyle name="Normal 3 2 3 3 3 2 3" xfId="6130"/>
    <cellStyle name="Normal 3 2 3 3 3 2 3 2" xfId="14578"/>
    <cellStyle name="Normal 3 2 3 3 3 2 4" xfId="10354"/>
    <cellStyle name="Normal 3 2 3 3 3 3" xfId="2960"/>
    <cellStyle name="Normal 3 2 3 3 3 3 2" xfId="7186"/>
    <cellStyle name="Normal 3 2 3 3 3 3 2 2" xfId="15634"/>
    <cellStyle name="Normal 3 2 3 3 3 3 3" xfId="11410"/>
    <cellStyle name="Normal 3 2 3 3 3 4" xfId="5074"/>
    <cellStyle name="Normal 3 2 3 3 3 4 2" xfId="13522"/>
    <cellStyle name="Normal 3 2 3 3 3 5" xfId="9298"/>
    <cellStyle name="Normal 3 2 3 3 4" xfId="1194"/>
    <cellStyle name="Normal 3 2 3 3 4 2" xfId="2256"/>
    <cellStyle name="Normal 3 2 3 3 4 2 2" xfId="4368"/>
    <cellStyle name="Normal 3 2 3 3 4 2 2 2" xfId="8594"/>
    <cellStyle name="Normal 3 2 3 3 4 2 2 2 2" xfId="17042"/>
    <cellStyle name="Normal 3 2 3 3 4 2 2 3" xfId="12818"/>
    <cellStyle name="Normal 3 2 3 3 4 2 3" xfId="6482"/>
    <cellStyle name="Normal 3 2 3 3 4 2 3 2" xfId="14930"/>
    <cellStyle name="Normal 3 2 3 3 4 2 4" xfId="10706"/>
    <cellStyle name="Normal 3 2 3 3 4 3" xfId="3312"/>
    <cellStyle name="Normal 3 2 3 3 4 3 2" xfId="7538"/>
    <cellStyle name="Normal 3 2 3 3 4 3 2 2" xfId="15986"/>
    <cellStyle name="Normal 3 2 3 3 4 3 3" xfId="11762"/>
    <cellStyle name="Normal 3 2 3 3 4 4" xfId="5426"/>
    <cellStyle name="Normal 3 2 3 3 4 4 2" xfId="13874"/>
    <cellStyle name="Normal 3 2 3 3 4 5" xfId="9650"/>
    <cellStyle name="Normal 3 2 3 3 5" xfId="1376"/>
    <cellStyle name="Normal 3 2 3 3 5 2" xfId="2432"/>
    <cellStyle name="Normal 3 2 3 3 5 2 2" xfId="4544"/>
    <cellStyle name="Normal 3 2 3 3 5 2 2 2" xfId="8770"/>
    <cellStyle name="Normal 3 2 3 3 5 2 2 2 2" xfId="17218"/>
    <cellStyle name="Normal 3 2 3 3 5 2 2 3" xfId="12994"/>
    <cellStyle name="Normal 3 2 3 3 5 2 3" xfId="6658"/>
    <cellStyle name="Normal 3 2 3 3 5 2 3 2" xfId="15106"/>
    <cellStyle name="Normal 3 2 3 3 5 2 4" xfId="10882"/>
    <cellStyle name="Normal 3 2 3 3 5 3" xfId="3488"/>
    <cellStyle name="Normal 3 2 3 3 5 3 2" xfId="7714"/>
    <cellStyle name="Normal 3 2 3 3 5 3 2 2" xfId="16162"/>
    <cellStyle name="Normal 3 2 3 3 5 3 3" xfId="11938"/>
    <cellStyle name="Normal 3 2 3 3 5 4" xfId="5602"/>
    <cellStyle name="Normal 3 2 3 3 5 4 2" xfId="14050"/>
    <cellStyle name="Normal 3 2 3 3 5 5" xfId="9826"/>
    <cellStyle name="Normal 3 2 3 3 6" xfId="1552"/>
    <cellStyle name="Normal 3 2 3 3 6 2" xfId="3664"/>
    <cellStyle name="Normal 3 2 3 3 6 2 2" xfId="7890"/>
    <cellStyle name="Normal 3 2 3 3 6 2 2 2" xfId="16338"/>
    <cellStyle name="Normal 3 2 3 3 6 2 3" xfId="12114"/>
    <cellStyle name="Normal 3 2 3 3 6 3" xfId="5778"/>
    <cellStyle name="Normal 3 2 3 3 6 3 2" xfId="14226"/>
    <cellStyle name="Normal 3 2 3 3 6 4" xfId="10002"/>
    <cellStyle name="Normal 3 2 3 3 7" xfId="2608"/>
    <cellStyle name="Normal 3 2 3 3 7 2" xfId="6834"/>
    <cellStyle name="Normal 3 2 3 3 7 2 2" xfId="15282"/>
    <cellStyle name="Normal 3 2 3 3 7 3" xfId="11058"/>
    <cellStyle name="Normal 3 2 3 3 8" xfId="4721"/>
    <cellStyle name="Normal 3 2 3 3 8 2" xfId="13170"/>
    <cellStyle name="Normal 3 2 3 3 9" xfId="8946"/>
    <cellStyle name="Normal 3 2 3 4" xfId="664"/>
    <cellStyle name="Normal 3 2 3 4 2" xfId="1016"/>
    <cellStyle name="Normal 3 2 3 4 2 2" xfId="2078"/>
    <cellStyle name="Normal 3 2 3 4 2 2 2" xfId="4190"/>
    <cellStyle name="Normal 3 2 3 4 2 2 2 2" xfId="8416"/>
    <cellStyle name="Normal 3 2 3 4 2 2 2 2 2" xfId="16864"/>
    <cellStyle name="Normal 3 2 3 4 2 2 2 3" xfId="12640"/>
    <cellStyle name="Normal 3 2 3 4 2 2 3" xfId="6304"/>
    <cellStyle name="Normal 3 2 3 4 2 2 3 2" xfId="14752"/>
    <cellStyle name="Normal 3 2 3 4 2 2 4" xfId="10528"/>
    <cellStyle name="Normal 3 2 3 4 2 3" xfId="3134"/>
    <cellStyle name="Normal 3 2 3 4 2 3 2" xfId="7360"/>
    <cellStyle name="Normal 3 2 3 4 2 3 2 2" xfId="15808"/>
    <cellStyle name="Normal 3 2 3 4 2 3 3" xfId="11584"/>
    <cellStyle name="Normal 3 2 3 4 2 4" xfId="5248"/>
    <cellStyle name="Normal 3 2 3 4 2 4 2" xfId="13696"/>
    <cellStyle name="Normal 3 2 3 4 2 5" xfId="9472"/>
    <cellStyle name="Normal 3 2 3 4 3" xfId="1726"/>
    <cellStyle name="Normal 3 2 3 4 3 2" xfId="3838"/>
    <cellStyle name="Normal 3 2 3 4 3 2 2" xfId="8064"/>
    <cellStyle name="Normal 3 2 3 4 3 2 2 2" xfId="16512"/>
    <cellStyle name="Normal 3 2 3 4 3 2 3" xfId="12288"/>
    <cellStyle name="Normal 3 2 3 4 3 3" xfId="5952"/>
    <cellStyle name="Normal 3 2 3 4 3 3 2" xfId="14400"/>
    <cellStyle name="Normal 3 2 3 4 3 4" xfId="10176"/>
    <cellStyle name="Normal 3 2 3 4 4" xfId="2782"/>
    <cellStyle name="Normal 3 2 3 4 4 2" xfId="7008"/>
    <cellStyle name="Normal 3 2 3 4 4 2 2" xfId="15456"/>
    <cellStyle name="Normal 3 2 3 4 4 3" xfId="11232"/>
    <cellStyle name="Normal 3 2 3 4 5" xfId="4896"/>
    <cellStyle name="Normal 3 2 3 4 5 2" xfId="13344"/>
    <cellStyle name="Normal 3 2 3 4 6" xfId="9120"/>
    <cellStyle name="Normal 3 2 3 5" xfId="840"/>
    <cellStyle name="Normal 3 2 3 5 2" xfId="1902"/>
    <cellStyle name="Normal 3 2 3 5 2 2" xfId="4014"/>
    <cellStyle name="Normal 3 2 3 5 2 2 2" xfId="8240"/>
    <cellStyle name="Normal 3 2 3 5 2 2 2 2" xfId="16688"/>
    <cellStyle name="Normal 3 2 3 5 2 2 3" xfId="12464"/>
    <cellStyle name="Normal 3 2 3 5 2 3" xfId="6128"/>
    <cellStyle name="Normal 3 2 3 5 2 3 2" xfId="14576"/>
    <cellStyle name="Normal 3 2 3 5 2 4" xfId="10352"/>
    <cellStyle name="Normal 3 2 3 5 3" xfId="2958"/>
    <cellStyle name="Normal 3 2 3 5 3 2" xfId="7184"/>
    <cellStyle name="Normal 3 2 3 5 3 2 2" xfId="15632"/>
    <cellStyle name="Normal 3 2 3 5 3 3" xfId="11408"/>
    <cellStyle name="Normal 3 2 3 5 4" xfId="5072"/>
    <cellStyle name="Normal 3 2 3 5 4 2" xfId="13520"/>
    <cellStyle name="Normal 3 2 3 5 5" xfId="9296"/>
    <cellStyle name="Normal 3 2 3 6" xfId="1192"/>
    <cellStyle name="Normal 3 2 3 6 2" xfId="2254"/>
    <cellStyle name="Normal 3 2 3 6 2 2" xfId="4366"/>
    <cellStyle name="Normal 3 2 3 6 2 2 2" xfId="8592"/>
    <cellStyle name="Normal 3 2 3 6 2 2 2 2" xfId="17040"/>
    <cellStyle name="Normal 3 2 3 6 2 2 3" xfId="12816"/>
    <cellStyle name="Normal 3 2 3 6 2 3" xfId="6480"/>
    <cellStyle name="Normal 3 2 3 6 2 3 2" xfId="14928"/>
    <cellStyle name="Normal 3 2 3 6 2 4" xfId="10704"/>
    <cellStyle name="Normal 3 2 3 6 3" xfId="3310"/>
    <cellStyle name="Normal 3 2 3 6 3 2" xfId="7536"/>
    <cellStyle name="Normal 3 2 3 6 3 2 2" xfId="15984"/>
    <cellStyle name="Normal 3 2 3 6 3 3" xfId="11760"/>
    <cellStyle name="Normal 3 2 3 6 4" xfId="5424"/>
    <cellStyle name="Normal 3 2 3 6 4 2" xfId="13872"/>
    <cellStyle name="Normal 3 2 3 6 5" xfId="9648"/>
    <cellStyle name="Normal 3 2 3 7" xfId="1374"/>
    <cellStyle name="Normal 3 2 3 7 2" xfId="2430"/>
    <cellStyle name="Normal 3 2 3 7 2 2" xfId="4542"/>
    <cellStyle name="Normal 3 2 3 7 2 2 2" xfId="8768"/>
    <cellStyle name="Normal 3 2 3 7 2 2 2 2" xfId="17216"/>
    <cellStyle name="Normal 3 2 3 7 2 2 3" xfId="12992"/>
    <cellStyle name="Normal 3 2 3 7 2 3" xfId="6656"/>
    <cellStyle name="Normal 3 2 3 7 2 3 2" xfId="15104"/>
    <cellStyle name="Normal 3 2 3 7 2 4" xfId="10880"/>
    <cellStyle name="Normal 3 2 3 7 3" xfId="3486"/>
    <cellStyle name="Normal 3 2 3 7 3 2" xfId="7712"/>
    <cellStyle name="Normal 3 2 3 7 3 2 2" xfId="16160"/>
    <cellStyle name="Normal 3 2 3 7 3 3" xfId="11936"/>
    <cellStyle name="Normal 3 2 3 7 4" xfId="5600"/>
    <cellStyle name="Normal 3 2 3 7 4 2" xfId="14048"/>
    <cellStyle name="Normal 3 2 3 7 5" xfId="9824"/>
    <cellStyle name="Normal 3 2 3 8" xfId="1550"/>
    <cellStyle name="Normal 3 2 3 8 2" xfId="3662"/>
    <cellStyle name="Normal 3 2 3 8 2 2" xfId="7888"/>
    <cellStyle name="Normal 3 2 3 8 2 2 2" xfId="16336"/>
    <cellStyle name="Normal 3 2 3 8 2 3" xfId="12112"/>
    <cellStyle name="Normal 3 2 3 8 3" xfId="5776"/>
    <cellStyle name="Normal 3 2 3 8 3 2" xfId="14224"/>
    <cellStyle name="Normal 3 2 3 8 4" xfId="10000"/>
    <cellStyle name="Normal 3 2 3 9" xfId="2606"/>
    <cellStyle name="Normal 3 2 3 9 2" xfId="6832"/>
    <cellStyle name="Normal 3 2 3 9 2 2" xfId="15280"/>
    <cellStyle name="Normal 3 2 3 9 3" xfId="11056"/>
    <cellStyle name="Normal 3 3" xfId="358"/>
    <cellStyle name="Normal 3 3 10" xfId="4722"/>
    <cellStyle name="Normal 3 3 10 2" xfId="13171"/>
    <cellStyle name="Normal 3 3 11" xfId="8947"/>
    <cellStyle name="Normal 3 3 2" xfId="359"/>
    <cellStyle name="Normal 3 3 2 2" xfId="668"/>
    <cellStyle name="Normal 3 3 2 2 2" xfId="1020"/>
    <cellStyle name="Normal 3 3 2 2 2 2" xfId="2082"/>
    <cellStyle name="Normal 3 3 2 2 2 2 2" xfId="4194"/>
    <cellStyle name="Normal 3 3 2 2 2 2 2 2" xfId="8420"/>
    <cellStyle name="Normal 3 3 2 2 2 2 2 2 2" xfId="16868"/>
    <cellStyle name="Normal 3 3 2 2 2 2 2 3" xfId="12644"/>
    <cellStyle name="Normal 3 3 2 2 2 2 3" xfId="6308"/>
    <cellStyle name="Normal 3 3 2 2 2 2 3 2" xfId="14756"/>
    <cellStyle name="Normal 3 3 2 2 2 2 4" xfId="10532"/>
    <cellStyle name="Normal 3 3 2 2 2 3" xfId="3138"/>
    <cellStyle name="Normal 3 3 2 2 2 3 2" xfId="7364"/>
    <cellStyle name="Normal 3 3 2 2 2 3 2 2" xfId="15812"/>
    <cellStyle name="Normal 3 3 2 2 2 3 3" xfId="11588"/>
    <cellStyle name="Normal 3 3 2 2 2 4" xfId="5252"/>
    <cellStyle name="Normal 3 3 2 2 2 4 2" xfId="13700"/>
    <cellStyle name="Normal 3 3 2 2 2 5" xfId="9476"/>
    <cellStyle name="Normal 3 3 2 2 3" xfId="1730"/>
    <cellStyle name="Normal 3 3 2 2 3 2" xfId="3842"/>
    <cellStyle name="Normal 3 3 2 2 3 2 2" xfId="8068"/>
    <cellStyle name="Normal 3 3 2 2 3 2 2 2" xfId="16516"/>
    <cellStyle name="Normal 3 3 2 2 3 2 3" xfId="12292"/>
    <cellStyle name="Normal 3 3 2 2 3 3" xfId="5956"/>
    <cellStyle name="Normal 3 3 2 2 3 3 2" xfId="14404"/>
    <cellStyle name="Normal 3 3 2 2 3 4" xfId="10180"/>
    <cellStyle name="Normal 3 3 2 2 4" xfId="2786"/>
    <cellStyle name="Normal 3 3 2 2 4 2" xfId="7012"/>
    <cellStyle name="Normal 3 3 2 2 4 2 2" xfId="15460"/>
    <cellStyle name="Normal 3 3 2 2 4 3" xfId="11236"/>
    <cellStyle name="Normal 3 3 2 2 5" xfId="4900"/>
    <cellStyle name="Normal 3 3 2 2 5 2" xfId="13348"/>
    <cellStyle name="Normal 3 3 2 2 6" xfId="9124"/>
    <cellStyle name="Normal 3 3 2 3" xfId="844"/>
    <cellStyle name="Normal 3 3 2 3 2" xfId="1906"/>
    <cellStyle name="Normal 3 3 2 3 2 2" xfId="4018"/>
    <cellStyle name="Normal 3 3 2 3 2 2 2" xfId="8244"/>
    <cellStyle name="Normal 3 3 2 3 2 2 2 2" xfId="16692"/>
    <cellStyle name="Normal 3 3 2 3 2 2 3" xfId="12468"/>
    <cellStyle name="Normal 3 3 2 3 2 3" xfId="6132"/>
    <cellStyle name="Normal 3 3 2 3 2 3 2" xfId="14580"/>
    <cellStyle name="Normal 3 3 2 3 2 4" xfId="10356"/>
    <cellStyle name="Normal 3 3 2 3 3" xfId="2962"/>
    <cellStyle name="Normal 3 3 2 3 3 2" xfId="7188"/>
    <cellStyle name="Normal 3 3 2 3 3 2 2" xfId="15636"/>
    <cellStyle name="Normal 3 3 2 3 3 3" xfId="11412"/>
    <cellStyle name="Normal 3 3 2 3 4" xfId="5076"/>
    <cellStyle name="Normal 3 3 2 3 4 2" xfId="13524"/>
    <cellStyle name="Normal 3 3 2 3 5" xfId="9300"/>
    <cellStyle name="Normal 3 3 2 4" xfId="1196"/>
    <cellStyle name="Normal 3 3 2 4 2" xfId="2258"/>
    <cellStyle name="Normal 3 3 2 4 2 2" xfId="4370"/>
    <cellStyle name="Normal 3 3 2 4 2 2 2" xfId="8596"/>
    <cellStyle name="Normal 3 3 2 4 2 2 2 2" xfId="17044"/>
    <cellStyle name="Normal 3 3 2 4 2 2 3" xfId="12820"/>
    <cellStyle name="Normal 3 3 2 4 2 3" xfId="6484"/>
    <cellStyle name="Normal 3 3 2 4 2 3 2" xfId="14932"/>
    <cellStyle name="Normal 3 3 2 4 2 4" xfId="10708"/>
    <cellStyle name="Normal 3 3 2 4 3" xfId="3314"/>
    <cellStyle name="Normal 3 3 2 4 3 2" xfId="7540"/>
    <cellStyle name="Normal 3 3 2 4 3 2 2" xfId="15988"/>
    <cellStyle name="Normal 3 3 2 4 3 3" xfId="11764"/>
    <cellStyle name="Normal 3 3 2 4 4" xfId="5428"/>
    <cellStyle name="Normal 3 3 2 4 4 2" xfId="13876"/>
    <cellStyle name="Normal 3 3 2 4 5" xfId="9652"/>
    <cellStyle name="Normal 3 3 2 5" xfId="1378"/>
    <cellStyle name="Normal 3 3 2 5 2" xfId="2434"/>
    <cellStyle name="Normal 3 3 2 5 2 2" xfId="4546"/>
    <cellStyle name="Normal 3 3 2 5 2 2 2" xfId="8772"/>
    <cellStyle name="Normal 3 3 2 5 2 2 2 2" xfId="17220"/>
    <cellStyle name="Normal 3 3 2 5 2 2 3" xfId="12996"/>
    <cellStyle name="Normal 3 3 2 5 2 3" xfId="6660"/>
    <cellStyle name="Normal 3 3 2 5 2 3 2" xfId="15108"/>
    <cellStyle name="Normal 3 3 2 5 2 4" xfId="10884"/>
    <cellStyle name="Normal 3 3 2 5 3" xfId="3490"/>
    <cellStyle name="Normal 3 3 2 5 3 2" xfId="7716"/>
    <cellStyle name="Normal 3 3 2 5 3 2 2" xfId="16164"/>
    <cellStyle name="Normal 3 3 2 5 3 3" xfId="11940"/>
    <cellStyle name="Normal 3 3 2 5 4" xfId="5604"/>
    <cellStyle name="Normal 3 3 2 5 4 2" xfId="14052"/>
    <cellStyle name="Normal 3 3 2 5 5" xfId="9828"/>
    <cellStyle name="Normal 3 3 2 6" xfId="1554"/>
    <cellStyle name="Normal 3 3 2 6 2" xfId="3666"/>
    <cellStyle name="Normal 3 3 2 6 2 2" xfId="7892"/>
    <cellStyle name="Normal 3 3 2 6 2 2 2" xfId="16340"/>
    <cellStyle name="Normal 3 3 2 6 2 3" xfId="12116"/>
    <cellStyle name="Normal 3 3 2 6 3" xfId="5780"/>
    <cellStyle name="Normal 3 3 2 6 3 2" xfId="14228"/>
    <cellStyle name="Normal 3 3 2 6 4" xfId="10004"/>
    <cellStyle name="Normal 3 3 2 7" xfId="2610"/>
    <cellStyle name="Normal 3 3 2 7 2" xfId="6836"/>
    <cellStyle name="Normal 3 3 2 7 2 2" xfId="15284"/>
    <cellStyle name="Normal 3 3 2 7 3" xfId="11060"/>
    <cellStyle name="Normal 3 3 2 8" xfId="4723"/>
    <cellStyle name="Normal 3 3 2 8 2" xfId="13172"/>
    <cellStyle name="Normal 3 3 2 9" xfId="8948"/>
    <cellStyle name="Normal 3 3 3" xfId="360"/>
    <cellStyle name="Normal 3 3 3 2" xfId="669"/>
    <cellStyle name="Normal 3 3 3 2 2" xfId="1021"/>
    <cellStyle name="Normal 3 3 3 2 2 2" xfId="2083"/>
    <cellStyle name="Normal 3 3 3 2 2 2 2" xfId="4195"/>
    <cellStyle name="Normal 3 3 3 2 2 2 2 2" xfId="8421"/>
    <cellStyle name="Normal 3 3 3 2 2 2 2 2 2" xfId="16869"/>
    <cellStyle name="Normal 3 3 3 2 2 2 2 3" xfId="12645"/>
    <cellStyle name="Normal 3 3 3 2 2 2 3" xfId="6309"/>
    <cellStyle name="Normal 3 3 3 2 2 2 3 2" xfId="14757"/>
    <cellStyle name="Normal 3 3 3 2 2 2 4" xfId="10533"/>
    <cellStyle name="Normal 3 3 3 2 2 3" xfId="3139"/>
    <cellStyle name="Normal 3 3 3 2 2 3 2" xfId="7365"/>
    <cellStyle name="Normal 3 3 3 2 2 3 2 2" xfId="15813"/>
    <cellStyle name="Normal 3 3 3 2 2 3 3" xfId="11589"/>
    <cellStyle name="Normal 3 3 3 2 2 4" xfId="5253"/>
    <cellStyle name="Normal 3 3 3 2 2 4 2" xfId="13701"/>
    <cellStyle name="Normal 3 3 3 2 2 5" xfId="9477"/>
    <cellStyle name="Normal 3 3 3 2 3" xfId="1731"/>
    <cellStyle name="Normal 3 3 3 2 3 2" xfId="3843"/>
    <cellStyle name="Normal 3 3 3 2 3 2 2" xfId="8069"/>
    <cellStyle name="Normal 3 3 3 2 3 2 2 2" xfId="16517"/>
    <cellStyle name="Normal 3 3 3 2 3 2 3" xfId="12293"/>
    <cellStyle name="Normal 3 3 3 2 3 3" xfId="5957"/>
    <cellStyle name="Normal 3 3 3 2 3 3 2" xfId="14405"/>
    <cellStyle name="Normal 3 3 3 2 3 4" xfId="10181"/>
    <cellStyle name="Normal 3 3 3 2 4" xfId="2787"/>
    <cellStyle name="Normal 3 3 3 2 4 2" xfId="7013"/>
    <cellStyle name="Normal 3 3 3 2 4 2 2" xfId="15461"/>
    <cellStyle name="Normal 3 3 3 2 4 3" xfId="11237"/>
    <cellStyle name="Normal 3 3 3 2 5" xfId="4901"/>
    <cellStyle name="Normal 3 3 3 2 5 2" xfId="13349"/>
    <cellStyle name="Normal 3 3 3 2 6" xfId="9125"/>
    <cellStyle name="Normal 3 3 3 3" xfId="845"/>
    <cellStyle name="Normal 3 3 3 3 2" xfId="1907"/>
    <cellStyle name="Normal 3 3 3 3 2 2" xfId="4019"/>
    <cellStyle name="Normal 3 3 3 3 2 2 2" xfId="8245"/>
    <cellStyle name="Normal 3 3 3 3 2 2 2 2" xfId="16693"/>
    <cellStyle name="Normal 3 3 3 3 2 2 3" xfId="12469"/>
    <cellStyle name="Normal 3 3 3 3 2 3" xfId="6133"/>
    <cellStyle name="Normal 3 3 3 3 2 3 2" xfId="14581"/>
    <cellStyle name="Normal 3 3 3 3 2 4" xfId="10357"/>
    <cellStyle name="Normal 3 3 3 3 3" xfId="2963"/>
    <cellStyle name="Normal 3 3 3 3 3 2" xfId="7189"/>
    <cellStyle name="Normal 3 3 3 3 3 2 2" xfId="15637"/>
    <cellStyle name="Normal 3 3 3 3 3 3" xfId="11413"/>
    <cellStyle name="Normal 3 3 3 3 4" xfId="5077"/>
    <cellStyle name="Normal 3 3 3 3 4 2" xfId="13525"/>
    <cellStyle name="Normal 3 3 3 3 5" xfId="9301"/>
    <cellStyle name="Normal 3 3 3 4" xfId="1197"/>
    <cellStyle name="Normal 3 3 3 4 2" xfId="2259"/>
    <cellStyle name="Normal 3 3 3 4 2 2" xfId="4371"/>
    <cellStyle name="Normal 3 3 3 4 2 2 2" xfId="8597"/>
    <cellStyle name="Normal 3 3 3 4 2 2 2 2" xfId="17045"/>
    <cellStyle name="Normal 3 3 3 4 2 2 3" xfId="12821"/>
    <cellStyle name="Normal 3 3 3 4 2 3" xfId="6485"/>
    <cellStyle name="Normal 3 3 3 4 2 3 2" xfId="14933"/>
    <cellStyle name="Normal 3 3 3 4 2 4" xfId="10709"/>
    <cellStyle name="Normal 3 3 3 4 3" xfId="3315"/>
    <cellStyle name="Normal 3 3 3 4 3 2" xfId="7541"/>
    <cellStyle name="Normal 3 3 3 4 3 2 2" xfId="15989"/>
    <cellStyle name="Normal 3 3 3 4 3 3" xfId="11765"/>
    <cellStyle name="Normal 3 3 3 4 4" xfId="5429"/>
    <cellStyle name="Normal 3 3 3 4 4 2" xfId="13877"/>
    <cellStyle name="Normal 3 3 3 4 5" xfId="9653"/>
    <cellStyle name="Normal 3 3 3 5" xfId="1379"/>
    <cellStyle name="Normal 3 3 3 5 2" xfId="2435"/>
    <cellStyle name="Normal 3 3 3 5 2 2" xfId="4547"/>
    <cellStyle name="Normal 3 3 3 5 2 2 2" xfId="8773"/>
    <cellStyle name="Normal 3 3 3 5 2 2 2 2" xfId="17221"/>
    <cellStyle name="Normal 3 3 3 5 2 2 3" xfId="12997"/>
    <cellStyle name="Normal 3 3 3 5 2 3" xfId="6661"/>
    <cellStyle name="Normal 3 3 3 5 2 3 2" xfId="15109"/>
    <cellStyle name="Normal 3 3 3 5 2 4" xfId="10885"/>
    <cellStyle name="Normal 3 3 3 5 3" xfId="3491"/>
    <cellStyle name="Normal 3 3 3 5 3 2" xfId="7717"/>
    <cellStyle name="Normal 3 3 3 5 3 2 2" xfId="16165"/>
    <cellStyle name="Normal 3 3 3 5 3 3" xfId="11941"/>
    <cellStyle name="Normal 3 3 3 5 4" xfId="5605"/>
    <cellStyle name="Normal 3 3 3 5 4 2" xfId="14053"/>
    <cellStyle name="Normal 3 3 3 5 5" xfId="9829"/>
    <cellStyle name="Normal 3 3 3 6" xfId="1555"/>
    <cellStyle name="Normal 3 3 3 6 2" xfId="3667"/>
    <cellStyle name="Normal 3 3 3 6 2 2" xfId="7893"/>
    <cellStyle name="Normal 3 3 3 6 2 2 2" xfId="16341"/>
    <cellStyle name="Normal 3 3 3 6 2 3" xfId="12117"/>
    <cellStyle name="Normal 3 3 3 6 3" xfId="5781"/>
    <cellStyle name="Normal 3 3 3 6 3 2" xfId="14229"/>
    <cellStyle name="Normal 3 3 3 6 4" xfId="10005"/>
    <cellStyle name="Normal 3 3 3 7" xfId="2611"/>
    <cellStyle name="Normal 3 3 3 7 2" xfId="6837"/>
    <cellStyle name="Normal 3 3 3 7 2 2" xfId="15285"/>
    <cellStyle name="Normal 3 3 3 7 3" xfId="11061"/>
    <cellStyle name="Normal 3 3 3 8" xfId="4724"/>
    <cellStyle name="Normal 3 3 3 8 2" xfId="13173"/>
    <cellStyle name="Normal 3 3 3 9" xfId="8949"/>
    <cellStyle name="Normal 3 3 4" xfId="667"/>
    <cellStyle name="Normal 3 3 4 2" xfId="1019"/>
    <cellStyle name="Normal 3 3 4 2 2" xfId="2081"/>
    <cellStyle name="Normal 3 3 4 2 2 2" xfId="4193"/>
    <cellStyle name="Normal 3 3 4 2 2 2 2" xfId="8419"/>
    <cellStyle name="Normal 3 3 4 2 2 2 2 2" xfId="16867"/>
    <cellStyle name="Normal 3 3 4 2 2 2 3" xfId="12643"/>
    <cellStyle name="Normal 3 3 4 2 2 3" xfId="6307"/>
    <cellStyle name="Normal 3 3 4 2 2 3 2" xfId="14755"/>
    <cellStyle name="Normal 3 3 4 2 2 4" xfId="10531"/>
    <cellStyle name="Normal 3 3 4 2 3" xfId="3137"/>
    <cellStyle name="Normal 3 3 4 2 3 2" xfId="7363"/>
    <cellStyle name="Normal 3 3 4 2 3 2 2" xfId="15811"/>
    <cellStyle name="Normal 3 3 4 2 3 3" xfId="11587"/>
    <cellStyle name="Normal 3 3 4 2 4" xfId="5251"/>
    <cellStyle name="Normal 3 3 4 2 4 2" xfId="13699"/>
    <cellStyle name="Normal 3 3 4 2 5" xfId="9475"/>
    <cellStyle name="Normal 3 3 4 3" xfId="1729"/>
    <cellStyle name="Normal 3 3 4 3 2" xfId="3841"/>
    <cellStyle name="Normal 3 3 4 3 2 2" xfId="8067"/>
    <cellStyle name="Normal 3 3 4 3 2 2 2" xfId="16515"/>
    <cellStyle name="Normal 3 3 4 3 2 3" xfId="12291"/>
    <cellStyle name="Normal 3 3 4 3 3" xfId="5955"/>
    <cellStyle name="Normal 3 3 4 3 3 2" xfId="14403"/>
    <cellStyle name="Normal 3 3 4 3 4" xfId="10179"/>
    <cellStyle name="Normal 3 3 4 4" xfId="2785"/>
    <cellStyle name="Normal 3 3 4 4 2" xfId="7011"/>
    <cellStyle name="Normal 3 3 4 4 2 2" xfId="15459"/>
    <cellStyle name="Normal 3 3 4 4 3" xfId="11235"/>
    <cellStyle name="Normal 3 3 4 5" xfId="4899"/>
    <cellStyle name="Normal 3 3 4 5 2" xfId="13347"/>
    <cellStyle name="Normal 3 3 4 6" xfId="9123"/>
    <cellStyle name="Normal 3 3 5" xfId="843"/>
    <cellStyle name="Normal 3 3 5 2" xfId="1905"/>
    <cellStyle name="Normal 3 3 5 2 2" xfId="4017"/>
    <cellStyle name="Normal 3 3 5 2 2 2" xfId="8243"/>
    <cellStyle name="Normal 3 3 5 2 2 2 2" xfId="16691"/>
    <cellStyle name="Normal 3 3 5 2 2 3" xfId="12467"/>
    <cellStyle name="Normal 3 3 5 2 3" xfId="6131"/>
    <cellStyle name="Normal 3 3 5 2 3 2" xfId="14579"/>
    <cellStyle name="Normal 3 3 5 2 4" xfId="10355"/>
    <cellStyle name="Normal 3 3 5 3" xfId="2961"/>
    <cellStyle name="Normal 3 3 5 3 2" xfId="7187"/>
    <cellStyle name="Normal 3 3 5 3 2 2" xfId="15635"/>
    <cellStyle name="Normal 3 3 5 3 3" xfId="11411"/>
    <cellStyle name="Normal 3 3 5 4" xfId="5075"/>
    <cellStyle name="Normal 3 3 5 4 2" xfId="13523"/>
    <cellStyle name="Normal 3 3 5 5" xfId="9299"/>
    <cellStyle name="Normal 3 3 6" xfId="1195"/>
    <cellStyle name="Normal 3 3 6 2" xfId="2257"/>
    <cellStyle name="Normal 3 3 6 2 2" xfId="4369"/>
    <cellStyle name="Normal 3 3 6 2 2 2" xfId="8595"/>
    <cellStyle name="Normal 3 3 6 2 2 2 2" xfId="17043"/>
    <cellStyle name="Normal 3 3 6 2 2 3" xfId="12819"/>
    <cellStyle name="Normal 3 3 6 2 3" xfId="6483"/>
    <cellStyle name="Normal 3 3 6 2 3 2" xfId="14931"/>
    <cellStyle name="Normal 3 3 6 2 4" xfId="10707"/>
    <cellStyle name="Normal 3 3 6 3" xfId="3313"/>
    <cellStyle name="Normal 3 3 6 3 2" xfId="7539"/>
    <cellStyle name="Normal 3 3 6 3 2 2" xfId="15987"/>
    <cellStyle name="Normal 3 3 6 3 3" xfId="11763"/>
    <cellStyle name="Normal 3 3 6 4" xfId="5427"/>
    <cellStyle name="Normal 3 3 6 4 2" xfId="13875"/>
    <cellStyle name="Normal 3 3 6 5" xfId="9651"/>
    <cellStyle name="Normal 3 3 7" xfId="1377"/>
    <cellStyle name="Normal 3 3 7 2" xfId="2433"/>
    <cellStyle name="Normal 3 3 7 2 2" xfId="4545"/>
    <cellStyle name="Normal 3 3 7 2 2 2" xfId="8771"/>
    <cellStyle name="Normal 3 3 7 2 2 2 2" xfId="17219"/>
    <cellStyle name="Normal 3 3 7 2 2 3" xfId="12995"/>
    <cellStyle name="Normal 3 3 7 2 3" xfId="6659"/>
    <cellStyle name="Normal 3 3 7 2 3 2" xfId="15107"/>
    <cellStyle name="Normal 3 3 7 2 4" xfId="10883"/>
    <cellStyle name="Normal 3 3 7 3" xfId="3489"/>
    <cellStyle name="Normal 3 3 7 3 2" xfId="7715"/>
    <cellStyle name="Normal 3 3 7 3 2 2" xfId="16163"/>
    <cellStyle name="Normal 3 3 7 3 3" xfId="11939"/>
    <cellStyle name="Normal 3 3 7 4" xfId="5603"/>
    <cellStyle name="Normal 3 3 7 4 2" xfId="14051"/>
    <cellStyle name="Normal 3 3 7 5" xfId="9827"/>
    <cellStyle name="Normal 3 3 8" xfId="1553"/>
    <cellStyle name="Normal 3 3 8 2" xfId="3665"/>
    <cellStyle name="Normal 3 3 8 2 2" xfId="7891"/>
    <cellStyle name="Normal 3 3 8 2 2 2" xfId="16339"/>
    <cellStyle name="Normal 3 3 8 2 3" xfId="12115"/>
    <cellStyle name="Normal 3 3 8 3" xfId="5779"/>
    <cellStyle name="Normal 3 3 8 3 2" xfId="14227"/>
    <cellStyle name="Normal 3 3 8 4" xfId="10003"/>
    <cellStyle name="Normal 3 3 9" xfId="2609"/>
    <cellStyle name="Normal 3 3 9 2" xfId="6835"/>
    <cellStyle name="Normal 3 3 9 2 2" xfId="15283"/>
    <cellStyle name="Normal 3 3 9 3" xfId="11059"/>
    <cellStyle name="Normal 3 4" xfId="361"/>
    <cellStyle name="Normal 3 4 2" xfId="17409"/>
    <cellStyle name="Normal 3 4 2 2" xfId="17436"/>
    <cellStyle name="Normal 3 4 3" xfId="17376"/>
    <cellStyle name="Normal 3 4 4" xfId="17344"/>
    <cellStyle name="Normal 30" xfId="362"/>
    <cellStyle name="Normal 31" xfId="363"/>
    <cellStyle name="Normal 31 10" xfId="4725"/>
    <cellStyle name="Normal 31 10 2" xfId="13174"/>
    <cellStyle name="Normal 31 11" xfId="8950"/>
    <cellStyle name="Normal 31 2" xfId="364"/>
    <cellStyle name="Normal 31 2 2" xfId="671"/>
    <cellStyle name="Normal 31 2 2 2" xfId="1023"/>
    <cellStyle name="Normal 31 2 2 2 2" xfId="2085"/>
    <cellStyle name="Normal 31 2 2 2 2 2" xfId="4197"/>
    <cellStyle name="Normal 31 2 2 2 2 2 2" xfId="8423"/>
    <cellStyle name="Normal 31 2 2 2 2 2 2 2" xfId="16871"/>
    <cellStyle name="Normal 31 2 2 2 2 2 3" xfId="12647"/>
    <cellStyle name="Normal 31 2 2 2 2 3" xfId="6311"/>
    <cellStyle name="Normal 31 2 2 2 2 3 2" xfId="14759"/>
    <cellStyle name="Normal 31 2 2 2 2 4" xfId="10535"/>
    <cellStyle name="Normal 31 2 2 2 3" xfId="3141"/>
    <cellStyle name="Normal 31 2 2 2 3 2" xfId="7367"/>
    <cellStyle name="Normal 31 2 2 2 3 2 2" xfId="15815"/>
    <cellStyle name="Normal 31 2 2 2 3 3" xfId="11591"/>
    <cellStyle name="Normal 31 2 2 2 4" xfId="5255"/>
    <cellStyle name="Normal 31 2 2 2 4 2" xfId="13703"/>
    <cellStyle name="Normal 31 2 2 2 5" xfId="9479"/>
    <cellStyle name="Normal 31 2 2 3" xfId="1733"/>
    <cellStyle name="Normal 31 2 2 3 2" xfId="3845"/>
    <cellStyle name="Normal 31 2 2 3 2 2" xfId="8071"/>
    <cellStyle name="Normal 31 2 2 3 2 2 2" xfId="16519"/>
    <cellStyle name="Normal 31 2 2 3 2 3" xfId="12295"/>
    <cellStyle name="Normal 31 2 2 3 3" xfId="5959"/>
    <cellStyle name="Normal 31 2 2 3 3 2" xfId="14407"/>
    <cellStyle name="Normal 31 2 2 3 4" xfId="10183"/>
    <cellStyle name="Normal 31 2 2 4" xfId="2789"/>
    <cellStyle name="Normal 31 2 2 4 2" xfId="7015"/>
    <cellStyle name="Normal 31 2 2 4 2 2" xfId="15463"/>
    <cellStyle name="Normal 31 2 2 4 3" xfId="11239"/>
    <cellStyle name="Normal 31 2 2 5" xfId="4903"/>
    <cellStyle name="Normal 31 2 2 5 2" xfId="13351"/>
    <cellStyle name="Normal 31 2 2 6" xfId="9127"/>
    <cellStyle name="Normal 31 2 3" xfId="847"/>
    <cellStyle name="Normal 31 2 3 2" xfId="1909"/>
    <cellStyle name="Normal 31 2 3 2 2" xfId="4021"/>
    <cellStyle name="Normal 31 2 3 2 2 2" xfId="8247"/>
    <cellStyle name="Normal 31 2 3 2 2 2 2" xfId="16695"/>
    <cellStyle name="Normal 31 2 3 2 2 3" xfId="12471"/>
    <cellStyle name="Normal 31 2 3 2 3" xfId="6135"/>
    <cellStyle name="Normal 31 2 3 2 3 2" xfId="14583"/>
    <cellStyle name="Normal 31 2 3 2 4" xfId="10359"/>
    <cellStyle name="Normal 31 2 3 3" xfId="2965"/>
    <cellStyle name="Normal 31 2 3 3 2" xfId="7191"/>
    <cellStyle name="Normal 31 2 3 3 2 2" xfId="15639"/>
    <cellStyle name="Normal 31 2 3 3 3" xfId="11415"/>
    <cellStyle name="Normal 31 2 3 4" xfId="5079"/>
    <cellStyle name="Normal 31 2 3 4 2" xfId="13527"/>
    <cellStyle name="Normal 31 2 3 5" xfId="9303"/>
    <cellStyle name="Normal 31 2 4" xfId="1199"/>
    <cellStyle name="Normal 31 2 4 2" xfId="2261"/>
    <cellStyle name="Normal 31 2 4 2 2" xfId="4373"/>
    <cellStyle name="Normal 31 2 4 2 2 2" xfId="8599"/>
    <cellStyle name="Normal 31 2 4 2 2 2 2" xfId="17047"/>
    <cellStyle name="Normal 31 2 4 2 2 3" xfId="12823"/>
    <cellStyle name="Normal 31 2 4 2 3" xfId="6487"/>
    <cellStyle name="Normal 31 2 4 2 3 2" xfId="14935"/>
    <cellStyle name="Normal 31 2 4 2 4" xfId="10711"/>
    <cellStyle name="Normal 31 2 4 3" xfId="3317"/>
    <cellStyle name="Normal 31 2 4 3 2" xfId="7543"/>
    <cellStyle name="Normal 31 2 4 3 2 2" xfId="15991"/>
    <cellStyle name="Normal 31 2 4 3 3" xfId="11767"/>
    <cellStyle name="Normal 31 2 4 4" xfId="5431"/>
    <cellStyle name="Normal 31 2 4 4 2" xfId="13879"/>
    <cellStyle name="Normal 31 2 4 5" xfId="9655"/>
    <cellStyle name="Normal 31 2 5" xfId="1381"/>
    <cellStyle name="Normal 31 2 5 2" xfId="2437"/>
    <cellStyle name="Normal 31 2 5 2 2" xfId="4549"/>
    <cellStyle name="Normal 31 2 5 2 2 2" xfId="8775"/>
    <cellStyle name="Normal 31 2 5 2 2 2 2" xfId="17223"/>
    <cellStyle name="Normal 31 2 5 2 2 3" xfId="12999"/>
    <cellStyle name="Normal 31 2 5 2 3" xfId="6663"/>
    <cellStyle name="Normal 31 2 5 2 3 2" xfId="15111"/>
    <cellStyle name="Normal 31 2 5 2 4" xfId="10887"/>
    <cellStyle name="Normal 31 2 5 3" xfId="3493"/>
    <cellStyle name="Normal 31 2 5 3 2" xfId="7719"/>
    <cellStyle name="Normal 31 2 5 3 2 2" xfId="16167"/>
    <cellStyle name="Normal 31 2 5 3 3" xfId="11943"/>
    <cellStyle name="Normal 31 2 5 4" xfId="5607"/>
    <cellStyle name="Normal 31 2 5 4 2" xfId="14055"/>
    <cellStyle name="Normal 31 2 5 5" xfId="9831"/>
    <cellStyle name="Normal 31 2 6" xfId="1557"/>
    <cellStyle name="Normal 31 2 6 2" xfId="3669"/>
    <cellStyle name="Normal 31 2 6 2 2" xfId="7895"/>
    <cellStyle name="Normal 31 2 6 2 2 2" xfId="16343"/>
    <cellStyle name="Normal 31 2 6 2 3" xfId="12119"/>
    <cellStyle name="Normal 31 2 6 3" xfId="5783"/>
    <cellStyle name="Normal 31 2 6 3 2" xfId="14231"/>
    <cellStyle name="Normal 31 2 6 4" xfId="10007"/>
    <cellStyle name="Normal 31 2 7" xfId="2613"/>
    <cellStyle name="Normal 31 2 7 2" xfId="6839"/>
    <cellStyle name="Normal 31 2 7 2 2" xfId="15287"/>
    <cellStyle name="Normal 31 2 7 3" xfId="11063"/>
    <cellStyle name="Normal 31 2 8" xfId="4726"/>
    <cellStyle name="Normal 31 2 8 2" xfId="13175"/>
    <cellStyle name="Normal 31 2 9" xfId="8951"/>
    <cellStyle name="Normal 31 3" xfId="365"/>
    <cellStyle name="Normal 31 3 2" xfId="672"/>
    <cellStyle name="Normal 31 3 2 2" xfId="1024"/>
    <cellStyle name="Normal 31 3 2 2 2" xfId="2086"/>
    <cellStyle name="Normal 31 3 2 2 2 2" xfId="4198"/>
    <cellStyle name="Normal 31 3 2 2 2 2 2" xfId="8424"/>
    <cellStyle name="Normal 31 3 2 2 2 2 2 2" xfId="16872"/>
    <cellStyle name="Normal 31 3 2 2 2 2 3" xfId="12648"/>
    <cellStyle name="Normal 31 3 2 2 2 3" xfId="6312"/>
    <cellStyle name="Normal 31 3 2 2 2 3 2" xfId="14760"/>
    <cellStyle name="Normal 31 3 2 2 2 4" xfId="10536"/>
    <cellStyle name="Normal 31 3 2 2 3" xfId="3142"/>
    <cellStyle name="Normal 31 3 2 2 3 2" xfId="7368"/>
    <cellStyle name="Normal 31 3 2 2 3 2 2" xfId="15816"/>
    <cellStyle name="Normal 31 3 2 2 3 3" xfId="11592"/>
    <cellStyle name="Normal 31 3 2 2 4" xfId="5256"/>
    <cellStyle name="Normal 31 3 2 2 4 2" xfId="13704"/>
    <cellStyle name="Normal 31 3 2 2 5" xfId="9480"/>
    <cellStyle name="Normal 31 3 2 3" xfId="1734"/>
    <cellStyle name="Normal 31 3 2 3 2" xfId="3846"/>
    <cellStyle name="Normal 31 3 2 3 2 2" xfId="8072"/>
    <cellStyle name="Normal 31 3 2 3 2 2 2" xfId="16520"/>
    <cellStyle name="Normal 31 3 2 3 2 3" xfId="12296"/>
    <cellStyle name="Normal 31 3 2 3 3" xfId="5960"/>
    <cellStyle name="Normal 31 3 2 3 3 2" xfId="14408"/>
    <cellStyle name="Normal 31 3 2 3 4" xfId="10184"/>
    <cellStyle name="Normal 31 3 2 4" xfId="2790"/>
    <cellStyle name="Normal 31 3 2 4 2" xfId="7016"/>
    <cellStyle name="Normal 31 3 2 4 2 2" xfId="15464"/>
    <cellStyle name="Normal 31 3 2 4 3" xfId="11240"/>
    <cellStyle name="Normal 31 3 2 5" xfId="4904"/>
    <cellStyle name="Normal 31 3 2 5 2" xfId="13352"/>
    <cellStyle name="Normal 31 3 2 6" xfId="9128"/>
    <cellStyle name="Normal 31 3 3" xfId="848"/>
    <cellStyle name="Normal 31 3 3 2" xfId="1910"/>
    <cellStyle name="Normal 31 3 3 2 2" xfId="4022"/>
    <cellStyle name="Normal 31 3 3 2 2 2" xfId="8248"/>
    <cellStyle name="Normal 31 3 3 2 2 2 2" xfId="16696"/>
    <cellStyle name="Normal 31 3 3 2 2 3" xfId="12472"/>
    <cellStyle name="Normal 31 3 3 2 3" xfId="6136"/>
    <cellStyle name="Normal 31 3 3 2 3 2" xfId="14584"/>
    <cellStyle name="Normal 31 3 3 2 4" xfId="10360"/>
    <cellStyle name="Normal 31 3 3 3" xfId="2966"/>
    <cellStyle name="Normal 31 3 3 3 2" xfId="7192"/>
    <cellStyle name="Normal 31 3 3 3 2 2" xfId="15640"/>
    <cellStyle name="Normal 31 3 3 3 3" xfId="11416"/>
    <cellStyle name="Normal 31 3 3 4" xfId="5080"/>
    <cellStyle name="Normal 31 3 3 4 2" xfId="13528"/>
    <cellStyle name="Normal 31 3 3 5" xfId="9304"/>
    <cellStyle name="Normal 31 3 4" xfId="1200"/>
    <cellStyle name="Normal 31 3 4 2" xfId="2262"/>
    <cellStyle name="Normal 31 3 4 2 2" xfId="4374"/>
    <cellStyle name="Normal 31 3 4 2 2 2" xfId="8600"/>
    <cellStyle name="Normal 31 3 4 2 2 2 2" xfId="17048"/>
    <cellStyle name="Normal 31 3 4 2 2 3" xfId="12824"/>
    <cellStyle name="Normal 31 3 4 2 3" xfId="6488"/>
    <cellStyle name="Normal 31 3 4 2 3 2" xfId="14936"/>
    <cellStyle name="Normal 31 3 4 2 4" xfId="10712"/>
    <cellStyle name="Normal 31 3 4 3" xfId="3318"/>
    <cellStyle name="Normal 31 3 4 3 2" xfId="7544"/>
    <cellStyle name="Normal 31 3 4 3 2 2" xfId="15992"/>
    <cellStyle name="Normal 31 3 4 3 3" xfId="11768"/>
    <cellStyle name="Normal 31 3 4 4" xfId="5432"/>
    <cellStyle name="Normal 31 3 4 4 2" xfId="13880"/>
    <cellStyle name="Normal 31 3 4 5" xfId="9656"/>
    <cellStyle name="Normal 31 3 5" xfId="1382"/>
    <cellStyle name="Normal 31 3 5 2" xfId="2438"/>
    <cellStyle name="Normal 31 3 5 2 2" xfId="4550"/>
    <cellStyle name="Normal 31 3 5 2 2 2" xfId="8776"/>
    <cellStyle name="Normal 31 3 5 2 2 2 2" xfId="17224"/>
    <cellStyle name="Normal 31 3 5 2 2 3" xfId="13000"/>
    <cellStyle name="Normal 31 3 5 2 3" xfId="6664"/>
    <cellStyle name="Normal 31 3 5 2 3 2" xfId="15112"/>
    <cellStyle name="Normal 31 3 5 2 4" xfId="10888"/>
    <cellStyle name="Normal 31 3 5 3" xfId="3494"/>
    <cellStyle name="Normal 31 3 5 3 2" xfId="7720"/>
    <cellStyle name="Normal 31 3 5 3 2 2" xfId="16168"/>
    <cellStyle name="Normal 31 3 5 3 3" xfId="11944"/>
    <cellStyle name="Normal 31 3 5 4" xfId="5608"/>
    <cellStyle name="Normal 31 3 5 4 2" xfId="14056"/>
    <cellStyle name="Normal 31 3 5 5" xfId="9832"/>
    <cellStyle name="Normal 31 3 6" xfId="1558"/>
    <cellStyle name="Normal 31 3 6 2" xfId="3670"/>
    <cellStyle name="Normal 31 3 6 2 2" xfId="7896"/>
    <cellStyle name="Normal 31 3 6 2 2 2" xfId="16344"/>
    <cellStyle name="Normal 31 3 6 2 3" xfId="12120"/>
    <cellStyle name="Normal 31 3 6 3" xfId="5784"/>
    <cellStyle name="Normal 31 3 6 3 2" xfId="14232"/>
    <cellStyle name="Normal 31 3 6 4" xfId="10008"/>
    <cellStyle name="Normal 31 3 7" xfId="2614"/>
    <cellStyle name="Normal 31 3 7 2" xfId="6840"/>
    <cellStyle name="Normal 31 3 7 2 2" xfId="15288"/>
    <cellStyle name="Normal 31 3 7 3" xfId="11064"/>
    <cellStyle name="Normal 31 3 8" xfId="4727"/>
    <cellStyle name="Normal 31 3 8 2" xfId="13176"/>
    <cellStyle name="Normal 31 3 9" xfId="8952"/>
    <cellStyle name="Normal 31 4" xfId="670"/>
    <cellStyle name="Normal 31 4 2" xfId="1022"/>
    <cellStyle name="Normal 31 4 2 2" xfId="2084"/>
    <cellStyle name="Normal 31 4 2 2 2" xfId="4196"/>
    <cellStyle name="Normal 31 4 2 2 2 2" xfId="8422"/>
    <cellStyle name="Normal 31 4 2 2 2 2 2" xfId="16870"/>
    <cellStyle name="Normal 31 4 2 2 2 3" xfId="12646"/>
    <cellStyle name="Normal 31 4 2 2 3" xfId="6310"/>
    <cellStyle name="Normal 31 4 2 2 3 2" xfId="14758"/>
    <cellStyle name="Normal 31 4 2 2 4" xfId="10534"/>
    <cellStyle name="Normal 31 4 2 3" xfId="3140"/>
    <cellStyle name="Normal 31 4 2 3 2" xfId="7366"/>
    <cellStyle name="Normal 31 4 2 3 2 2" xfId="15814"/>
    <cellStyle name="Normal 31 4 2 3 3" xfId="11590"/>
    <cellStyle name="Normal 31 4 2 4" xfId="5254"/>
    <cellStyle name="Normal 31 4 2 4 2" xfId="13702"/>
    <cellStyle name="Normal 31 4 2 5" xfId="9478"/>
    <cellStyle name="Normal 31 4 3" xfId="1732"/>
    <cellStyle name="Normal 31 4 3 2" xfId="3844"/>
    <cellStyle name="Normal 31 4 3 2 2" xfId="8070"/>
    <cellStyle name="Normal 31 4 3 2 2 2" xfId="16518"/>
    <cellStyle name="Normal 31 4 3 2 3" xfId="12294"/>
    <cellStyle name="Normal 31 4 3 3" xfId="5958"/>
    <cellStyle name="Normal 31 4 3 3 2" xfId="14406"/>
    <cellStyle name="Normal 31 4 3 4" xfId="10182"/>
    <cellStyle name="Normal 31 4 4" xfId="2788"/>
    <cellStyle name="Normal 31 4 4 2" xfId="7014"/>
    <cellStyle name="Normal 31 4 4 2 2" xfId="15462"/>
    <cellStyle name="Normal 31 4 4 3" xfId="11238"/>
    <cellStyle name="Normal 31 4 5" xfId="4902"/>
    <cellStyle name="Normal 31 4 5 2" xfId="13350"/>
    <cellStyle name="Normal 31 4 6" xfId="9126"/>
    <cellStyle name="Normal 31 5" xfId="846"/>
    <cellStyle name="Normal 31 5 2" xfId="1908"/>
    <cellStyle name="Normal 31 5 2 2" xfId="4020"/>
    <cellStyle name="Normal 31 5 2 2 2" xfId="8246"/>
    <cellStyle name="Normal 31 5 2 2 2 2" xfId="16694"/>
    <cellStyle name="Normal 31 5 2 2 3" xfId="12470"/>
    <cellStyle name="Normal 31 5 2 3" xfId="6134"/>
    <cellStyle name="Normal 31 5 2 3 2" xfId="14582"/>
    <cellStyle name="Normal 31 5 2 4" xfId="10358"/>
    <cellStyle name="Normal 31 5 3" xfId="2964"/>
    <cellStyle name="Normal 31 5 3 2" xfId="7190"/>
    <cellStyle name="Normal 31 5 3 2 2" xfId="15638"/>
    <cellStyle name="Normal 31 5 3 3" xfId="11414"/>
    <cellStyle name="Normal 31 5 4" xfId="5078"/>
    <cellStyle name="Normal 31 5 4 2" xfId="13526"/>
    <cellStyle name="Normal 31 5 5" xfId="9302"/>
    <cellStyle name="Normal 31 6" xfId="1198"/>
    <cellStyle name="Normal 31 6 2" xfId="2260"/>
    <cellStyle name="Normal 31 6 2 2" xfId="4372"/>
    <cellStyle name="Normal 31 6 2 2 2" xfId="8598"/>
    <cellStyle name="Normal 31 6 2 2 2 2" xfId="17046"/>
    <cellStyle name="Normal 31 6 2 2 3" xfId="12822"/>
    <cellStyle name="Normal 31 6 2 3" xfId="6486"/>
    <cellStyle name="Normal 31 6 2 3 2" xfId="14934"/>
    <cellStyle name="Normal 31 6 2 4" xfId="10710"/>
    <cellStyle name="Normal 31 6 3" xfId="3316"/>
    <cellStyle name="Normal 31 6 3 2" xfId="7542"/>
    <cellStyle name="Normal 31 6 3 2 2" xfId="15990"/>
    <cellStyle name="Normal 31 6 3 3" xfId="11766"/>
    <cellStyle name="Normal 31 6 4" xfId="5430"/>
    <cellStyle name="Normal 31 6 4 2" xfId="13878"/>
    <cellStyle name="Normal 31 6 5" xfId="9654"/>
    <cellStyle name="Normal 31 7" xfId="1380"/>
    <cellStyle name="Normal 31 7 2" xfId="2436"/>
    <cellStyle name="Normal 31 7 2 2" xfId="4548"/>
    <cellStyle name="Normal 31 7 2 2 2" xfId="8774"/>
    <cellStyle name="Normal 31 7 2 2 2 2" xfId="17222"/>
    <cellStyle name="Normal 31 7 2 2 3" xfId="12998"/>
    <cellStyle name="Normal 31 7 2 3" xfId="6662"/>
    <cellStyle name="Normal 31 7 2 3 2" xfId="15110"/>
    <cellStyle name="Normal 31 7 2 4" xfId="10886"/>
    <cellStyle name="Normal 31 7 3" xfId="3492"/>
    <cellStyle name="Normal 31 7 3 2" xfId="7718"/>
    <cellStyle name="Normal 31 7 3 2 2" xfId="16166"/>
    <cellStyle name="Normal 31 7 3 3" xfId="11942"/>
    <cellStyle name="Normal 31 7 4" xfId="5606"/>
    <cellStyle name="Normal 31 7 4 2" xfId="14054"/>
    <cellStyle name="Normal 31 7 5" xfId="9830"/>
    <cellStyle name="Normal 31 8" xfId="1556"/>
    <cellStyle name="Normal 31 8 2" xfId="3668"/>
    <cellStyle name="Normal 31 8 2 2" xfId="7894"/>
    <cellStyle name="Normal 31 8 2 2 2" xfId="16342"/>
    <cellStyle name="Normal 31 8 2 3" xfId="12118"/>
    <cellStyle name="Normal 31 8 3" xfId="5782"/>
    <cellStyle name="Normal 31 8 3 2" xfId="14230"/>
    <cellStyle name="Normal 31 8 4" xfId="10006"/>
    <cellStyle name="Normal 31 9" xfId="2612"/>
    <cellStyle name="Normal 31 9 2" xfId="6838"/>
    <cellStyle name="Normal 31 9 2 2" xfId="15286"/>
    <cellStyle name="Normal 31 9 3" xfId="11062"/>
    <cellStyle name="Normal 32" xfId="366"/>
    <cellStyle name="Normal 32 10" xfId="4728"/>
    <cellStyle name="Normal 32 10 2" xfId="13177"/>
    <cellStyle name="Normal 32 11" xfId="8953"/>
    <cellStyle name="Normal 32 2" xfId="367"/>
    <cellStyle name="Normal 32 2 2" xfId="674"/>
    <cellStyle name="Normal 32 2 2 2" xfId="1026"/>
    <cellStyle name="Normal 32 2 2 2 2" xfId="2088"/>
    <cellStyle name="Normal 32 2 2 2 2 2" xfId="4200"/>
    <cellStyle name="Normal 32 2 2 2 2 2 2" xfId="8426"/>
    <cellStyle name="Normal 32 2 2 2 2 2 2 2" xfId="16874"/>
    <cellStyle name="Normal 32 2 2 2 2 2 3" xfId="12650"/>
    <cellStyle name="Normal 32 2 2 2 2 3" xfId="6314"/>
    <cellStyle name="Normal 32 2 2 2 2 3 2" xfId="14762"/>
    <cellStyle name="Normal 32 2 2 2 2 4" xfId="10538"/>
    <cellStyle name="Normal 32 2 2 2 3" xfId="3144"/>
    <cellStyle name="Normal 32 2 2 2 3 2" xfId="7370"/>
    <cellStyle name="Normal 32 2 2 2 3 2 2" xfId="15818"/>
    <cellStyle name="Normal 32 2 2 2 3 3" xfId="11594"/>
    <cellStyle name="Normal 32 2 2 2 4" xfId="5258"/>
    <cellStyle name="Normal 32 2 2 2 4 2" xfId="13706"/>
    <cellStyle name="Normal 32 2 2 2 5" xfId="9482"/>
    <cellStyle name="Normal 32 2 2 3" xfId="1736"/>
    <cellStyle name="Normal 32 2 2 3 2" xfId="3848"/>
    <cellStyle name="Normal 32 2 2 3 2 2" xfId="8074"/>
    <cellStyle name="Normal 32 2 2 3 2 2 2" xfId="16522"/>
    <cellStyle name="Normal 32 2 2 3 2 3" xfId="12298"/>
    <cellStyle name="Normal 32 2 2 3 3" xfId="5962"/>
    <cellStyle name="Normal 32 2 2 3 3 2" xfId="14410"/>
    <cellStyle name="Normal 32 2 2 3 4" xfId="10186"/>
    <cellStyle name="Normal 32 2 2 4" xfId="2792"/>
    <cellStyle name="Normal 32 2 2 4 2" xfId="7018"/>
    <cellStyle name="Normal 32 2 2 4 2 2" xfId="15466"/>
    <cellStyle name="Normal 32 2 2 4 3" xfId="11242"/>
    <cellStyle name="Normal 32 2 2 5" xfId="4906"/>
    <cellStyle name="Normal 32 2 2 5 2" xfId="13354"/>
    <cellStyle name="Normal 32 2 2 6" xfId="9130"/>
    <cellStyle name="Normal 32 2 3" xfId="850"/>
    <cellStyle name="Normal 32 2 3 2" xfId="1912"/>
    <cellStyle name="Normal 32 2 3 2 2" xfId="4024"/>
    <cellStyle name="Normal 32 2 3 2 2 2" xfId="8250"/>
    <cellStyle name="Normal 32 2 3 2 2 2 2" xfId="16698"/>
    <cellStyle name="Normal 32 2 3 2 2 3" xfId="12474"/>
    <cellStyle name="Normal 32 2 3 2 3" xfId="6138"/>
    <cellStyle name="Normal 32 2 3 2 3 2" xfId="14586"/>
    <cellStyle name="Normal 32 2 3 2 4" xfId="10362"/>
    <cellStyle name="Normal 32 2 3 3" xfId="2968"/>
    <cellStyle name="Normal 32 2 3 3 2" xfId="7194"/>
    <cellStyle name="Normal 32 2 3 3 2 2" xfId="15642"/>
    <cellStyle name="Normal 32 2 3 3 3" xfId="11418"/>
    <cellStyle name="Normal 32 2 3 4" xfId="5082"/>
    <cellStyle name="Normal 32 2 3 4 2" xfId="13530"/>
    <cellStyle name="Normal 32 2 3 5" xfId="9306"/>
    <cellStyle name="Normal 32 2 4" xfId="1202"/>
    <cellStyle name="Normal 32 2 4 2" xfId="2264"/>
    <cellStyle name="Normal 32 2 4 2 2" xfId="4376"/>
    <cellStyle name="Normal 32 2 4 2 2 2" xfId="8602"/>
    <cellStyle name="Normal 32 2 4 2 2 2 2" xfId="17050"/>
    <cellStyle name="Normal 32 2 4 2 2 3" xfId="12826"/>
    <cellStyle name="Normal 32 2 4 2 3" xfId="6490"/>
    <cellStyle name="Normal 32 2 4 2 3 2" xfId="14938"/>
    <cellStyle name="Normal 32 2 4 2 4" xfId="10714"/>
    <cellStyle name="Normal 32 2 4 3" xfId="3320"/>
    <cellStyle name="Normal 32 2 4 3 2" xfId="7546"/>
    <cellStyle name="Normal 32 2 4 3 2 2" xfId="15994"/>
    <cellStyle name="Normal 32 2 4 3 3" xfId="11770"/>
    <cellStyle name="Normal 32 2 4 4" xfId="5434"/>
    <cellStyle name="Normal 32 2 4 4 2" xfId="13882"/>
    <cellStyle name="Normal 32 2 4 5" xfId="9658"/>
    <cellStyle name="Normal 32 2 5" xfId="1384"/>
    <cellStyle name="Normal 32 2 5 2" xfId="2440"/>
    <cellStyle name="Normal 32 2 5 2 2" xfId="4552"/>
    <cellStyle name="Normal 32 2 5 2 2 2" xfId="8778"/>
    <cellStyle name="Normal 32 2 5 2 2 2 2" xfId="17226"/>
    <cellStyle name="Normal 32 2 5 2 2 3" xfId="13002"/>
    <cellStyle name="Normal 32 2 5 2 3" xfId="6666"/>
    <cellStyle name="Normal 32 2 5 2 3 2" xfId="15114"/>
    <cellStyle name="Normal 32 2 5 2 4" xfId="10890"/>
    <cellStyle name="Normal 32 2 5 3" xfId="3496"/>
    <cellStyle name="Normal 32 2 5 3 2" xfId="7722"/>
    <cellStyle name="Normal 32 2 5 3 2 2" xfId="16170"/>
    <cellStyle name="Normal 32 2 5 3 3" xfId="11946"/>
    <cellStyle name="Normal 32 2 5 4" xfId="5610"/>
    <cellStyle name="Normal 32 2 5 4 2" xfId="14058"/>
    <cellStyle name="Normal 32 2 5 5" xfId="9834"/>
    <cellStyle name="Normal 32 2 6" xfId="1560"/>
    <cellStyle name="Normal 32 2 6 2" xfId="3672"/>
    <cellStyle name="Normal 32 2 6 2 2" xfId="7898"/>
    <cellStyle name="Normal 32 2 6 2 2 2" xfId="16346"/>
    <cellStyle name="Normal 32 2 6 2 3" xfId="12122"/>
    <cellStyle name="Normal 32 2 6 3" xfId="5786"/>
    <cellStyle name="Normal 32 2 6 3 2" xfId="14234"/>
    <cellStyle name="Normal 32 2 6 4" xfId="10010"/>
    <cellStyle name="Normal 32 2 7" xfId="2616"/>
    <cellStyle name="Normal 32 2 7 2" xfId="6842"/>
    <cellStyle name="Normal 32 2 7 2 2" xfId="15290"/>
    <cellStyle name="Normal 32 2 7 3" xfId="11066"/>
    <cellStyle name="Normal 32 2 8" xfId="4729"/>
    <cellStyle name="Normal 32 2 8 2" xfId="13178"/>
    <cellStyle name="Normal 32 2 9" xfId="8954"/>
    <cellStyle name="Normal 32 3" xfId="368"/>
    <cellStyle name="Normal 32 3 2" xfId="675"/>
    <cellStyle name="Normal 32 3 2 2" xfId="1027"/>
    <cellStyle name="Normal 32 3 2 2 2" xfId="2089"/>
    <cellStyle name="Normal 32 3 2 2 2 2" xfId="4201"/>
    <cellStyle name="Normal 32 3 2 2 2 2 2" xfId="8427"/>
    <cellStyle name="Normal 32 3 2 2 2 2 2 2" xfId="16875"/>
    <cellStyle name="Normal 32 3 2 2 2 2 3" xfId="12651"/>
    <cellStyle name="Normal 32 3 2 2 2 3" xfId="6315"/>
    <cellStyle name="Normal 32 3 2 2 2 3 2" xfId="14763"/>
    <cellStyle name="Normal 32 3 2 2 2 4" xfId="10539"/>
    <cellStyle name="Normal 32 3 2 2 3" xfId="3145"/>
    <cellStyle name="Normal 32 3 2 2 3 2" xfId="7371"/>
    <cellStyle name="Normal 32 3 2 2 3 2 2" xfId="15819"/>
    <cellStyle name="Normal 32 3 2 2 3 3" xfId="11595"/>
    <cellStyle name="Normal 32 3 2 2 4" xfId="5259"/>
    <cellStyle name="Normal 32 3 2 2 4 2" xfId="13707"/>
    <cellStyle name="Normal 32 3 2 2 5" xfId="9483"/>
    <cellStyle name="Normal 32 3 2 3" xfId="1737"/>
    <cellStyle name="Normal 32 3 2 3 2" xfId="3849"/>
    <cellStyle name="Normal 32 3 2 3 2 2" xfId="8075"/>
    <cellStyle name="Normal 32 3 2 3 2 2 2" xfId="16523"/>
    <cellStyle name="Normal 32 3 2 3 2 3" xfId="12299"/>
    <cellStyle name="Normal 32 3 2 3 3" xfId="5963"/>
    <cellStyle name="Normal 32 3 2 3 3 2" xfId="14411"/>
    <cellStyle name="Normal 32 3 2 3 4" xfId="10187"/>
    <cellStyle name="Normal 32 3 2 4" xfId="2793"/>
    <cellStyle name="Normal 32 3 2 4 2" xfId="7019"/>
    <cellStyle name="Normal 32 3 2 4 2 2" xfId="15467"/>
    <cellStyle name="Normal 32 3 2 4 3" xfId="11243"/>
    <cellStyle name="Normal 32 3 2 5" xfId="4907"/>
    <cellStyle name="Normal 32 3 2 5 2" xfId="13355"/>
    <cellStyle name="Normal 32 3 2 6" xfId="9131"/>
    <cellStyle name="Normal 32 3 3" xfId="851"/>
    <cellStyle name="Normal 32 3 3 2" xfId="1913"/>
    <cellStyle name="Normal 32 3 3 2 2" xfId="4025"/>
    <cellStyle name="Normal 32 3 3 2 2 2" xfId="8251"/>
    <cellStyle name="Normal 32 3 3 2 2 2 2" xfId="16699"/>
    <cellStyle name="Normal 32 3 3 2 2 3" xfId="12475"/>
    <cellStyle name="Normal 32 3 3 2 3" xfId="6139"/>
    <cellStyle name="Normal 32 3 3 2 3 2" xfId="14587"/>
    <cellStyle name="Normal 32 3 3 2 4" xfId="10363"/>
    <cellStyle name="Normal 32 3 3 3" xfId="2969"/>
    <cellStyle name="Normal 32 3 3 3 2" xfId="7195"/>
    <cellStyle name="Normal 32 3 3 3 2 2" xfId="15643"/>
    <cellStyle name="Normal 32 3 3 3 3" xfId="11419"/>
    <cellStyle name="Normal 32 3 3 4" xfId="5083"/>
    <cellStyle name="Normal 32 3 3 4 2" xfId="13531"/>
    <cellStyle name="Normal 32 3 3 5" xfId="9307"/>
    <cellStyle name="Normal 32 3 4" xfId="1203"/>
    <cellStyle name="Normal 32 3 4 2" xfId="2265"/>
    <cellStyle name="Normal 32 3 4 2 2" xfId="4377"/>
    <cellStyle name="Normal 32 3 4 2 2 2" xfId="8603"/>
    <cellStyle name="Normal 32 3 4 2 2 2 2" xfId="17051"/>
    <cellStyle name="Normal 32 3 4 2 2 3" xfId="12827"/>
    <cellStyle name="Normal 32 3 4 2 3" xfId="6491"/>
    <cellStyle name="Normal 32 3 4 2 3 2" xfId="14939"/>
    <cellStyle name="Normal 32 3 4 2 4" xfId="10715"/>
    <cellStyle name="Normal 32 3 4 3" xfId="3321"/>
    <cellStyle name="Normal 32 3 4 3 2" xfId="7547"/>
    <cellStyle name="Normal 32 3 4 3 2 2" xfId="15995"/>
    <cellStyle name="Normal 32 3 4 3 3" xfId="11771"/>
    <cellStyle name="Normal 32 3 4 4" xfId="5435"/>
    <cellStyle name="Normal 32 3 4 4 2" xfId="13883"/>
    <cellStyle name="Normal 32 3 4 5" xfId="9659"/>
    <cellStyle name="Normal 32 3 5" xfId="1385"/>
    <cellStyle name="Normal 32 3 5 2" xfId="2441"/>
    <cellStyle name="Normal 32 3 5 2 2" xfId="4553"/>
    <cellStyle name="Normal 32 3 5 2 2 2" xfId="8779"/>
    <cellStyle name="Normal 32 3 5 2 2 2 2" xfId="17227"/>
    <cellStyle name="Normal 32 3 5 2 2 3" xfId="13003"/>
    <cellStyle name="Normal 32 3 5 2 3" xfId="6667"/>
    <cellStyle name="Normal 32 3 5 2 3 2" xfId="15115"/>
    <cellStyle name="Normal 32 3 5 2 4" xfId="10891"/>
    <cellStyle name="Normal 32 3 5 3" xfId="3497"/>
    <cellStyle name="Normal 32 3 5 3 2" xfId="7723"/>
    <cellStyle name="Normal 32 3 5 3 2 2" xfId="16171"/>
    <cellStyle name="Normal 32 3 5 3 3" xfId="11947"/>
    <cellStyle name="Normal 32 3 5 4" xfId="5611"/>
    <cellStyle name="Normal 32 3 5 4 2" xfId="14059"/>
    <cellStyle name="Normal 32 3 5 5" xfId="9835"/>
    <cellStyle name="Normal 32 3 6" xfId="1561"/>
    <cellStyle name="Normal 32 3 6 2" xfId="3673"/>
    <cellStyle name="Normal 32 3 6 2 2" xfId="7899"/>
    <cellStyle name="Normal 32 3 6 2 2 2" xfId="16347"/>
    <cellStyle name="Normal 32 3 6 2 3" xfId="12123"/>
    <cellStyle name="Normal 32 3 6 3" xfId="5787"/>
    <cellStyle name="Normal 32 3 6 3 2" xfId="14235"/>
    <cellStyle name="Normal 32 3 6 4" xfId="10011"/>
    <cellStyle name="Normal 32 3 7" xfId="2617"/>
    <cellStyle name="Normal 32 3 7 2" xfId="6843"/>
    <cellStyle name="Normal 32 3 7 2 2" xfId="15291"/>
    <cellStyle name="Normal 32 3 7 3" xfId="11067"/>
    <cellStyle name="Normal 32 3 8" xfId="4730"/>
    <cellStyle name="Normal 32 3 8 2" xfId="13179"/>
    <cellStyle name="Normal 32 3 9" xfId="8955"/>
    <cellStyle name="Normal 32 4" xfId="673"/>
    <cellStyle name="Normal 32 4 2" xfId="1025"/>
    <cellStyle name="Normal 32 4 2 2" xfId="2087"/>
    <cellStyle name="Normal 32 4 2 2 2" xfId="4199"/>
    <cellStyle name="Normal 32 4 2 2 2 2" xfId="8425"/>
    <cellStyle name="Normal 32 4 2 2 2 2 2" xfId="16873"/>
    <cellStyle name="Normal 32 4 2 2 2 3" xfId="12649"/>
    <cellStyle name="Normal 32 4 2 2 3" xfId="6313"/>
    <cellStyle name="Normal 32 4 2 2 3 2" xfId="14761"/>
    <cellStyle name="Normal 32 4 2 2 4" xfId="10537"/>
    <cellStyle name="Normal 32 4 2 3" xfId="3143"/>
    <cellStyle name="Normal 32 4 2 3 2" xfId="7369"/>
    <cellStyle name="Normal 32 4 2 3 2 2" xfId="15817"/>
    <cellStyle name="Normal 32 4 2 3 3" xfId="11593"/>
    <cellStyle name="Normal 32 4 2 4" xfId="5257"/>
    <cellStyle name="Normal 32 4 2 4 2" xfId="13705"/>
    <cellStyle name="Normal 32 4 2 5" xfId="9481"/>
    <cellStyle name="Normal 32 4 3" xfId="1735"/>
    <cellStyle name="Normal 32 4 3 2" xfId="3847"/>
    <cellStyle name="Normal 32 4 3 2 2" xfId="8073"/>
    <cellStyle name="Normal 32 4 3 2 2 2" xfId="16521"/>
    <cellStyle name="Normal 32 4 3 2 3" xfId="12297"/>
    <cellStyle name="Normal 32 4 3 3" xfId="5961"/>
    <cellStyle name="Normal 32 4 3 3 2" xfId="14409"/>
    <cellStyle name="Normal 32 4 3 4" xfId="10185"/>
    <cellStyle name="Normal 32 4 4" xfId="2791"/>
    <cellStyle name="Normal 32 4 4 2" xfId="7017"/>
    <cellStyle name="Normal 32 4 4 2 2" xfId="15465"/>
    <cellStyle name="Normal 32 4 4 3" xfId="11241"/>
    <cellStyle name="Normal 32 4 5" xfId="4905"/>
    <cellStyle name="Normal 32 4 5 2" xfId="13353"/>
    <cellStyle name="Normal 32 4 6" xfId="9129"/>
    <cellStyle name="Normal 32 5" xfId="849"/>
    <cellStyle name="Normal 32 5 2" xfId="1911"/>
    <cellStyle name="Normal 32 5 2 2" xfId="4023"/>
    <cellStyle name="Normal 32 5 2 2 2" xfId="8249"/>
    <cellStyle name="Normal 32 5 2 2 2 2" xfId="16697"/>
    <cellStyle name="Normal 32 5 2 2 3" xfId="12473"/>
    <cellStyle name="Normal 32 5 2 3" xfId="6137"/>
    <cellStyle name="Normal 32 5 2 3 2" xfId="14585"/>
    <cellStyle name="Normal 32 5 2 4" xfId="10361"/>
    <cellStyle name="Normal 32 5 3" xfId="2967"/>
    <cellStyle name="Normal 32 5 3 2" xfId="7193"/>
    <cellStyle name="Normal 32 5 3 2 2" xfId="15641"/>
    <cellStyle name="Normal 32 5 3 3" xfId="11417"/>
    <cellStyle name="Normal 32 5 4" xfId="5081"/>
    <cellStyle name="Normal 32 5 4 2" xfId="13529"/>
    <cellStyle name="Normal 32 5 5" xfId="9305"/>
    <cellStyle name="Normal 32 6" xfId="1201"/>
    <cellStyle name="Normal 32 6 2" xfId="2263"/>
    <cellStyle name="Normal 32 6 2 2" xfId="4375"/>
    <cellStyle name="Normal 32 6 2 2 2" xfId="8601"/>
    <cellStyle name="Normal 32 6 2 2 2 2" xfId="17049"/>
    <cellStyle name="Normal 32 6 2 2 3" xfId="12825"/>
    <cellStyle name="Normal 32 6 2 3" xfId="6489"/>
    <cellStyle name="Normal 32 6 2 3 2" xfId="14937"/>
    <cellStyle name="Normal 32 6 2 4" xfId="10713"/>
    <cellStyle name="Normal 32 6 3" xfId="3319"/>
    <cellStyle name="Normal 32 6 3 2" xfId="7545"/>
    <cellStyle name="Normal 32 6 3 2 2" xfId="15993"/>
    <cellStyle name="Normal 32 6 3 3" xfId="11769"/>
    <cellStyle name="Normal 32 6 4" xfId="5433"/>
    <cellStyle name="Normal 32 6 4 2" xfId="13881"/>
    <cellStyle name="Normal 32 6 5" xfId="9657"/>
    <cellStyle name="Normal 32 7" xfId="1383"/>
    <cellStyle name="Normal 32 7 2" xfId="2439"/>
    <cellStyle name="Normal 32 7 2 2" xfId="4551"/>
    <cellStyle name="Normal 32 7 2 2 2" xfId="8777"/>
    <cellStyle name="Normal 32 7 2 2 2 2" xfId="17225"/>
    <cellStyle name="Normal 32 7 2 2 3" xfId="13001"/>
    <cellStyle name="Normal 32 7 2 3" xfId="6665"/>
    <cellStyle name="Normal 32 7 2 3 2" xfId="15113"/>
    <cellStyle name="Normal 32 7 2 4" xfId="10889"/>
    <cellStyle name="Normal 32 7 3" xfId="3495"/>
    <cellStyle name="Normal 32 7 3 2" xfId="7721"/>
    <cellStyle name="Normal 32 7 3 2 2" xfId="16169"/>
    <cellStyle name="Normal 32 7 3 3" xfId="11945"/>
    <cellStyle name="Normal 32 7 4" xfId="5609"/>
    <cellStyle name="Normal 32 7 4 2" xfId="14057"/>
    <cellStyle name="Normal 32 7 5" xfId="9833"/>
    <cellStyle name="Normal 32 8" xfId="1559"/>
    <cellStyle name="Normal 32 8 2" xfId="3671"/>
    <cellStyle name="Normal 32 8 2 2" xfId="7897"/>
    <cellStyle name="Normal 32 8 2 2 2" xfId="16345"/>
    <cellStyle name="Normal 32 8 2 3" xfId="12121"/>
    <cellStyle name="Normal 32 8 3" xfId="5785"/>
    <cellStyle name="Normal 32 8 3 2" xfId="14233"/>
    <cellStyle name="Normal 32 8 4" xfId="10009"/>
    <cellStyle name="Normal 32 9" xfId="2615"/>
    <cellStyle name="Normal 32 9 2" xfId="6841"/>
    <cellStyle name="Normal 32 9 2 2" xfId="15289"/>
    <cellStyle name="Normal 32 9 3" xfId="11065"/>
    <cellStyle name="Normal 33" xfId="369"/>
    <cellStyle name="Normal 33 2" xfId="17398"/>
    <cellStyle name="Normal 34" xfId="370"/>
    <cellStyle name="Normal 34 10" xfId="4731"/>
    <cellStyle name="Normal 34 10 2" xfId="13180"/>
    <cellStyle name="Normal 34 11" xfId="8956"/>
    <cellStyle name="Normal 34 2" xfId="371"/>
    <cellStyle name="Normal 34 2 2" xfId="677"/>
    <cellStyle name="Normal 34 2 2 2" xfId="1029"/>
    <cellStyle name="Normal 34 2 2 2 2" xfId="2091"/>
    <cellStyle name="Normal 34 2 2 2 2 2" xfId="4203"/>
    <cellStyle name="Normal 34 2 2 2 2 2 2" xfId="8429"/>
    <cellStyle name="Normal 34 2 2 2 2 2 2 2" xfId="16877"/>
    <cellStyle name="Normal 34 2 2 2 2 2 3" xfId="12653"/>
    <cellStyle name="Normal 34 2 2 2 2 3" xfId="6317"/>
    <cellStyle name="Normal 34 2 2 2 2 3 2" xfId="14765"/>
    <cellStyle name="Normal 34 2 2 2 2 4" xfId="10541"/>
    <cellStyle name="Normal 34 2 2 2 3" xfId="3147"/>
    <cellStyle name="Normal 34 2 2 2 3 2" xfId="7373"/>
    <cellStyle name="Normal 34 2 2 2 3 2 2" xfId="15821"/>
    <cellStyle name="Normal 34 2 2 2 3 3" xfId="11597"/>
    <cellStyle name="Normal 34 2 2 2 4" xfId="5261"/>
    <cellStyle name="Normal 34 2 2 2 4 2" xfId="13709"/>
    <cellStyle name="Normal 34 2 2 2 5" xfId="9485"/>
    <cellStyle name="Normal 34 2 2 3" xfId="1739"/>
    <cellStyle name="Normal 34 2 2 3 2" xfId="3851"/>
    <cellStyle name="Normal 34 2 2 3 2 2" xfId="8077"/>
    <cellStyle name="Normal 34 2 2 3 2 2 2" xfId="16525"/>
    <cellStyle name="Normal 34 2 2 3 2 3" xfId="12301"/>
    <cellStyle name="Normal 34 2 2 3 3" xfId="5965"/>
    <cellStyle name="Normal 34 2 2 3 3 2" xfId="14413"/>
    <cellStyle name="Normal 34 2 2 3 4" xfId="10189"/>
    <cellStyle name="Normal 34 2 2 4" xfId="2795"/>
    <cellStyle name="Normal 34 2 2 4 2" xfId="7021"/>
    <cellStyle name="Normal 34 2 2 4 2 2" xfId="15469"/>
    <cellStyle name="Normal 34 2 2 4 3" xfId="11245"/>
    <cellStyle name="Normal 34 2 2 5" xfId="4909"/>
    <cellStyle name="Normal 34 2 2 5 2" xfId="13357"/>
    <cellStyle name="Normal 34 2 2 6" xfId="9133"/>
    <cellStyle name="Normal 34 2 3" xfId="853"/>
    <cellStyle name="Normal 34 2 3 2" xfId="1915"/>
    <cellStyle name="Normal 34 2 3 2 2" xfId="4027"/>
    <cellStyle name="Normal 34 2 3 2 2 2" xfId="8253"/>
    <cellStyle name="Normal 34 2 3 2 2 2 2" xfId="16701"/>
    <cellStyle name="Normal 34 2 3 2 2 3" xfId="12477"/>
    <cellStyle name="Normal 34 2 3 2 3" xfId="6141"/>
    <cellStyle name="Normal 34 2 3 2 3 2" xfId="14589"/>
    <cellStyle name="Normal 34 2 3 2 4" xfId="10365"/>
    <cellStyle name="Normal 34 2 3 3" xfId="2971"/>
    <cellStyle name="Normal 34 2 3 3 2" xfId="7197"/>
    <cellStyle name="Normal 34 2 3 3 2 2" xfId="15645"/>
    <cellStyle name="Normal 34 2 3 3 3" xfId="11421"/>
    <cellStyle name="Normal 34 2 3 4" xfId="5085"/>
    <cellStyle name="Normal 34 2 3 4 2" xfId="13533"/>
    <cellStyle name="Normal 34 2 3 5" xfId="9309"/>
    <cellStyle name="Normal 34 2 4" xfId="1205"/>
    <cellStyle name="Normal 34 2 4 2" xfId="2267"/>
    <cellStyle name="Normal 34 2 4 2 2" xfId="4379"/>
    <cellStyle name="Normal 34 2 4 2 2 2" xfId="8605"/>
    <cellStyle name="Normal 34 2 4 2 2 2 2" xfId="17053"/>
    <cellStyle name="Normal 34 2 4 2 2 3" xfId="12829"/>
    <cellStyle name="Normal 34 2 4 2 3" xfId="6493"/>
    <cellStyle name="Normal 34 2 4 2 3 2" xfId="14941"/>
    <cellStyle name="Normal 34 2 4 2 4" xfId="10717"/>
    <cellStyle name="Normal 34 2 4 3" xfId="3323"/>
    <cellStyle name="Normal 34 2 4 3 2" xfId="7549"/>
    <cellStyle name="Normal 34 2 4 3 2 2" xfId="15997"/>
    <cellStyle name="Normal 34 2 4 3 3" xfId="11773"/>
    <cellStyle name="Normal 34 2 4 4" xfId="5437"/>
    <cellStyle name="Normal 34 2 4 4 2" xfId="13885"/>
    <cellStyle name="Normal 34 2 4 5" xfId="9661"/>
    <cellStyle name="Normal 34 2 5" xfId="1387"/>
    <cellStyle name="Normal 34 2 5 2" xfId="2443"/>
    <cellStyle name="Normal 34 2 5 2 2" xfId="4555"/>
    <cellStyle name="Normal 34 2 5 2 2 2" xfId="8781"/>
    <cellStyle name="Normal 34 2 5 2 2 2 2" xfId="17229"/>
    <cellStyle name="Normal 34 2 5 2 2 3" xfId="13005"/>
    <cellStyle name="Normal 34 2 5 2 3" xfId="6669"/>
    <cellStyle name="Normal 34 2 5 2 3 2" xfId="15117"/>
    <cellStyle name="Normal 34 2 5 2 4" xfId="10893"/>
    <cellStyle name="Normal 34 2 5 3" xfId="3499"/>
    <cellStyle name="Normal 34 2 5 3 2" xfId="7725"/>
    <cellStyle name="Normal 34 2 5 3 2 2" xfId="16173"/>
    <cellStyle name="Normal 34 2 5 3 3" xfId="11949"/>
    <cellStyle name="Normal 34 2 5 4" xfId="5613"/>
    <cellStyle name="Normal 34 2 5 4 2" xfId="14061"/>
    <cellStyle name="Normal 34 2 5 5" xfId="9837"/>
    <cellStyle name="Normal 34 2 6" xfId="1563"/>
    <cellStyle name="Normal 34 2 6 2" xfId="3675"/>
    <cellStyle name="Normal 34 2 6 2 2" xfId="7901"/>
    <cellStyle name="Normal 34 2 6 2 2 2" xfId="16349"/>
    <cellStyle name="Normal 34 2 6 2 3" xfId="12125"/>
    <cellStyle name="Normal 34 2 6 3" xfId="5789"/>
    <cellStyle name="Normal 34 2 6 3 2" xfId="14237"/>
    <cellStyle name="Normal 34 2 6 4" xfId="10013"/>
    <cellStyle name="Normal 34 2 7" xfId="2619"/>
    <cellStyle name="Normal 34 2 7 2" xfId="6845"/>
    <cellStyle name="Normal 34 2 7 2 2" xfId="15293"/>
    <cellStyle name="Normal 34 2 7 3" xfId="11069"/>
    <cellStyle name="Normal 34 2 8" xfId="4732"/>
    <cellStyle name="Normal 34 2 8 2" xfId="13181"/>
    <cellStyle name="Normal 34 2 9" xfId="8957"/>
    <cellStyle name="Normal 34 3" xfId="372"/>
    <cellStyle name="Normal 34 3 2" xfId="678"/>
    <cellStyle name="Normal 34 3 2 2" xfId="1030"/>
    <cellStyle name="Normal 34 3 2 2 2" xfId="2092"/>
    <cellStyle name="Normal 34 3 2 2 2 2" xfId="4204"/>
    <cellStyle name="Normal 34 3 2 2 2 2 2" xfId="8430"/>
    <cellStyle name="Normal 34 3 2 2 2 2 2 2" xfId="16878"/>
    <cellStyle name="Normal 34 3 2 2 2 2 3" xfId="12654"/>
    <cellStyle name="Normal 34 3 2 2 2 3" xfId="6318"/>
    <cellStyle name="Normal 34 3 2 2 2 3 2" xfId="14766"/>
    <cellStyle name="Normal 34 3 2 2 2 4" xfId="10542"/>
    <cellStyle name="Normal 34 3 2 2 3" xfId="3148"/>
    <cellStyle name="Normal 34 3 2 2 3 2" xfId="7374"/>
    <cellStyle name="Normal 34 3 2 2 3 2 2" xfId="15822"/>
    <cellStyle name="Normal 34 3 2 2 3 3" xfId="11598"/>
    <cellStyle name="Normal 34 3 2 2 4" xfId="5262"/>
    <cellStyle name="Normal 34 3 2 2 4 2" xfId="13710"/>
    <cellStyle name="Normal 34 3 2 2 5" xfId="9486"/>
    <cellStyle name="Normal 34 3 2 3" xfId="1740"/>
    <cellStyle name="Normal 34 3 2 3 2" xfId="3852"/>
    <cellStyle name="Normal 34 3 2 3 2 2" xfId="8078"/>
    <cellStyle name="Normal 34 3 2 3 2 2 2" xfId="16526"/>
    <cellStyle name="Normal 34 3 2 3 2 3" xfId="12302"/>
    <cellStyle name="Normal 34 3 2 3 3" xfId="5966"/>
    <cellStyle name="Normal 34 3 2 3 3 2" xfId="14414"/>
    <cellStyle name="Normal 34 3 2 3 4" xfId="10190"/>
    <cellStyle name="Normal 34 3 2 4" xfId="2796"/>
    <cellStyle name="Normal 34 3 2 4 2" xfId="7022"/>
    <cellStyle name="Normal 34 3 2 4 2 2" xfId="15470"/>
    <cellStyle name="Normal 34 3 2 4 3" xfId="11246"/>
    <cellStyle name="Normal 34 3 2 5" xfId="4910"/>
    <cellStyle name="Normal 34 3 2 5 2" xfId="13358"/>
    <cellStyle name="Normal 34 3 2 6" xfId="9134"/>
    <cellStyle name="Normal 34 3 3" xfId="854"/>
    <cellStyle name="Normal 34 3 3 2" xfId="1916"/>
    <cellStyle name="Normal 34 3 3 2 2" xfId="4028"/>
    <cellStyle name="Normal 34 3 3 2 2 2" xfId="8254"/>
    <cellStyle name="Normal 34 3 3 2 2 2 2" xfId="16702"/>
    <cellStyle name="Normal 34 3 3 2 2 3" xfId="12478"/>
    <cellStyle name="Normal 34 3 3 2 3" xfId="6142"/>
    <cellStyle name="Normal 34 3 3 2 3 2" xfId="14590"/>
    <cellStyle name="Normal 34 3 3 2 4" xfId="10366"/>
    <cellStyle name="Normal 34 3 3 3" xfId="2972"/>
    <cellStyle name="Normal 34 3 3 3 2" xfId="7198"/>
    <cellStyle name="Normal 34 3 3 3 2 2" xfId="15646"/>
    <cellStyle name="Normal 34 3 3 3 3" xfId="11422"/>
    <cellStyle name="Normal 34 3 3 4" xfId="5086"/>
    <cellStyle name="Normal 34 3 3 4 2" xfId="13534"/>
    <cellStyle name="Normal 34 3 3 5" xfId="9310"/>
    <cellStyle name="Normal 34 3 4" xfId="1206"/>
    <cellStyle name="Normal 34 3 4 2" xfId="2268"/>
    <cellStyle name="Normal 34 3 4 2 2" xfId="4380"/>
    <cellStyle name="Normal 34 3 4 2 2 2" xfId="8606"/>
    <cellStyle name="Normal 34 3 4 2 2 2 2" xfId="17054"/>
    <cellStyle name="Normal 34 3 4 2 2 3" xfId="12830"/>
    <cellStyle name="Normal 34 3 4 2 3" xfId="6494"/>
    <cellStyle name="Normal 34 3 4 2 3 2" xfId="14942"/>
    <cellStyle name="Normal 34 3 4 2 4" xfId="10718"/>
    <cellStyle name="Normal 34 3 4 3" xfId="3324"/>
    <cellStyle name="Normal 34 3 4 3 2" xfId="7550"/>
    <cellStyle name="Normal 34 3 4 3 2 2" xfId="15998"/>
    <cellStyle name="Normal 34 3 4 3 3" xfId="11774"/>
    <cellStyle name="Normal 34 3 4 4" xfId="5438"/>
    <cellStyle name="Normal 34 3 4 4 2" xfId="13886"/>
    <cellStyle name="Normal 34 3 4 5" xfId="9662"/>
    <cellStyle name="Normal 34 3 5" xfId="1388"/>
    <cellStyle name="Normal 34 3 5 2" xfId="2444"/>
    <cellStyle name="Normal 34 3 5 2 2" xfId="4556"/>
    <cellStyle name="Normal 34 3 5 2 2 2" xfId="8782"/>
    <cellStyle name="Normal 34 3 5 2 2 2 2" xfId="17230"/>
    <cellStyle name="Normal 34 3 5 2 2 3" xfId="13006"/>
    <cellStyle name="Normal 34 3 5 2 3" xfId="6670"/>
    <cellStyle name="Normal 34 3 5 2 3 2" xfId="15118"/>
    <cellStyle name="Normal 34 3 5 2 4" xfId="10894"/>
    <cellStyle name="Normal 34 3 5 3" xfId="3500"/>
    <cellStyle name="Normal 34 3 5 3 2" xfId="7726"/>
    <cellStyle name="Normal 34 3 5 3 2 2" xfId="16174"/>
    <cellStyle name="Normal 34 3 5 3 3" xfId="11950"/>
    <cellStyle name="Normal 34 3 5 4" xfId="5614"/>
    <cellStyle name="Normal 34 3 5 4 2" xfId="14062"/>
    <cellStyle name="Normal 34 3 5 5" xfId="9838"/>
    <cellStyle name="Normal 34 3 6" xfId="1564"/>
    <cellStyle name="Normal 34 3 6 2" xfId="3676"/>
    <cellStyle name="Normal 34 3 6 2 2" xfId="7902"/>
    <cellStyle name="Normal 34 3 6 2 2 2" xfId="16350"/>
    <cellStyle name="Normal 34 3 6 2 3" xfId="12126"/>
    <cellStyle name="Normal 34 3 6 3" xfId="5790"/>
    <cellStyle name="Normal 34 3 6 3 2" xfId="14238"/>
    <cellStyle name="Normal 34 3 6 4" xfId="10014"/>
    <cellStyle name="Normal 34 3 7" xfId="2620"/>
    <cellStyle name="Normal 34 3 7 2" xfId="6846"/>
    <cellStyle name="Normal 34 3 7 2 2" xfId="15294"/>
    <cellStyle name="Normal 34 3 7 3" xfId="11070"/>
    <cellStyle name="Normal 34 3 8" xfId="4733"/>
    <cellStyle name="Normal 34 3 8 2" xfId="13182"/>
    <cellStyle name="Normal 34 3 9" xfId="8958"/>
    <cellStyle name="Normal 34 4" xfId="676"/>
    <cellStyle name="Normal 34 4 2" xfId="1028"/>
    <cellStyle name="Normal 34 4 2 2" xfId="2090"/>
    <cellStyle name="Normal 34 4 2 2 2" xfId="4202"/>
    <cellStyle name="Normal 34 4 2 2 2 2" xfId="8428"/>
    <cellStyle name="Normal 34 4 2 2 2 2 2" xfId="16876"/>
    <cellStyle name="Normal 34 4 2 2 2 3" xfId="12652"/>
    <cellStyle name="Normal 34 4 2 2 3" xfId="6316"/>
    <cellStyle name="Normal 34 4 2 2 3 2" xfId="14764"/>
    <cellStyle name="Normal 34 4 2 2 4" xfId="10540"/>
    <cellStyle name="Normal 34 4 2 3" xfId="3146"/>
    <cellStyle name="Normal 34 4 2 3 2" xfId="7372"/>
    <cellStyle name="Normal 34 4 2 3 2 2" xfId="15820"/>
    <cellStyle name="Normal 34 4 2 3 3" xfId="11596"/>
    <cellStyle name="Normal 34 4 2 4" xfId="5260"/>
    <cellStyle name="Normal 34 4 2 4 2" xfId="13708"/>
    <cellStyle name="Normal 34 4 2 5" xfId="9484"/>
    <cellStyle name="Normal 34 4 3" xfId="1738"/>
    <cellStyle name="Normal 34 4 3 2" xfId="3850"/>
    <cellStyle name="Normal 34 4 3 2 2" xfId="8076"/>
    <cellStyle name="Normal 34 4 3 2 2 2" xfId="16524"/>
    <cellStyle name="Normal 34 4 3 2 3" xfId="12300"/>
    <cellStyle name="Normal 34 4 3 3" xfId="5964"/>
    <cellStyle name="Normal 34 4 3 3 2" xfId="14412"/>
    <cellStyle name="Normal 34 4 3 4" xfId="10188"/>
    <cellStyle name="Normal 34 4 4" xfId="2794"/>
    <cellStyle name="Normal 34 4 4 2" xfId="7020"/>
    <cellStyle name="Normal 34 4 4 2 2" xfId="15468"/>
    <cellStyle name="Normal 34 4 4 3" xfId="11244"/>
    <cellStyle name="Normal 34 4 5" xfId="4908"/>
    <cellStyle name="Normal 34 4 5 2" xfId="13356"/>
    <cellStyle name="Normal 34 4 6" xfId="9132"/>
    <cellStyle name="Normal 34 5" xfId="852"/>
    <cellStyle name="Normal 34 5 2" xfId="1914"/>
    <cellStyle name="Normal 34 5 2 2" xfId="4026"/>
    <cellStyle name="Normal 34 5 2 2 2" xfId="8252"/>
    <cellStyle name="Normal 34 5 2 2 2 2" xfId="16700"/>
    <cellStyle name="Normal 34 5 2 2 3" xfId="12476"/>
    <cellStyle name="Normal 34 5 2 3" xfId="6140"/>
    <cellStyle name="Normal 34 5 2 3 2" xfId="14588"/>
    <cellStyle name="Normal 34 5 2 4" xfId="10364"/>
    <cellStyle name="Normal 34 5 3" xfId="2970"/>
    <cellStyle name="Normal 34 5 3 2" xfId="7196"/>
    <cellStyle name="Normal 34 5 3 2 2" xfId="15644"/>
    <cellStyle name="Normal 34 5 3 3" xfId="11420"/>
    <cellStyle name="Normal 34 5 4" xfId="5084"/>
    <cellStyle name="Normal 34 5 4 2" xfId="13532"/>
    <cellStyle name="Normal 34 5 5" xfId="9308"/>
    <cellStyle name="Normal 34 6" xfId="1204"/>
    <cellStyle name="Normal 34 6 2" xfId="2266"/>
    <cellStyle name="Normal 34 6 2 2" xfId="4378"/>
    <cellStyle name="Normal 34 6 2 2 2" xfId="8604"/>
    <cellStyle name="Normal 34 6 2 2 2 2" xfId="17052"/>
    <cellStyle name="Normal 34 6 2 2 3" xfId="12828"/>
    <cellStyle name="Normal 34 6 2 3" xfId="6492"/>
    <cellStyle name="Normal 34 6 2 3 2" xfId="14940"/>
    <cellStyle name="Normal 34 6 2 4" xfId="10716"/>
    <cellStyle name="Normal 34 6 3" xfId="3322"/>
    <cellStyle name="Normal 34 6 3 2" xfId="7548"/>
    <cellStyle name="Normal 34 6 3 2 2" xfId="15996"/>
    <cellStyle name="Normal 34 6 3 3" xfId="11772"/>
    <cellStyle name="Normal 34 6 4" xfId="5436"/>
    <cellStyle name="Normal 34 6 4 2" xfId="13884"/>
    <cellStyle name="Normal 34 6 5" xfId="9660"/>
    <cellStyle name="Normal 34 7" xfId="1386"/>
    <cellStyle name="Normal 34 7 2" xfId="2442"/>
    <cellStyle name="Normal 34 7 2 2" xfId="4554"/>
    <cellStyle name="Normal 34 7 2 2 2" xfId="8780"/>
    <cellStyle name="Normal 34 7 2 2 2 2" xfId="17228"/>
    <cellStyle name="Normal 34 7 2 2 3" xfId="13004"/>
    <cellStyle name="Normal 34 7 2 3" xfId="6668"/>
    <cellStyle name="Normal 34 7 2 3 2" xfId="15116"/>
    <cellStyle name="Normal 34 7 2 4" xfId="10892"/>
    <cellStyle name="Normal 34 7 3" xfId="3498"/>
    <cellStyle name="Normal 34 7 3 2" xfId="7724"/>
    <cellStyle name="Normal 34 7 3 2 2" xfId="16172"/>
    <cellStyle name="Normal 34 7 3 3" xfId="11948"/>
    <cellStyle name="Normal 34 7 4" xfId="5612"/>
    <cellStyle name="Normal 34 7 4 2" xfId="14060"/>
    <cellStyle name="Normal 34 7 5" xfId="9836"/>
    <cellStyle name="Normal 34 8" xfId="1562"/>
    <cellStyle name="Normal 34 8 2" xfId="3674"/>
    <cellStyle name="Normal 34 8 2 2" xfId="7900"/>
    <cellStyle name="Normal 34 8 2 2 2" xfId="16348"/>
    <cellStyle name="Normal 34 8 2 3" xfId="12124"/>
    <cellStyle name="Normal 34 8 3" xfId="5788"/>
    <cellStyle name="Normal 34 8 3 2" xfId="14236"/>
    <cellStyle name="Normal 34 8 4" xfId="10012"/>
    <cellStyle name="Normal 34 9" xfId="2618"/>
    <cellStyle name="Normal 34 9 2" xfId="6844"/>
    <cellStyle name="Normal 34 9 2 2" xfId="15292"/>
    <cellStyle name="Normal 34 9 3" xfId="11068"/>
    <cellStyle name="Normal 35" xfId="373"/>
    <cellStyle name="Normal 35 10" xfId="4734"/>
    <cellStyle name="Normal 35 10 2" xfId="13183"/>
    <cellStyle name="Normal 35 11" xfId="8959"/>
    <cellStyle name="Normal 35 2" xfId="374"/>
    <cellStyle name="Normal 35 2 2" xfId="680"/>
    <cellStyle name="Normal 35 2 2 2" xfId="1032"/>
    <cellStyle name="Normal 35 2 2 2 2" xfId="2094"/>
    <cellStyle name="Normal 35 2 2 2 2 2" xfId="4206"/>
    <cellStyle name="Normal 35 2 2 2 2 2 2" xfId="8432"/>
    <cellStyle name="Normal 35 2 2 2 2 2 2 2" xfId="16880"/>
    <cellStyle name="Normal 35 2 2 2 2 2 3" xfId="12656"/>
    <cellStyle name="Normal 35 2 2 2 2 3" xfId="6320"/>
    <cellStyle name="Normal 35 2 2 2 2 3 2" xfId="14768"/>
    <cellStyle name="Normal 35 2 2 2 2 4" xfId="10544"/>
    <cellStyle name="Normal 35 2 2 2 3" xfId="3150"/>
    <cellStyle name="Normal 35 2 2 2 3 2" xfId="7376"/>
    <cellStyle name="Normal 35 2 2 2 3 2 2" xfId="15824"/>
    <cellStyle name="Normal 35 2 2 2 3 3" xfId="11600"/>
    <cellStyle name="Normal 35 2 2 2 4" xfId="5264"/>
    <cellStyle name="Normal 35 2 2 2 4 2" xfId="13712"/>
    <cellStyle name="Normal 35 2 2 2 5" xfId="9488"/>
    <cellStyle name="Normal 35 2 2 3" xfId="1742"/>
    <cellStyle name="Normal 35 2 2 3 2" xfId="3854"/>
    <cellStyle name="Normal 35 2 2 3 2 2" xfId="8080"/>
    <cellStyle name="Normal 35 2 2 3 2 2 2" xfId="16528"/>
    <cellStyle name="Normal 35 2 2 3 2 3" xfId="12304"/>
    <cellStyle name="Normal 35 2 2 3 3" xfId="5968"/>
    <cellStyle name="Normal 35 2 2 3 3 2" xfId="14416"/>
    <cellStyle name="Normal 35 2 2 3 4" xfId="10192"/>
    <cellStyle name="Normal 35 2 2 4" xfId="2798"/>
    <cellStyle name="Normal 35 2 2 4 2" xfId="7024"/>
    <cellStyle name="Normal 35 2 2 4 2 2" xfId="15472"/>
    <cellStyle name="Normal 35 2 2 4 3" xfId="11248"/>
    <cellStyle name="Normal 35 2 2 5" xfId="4912"/>
    <cellStyle name="Normal 35 2 2 5 2" xfId="13360"/>
    <cellStyle name="Normal 35 2 2 6" xfId="9136"/>
    <cellStyle name="Normal 35 2 3" xfId="856"/>
    <cellStyle name="Normal 35 2 3 2" xfId="1918"/>
    <cellStyle name="Normal 35 2 3 2 2" xfId="4030"/>
    <cellStyle name="Normal 35 2 3 2 2 2" xfId="8256"/>
    <cellStyle name="Normal 35 2 3 2 2 2 2" xfId="16704"/>
    <cellStyle name="Normal 35 2 3 2 2 3" xfId="12480"/>
    <cellStyle name="Normal 35 2 3 2 3" xfId="6144"/>
    <cellStyle name="Normal 35 2 3 2 3 2" xfId="14592"/>
    <cellStyle name="Normal 35 2 3 2 4" xfId="10368"/>
    <cellStyle name="Normal 35 2 3 3" xfId="2974"/>
    <cellStyle name="Normal 35 2 3 3 2" xfId="7200"/>
    <cellStyle name="Normal 35 2 3 3 2 2" xfId="15648"/>
    <cellStyle name="Normal 35 2 3 3 3" xfId="11424"/>
    <cellStyle name="Normal 35 2 3 4" xfId="5088"/>
    <cellStyle name="Normal 35 2 3 4 2" xfId="13536"/>
    <cellStyle name="Normal 35 2 3 5" xfId="9312"/>
    <cellStyle name="Normal 35 2 4" xfId="1208"/>
    <cellStyle name="Normal 35 2 4 2" xfId="2270"/>
    <cellStyle name="Normal 35 2 4 2 2" xfId="4382"/>
    <cellStyle name="Normal 35 2 4 2 2 2" xfId="8608"/>
    <cellStyle name="Normal 35 2 4 2 2 2 2" xfId="17056"/>
    <cellStyle name="Normal 35 2 4 2 2 3" xfId="12832"/>
    <cellStyle name="Normal 35 2 4 2 3" xfId="6496"/>
    <cellStyle name="Normal 35 2 4 2 3 2" xfId="14944"/>
    <cellStyle name="Normal 35 2 4 2 4" xfId="10720"/>
    <cellStyle name="Normal 35 2 4 3" xfId="3326"/>
    <cellStyle name="Normal 35 2 4 3 2" xfId="7552"/>
    <cellStyle name="Normal 35 2 4 3 2 2" xfId="16000"/>
    <cellStyle name="Normal 35 2 4 3 3" xfId="11776"/>
    <cellStyle name="Normal 35 2 4 4" xfId="5440"/>
    <cellStyle name="Normal 35 2 4 4 2" xfId="13888"/>
    <cellStyle name="Normal 35 2 4 5" xfId="9664"/>
    <cellStyle name="Normal 35 2 5" xfId="1390"/>
    <cellStyle name="Normal 35 2 5 2" xfId="2446"/>
    <cellStyle name="Normal 35 2 5 2 2" xfId="4558"/>
    <cellStyle name="Normal 35 2 5 2 2 2" xfId="8784"/>
    <cellStyle name="Normal 35 2 5 2 2 2 2" xfId="17232"/>
    <cellStyle name="Normal 35 2 5 2 2 3" xfId="13008"/>
    <cellStyle name="Normal 35 2 5 2 3" xfId="6672"/>
    <cellStyle name="Normal 35 2 5 2 3 2" xfId="15120"/>
    <cellStyle name="Normal 35 2 5 2 4" xfId="10896"/>
    <cellStyle name="Normal 35 2 5 3" xfId="3502"/>
    <cellStyle name="Normal 35 2 5 3 2" xfId="7728"/>
    <cellStyle name="Normal 35 2 5 3 2 2" xfId="16176"/>
    <cellStyle name="Normal 35 2 5 3 3" xfId="11952"/>
    <cellStyle name="Normal 35 2 5 4" xfId="5616"/>
    <cellStyle name="Normal 35 2 5 4 2" xfId="14064"/>
    <cellStyle name="Normal 35 2 5 5" xfId="9840"/>
    <cellStyle name="Normal 35 2 6" xfId="1566"/>
    <cellStyle name="Normal 35 2 6 2" xfId="3678"/>
    <cellStyle name="Normal 35 2 6 2 2" xfId="7904"/>
    <cellStyle name="Normal 35 2 6 2 2 2" xfId="16352"/>
    <cellStyle name="Normal 35 2 6 2 3" xfId="12128"/>
    <cellStyle name="Normal 35 2 6 3" xfId="5792"/>
    <cellStyle name="Normal 35 2 6 3 2" xfId="14240"/>
    <cellStyle name="Normal 35 2 6 4" xfId="10016"/>
    <cellStyle name="Normal 35 2 7" xfId="2622"/>
    <cellStyle name="Normal 35 2 7 2" xfId="6848"/>
    <cellStyle name="Normal 35 2 7 2 2" xfId="15296"/>
    <cellStyle name="Normal 35 2 7 3" xfId="11072"/>
    <cellStyle name="Normal 35 2 8" xfId="4735"/>
    <cellStyle name="Normal 35 2 8 2" xfId="13184"/>
    <cellStyle name="Normal 35 2 9" xfId="8960"/>
    <cellStyle name="Normal 35 3" xfId="375"/>
    <cellStyle name="Normal 35 3 2" xfId="681"/>
    <cellStyle name="Normal 35 3 2 2" xfId="1033"/>
    <cellStyle name="Normal 35 3 2 2 2" xfId="2095"/>
    <cellStyle name="Normal 35 3 2 2 2 2" xfId="4207"/>
    <cellStyle name="Normal 35 3 2 2 2 2 2" xfId="8433"/>
    <cellStyle name="Normal 35 3 2 2 2 2 2 2" xfId="16881"/>
    <cellStyle name="Normal 35 3 2 2 2 2 3" xfId="12657"/>
    <cellStyle name="Normal 35 3 2 2 2 3" xfId="6321"/>
    <cellStyle name="Normal 35 3 2 2 2 3 2" xfId="14769"/>
    <cellStyle name="Normal 35 3 2 2 2 4" xfId="10545"/>
    <cellStyle name="Normal 35 3 2 2 3" xfId="3151"/>
    <cellStyle name="Normal 35 3 2 2 3 2" xfId="7377"/>
    <cellStyle name="Normal 35 3 2 2 3 2 2" xfId="15825"/>
    <cellStyle name="Normal 35 3 2 2 3 3" xfId="11601"/>
    <cellStyle name="Normal 35 3 2 2 4" xfId="5265"/>
    <cellStyle name="Normal 35 3 2 2 4 2" xfId="13713"/>
    <cellStyle name="Normal 35 3 2 2 5" xfId="9489"/>
    <cellStyle name="Normal 35 3 2 3" xfId="1743"/>
    <cellStyle name="Normal 35 3 2 3 2" xfId="3855"/>
    <cellStyle name="Normal 35 3 2 3 2 2" xfId="8081"/>
    <cellStyle name="Normal 35 3 2 3 2 2 2" xfId="16529"/>
    <cellStyle name="Normal 35 3 2 3 2 3" xfId="12305"/>
    <cellStyle name="Normal 35 3 2 3 3" xfId="5969"/>
    <cellStyle name="Normal 35 3 2 3 3 2" xfId="14417"/>
    <cellStyle name="Normal 35 3 2 3 4" xfId="10193"/>
    <cellStyle name="Normal 35 3 2 4" xfId="2799"/>
    <cellStyle name="Normal 35 3 2 4 2" xfId="7025"/>
    <cellStyle name="Normal 35 3 2 4 2 2" xfId="15473"/>
    <cellStyle name="Normal 35 3 2 4 3" xfId="11249"/>
    <cellStyle name="Normal 35 3 2 5" xfId="4913"/>
    <cellStyle name="Normal 35 3 2 5 2" xfId="13361"/>
    <cellStyle name="Normal 35 3 2 6" xfId="9137"/>
    <cellStyle name="Normal 35 3 3" xfId="857"/>
    <cellStyle name="Normal 35 3 3 2" xfId="1919"/>
    <cellStyle name="Normal 35 3 3 2 2" xfId="4031"/>
    <cellStyle name="Normal 35 3 3 2 2 2" xfId="8257"/>
    <cellStyle name="Normal 35 3 3 2 2 2 2" xfId="16705"/>
    <cellStyle name="Normal 35 3 3 2 2 3" xfId="12481"/>
    <cellStyle name="Normal 35 3 3 2 3" xfId="6145"/>
    <cellStyle name="Normal 35 3 3 2 3 2" xfId="14593"/>
    <cellStyle name="Normal 35 3 3 2 4" xfId="10369"/>
    <cellStyle name="Normal 35 3 3 3" xfId="2975"/>
    <cellStyle name="Normal 35 3 3 3 2" xfId="7201"/>
    <cellStyle name="Normal 35 3 3 3 2 2" xfId="15649"/>
    <cellStyle name="Normal 35 3 3 3 3" xfId="11425"/>
    <cellStyle name="Normal 35 3 3 4" xfId="5089"/>
    <cellStyle name="Normal 35 3 3 4 2" xfId="13537"/>
    <cellStyle name="Normal 35 3 3 5" xfId="9313"/>
    <cellStyle name="Normal 35 3 4" xfId="1209"/>
    <cellStyle name="Normal 35 3 4 2" xfId="2271"/>
    <cellStyle name="Normal 35 3 4 2 2" xfId="4383"/>
    <cellStyle name="Normal 35 3 4 2 2 2" xfId="8609"/>
    <cellStyle name="Normal 35 3 4 2 2 2 2" xfId="17057"/>
    <cellStyle name="Normal 35 3 4 2 2 3" xfId="12833"/>
    <cellStyle name="Normal 35 3 4 2 3" xfId="6497"/>
    <cellStyle name="Normal 35 3 4 2 3 2" xfId="14945"/>
    <cellStyle name="Normal 35 3 4 2 4" xfId="10721"/>
    <cellStyle name="Normal 35 3 4 3" xfId="3327"/>
    <cellStyle name="Normal 35 3 4 3 2" xfId="7553"/>
    <cellStyle name="Normal 35 3 4 3 2 2" xfId="16001"/>
    <cellStyle name="Normal 35 3 4 3 3" xfId="11777"/>
    <cellStyle name="Normal 35 3 4 4" xfId="5441"/>
    <cellStyle name="Normal 35 3 4 4 2" xfId="13889"/>
    <cellStyle name="Normal 35 3 4 5" xfId="9665"/>
    <cellStyle name="Normal 35 3 5" xfId="1391"/>
    <cellStyle name="Normal 35 3 5 2" xfId="2447"/>
    <cellStyle name="Normal 35 3 5 2 2" xfId="4559"/>
    <cellStyle name="Normal 35 3 5 2 2 2" xfId="8785"/>
    <cellStyle name="Normal 35 3 5 2 2 2 2" xfId="17233"/>
    <cellStyle name="Normal 35 3 5 2 2 3" xfId="13009"/>
    <cellStyle name="Normal 35 3 5 2 3" xfId="6673"/>
    <cellStyle name="Normal 35 3 5 2 3 2" xfId="15121"/>
    <cellStyle name="Normal 35 3 5 2 4" xfId="10897"/>
    <cellStyle name="Normal 35 3 5 3" xfId="3503"/>
    <cellStyle name="Normal 35 3 5 3 2" xfId="7729"/>
    <cellStyle name="Normal 35 3 5 3 2 2" xfId="16177"/>
    <cellStyle name="Normal 35 3 5 3 3" xfId="11953"/>
    <cellStyle name="Normal 35 3 5 4" xfId="5617"/>
    <cellStyle name="Normal 35 3 5 4 2" xfId="14065"/>
    <cellStyle name="Normal 35 3 5 5" xfId="9841"/>
    <cellStyle name="Normal 35 3 6" xfId="1567"/>
    <cellStyle name="Normal 35 3 6 2" xfId="3679"/>
    <cellStyle name="Normal 35 3 6 2 2" xfId="7905"/>
    <cellStyle name="Normal 35 3 6 2 2 2" xfId="16353"/>
    <cellStyle name="Normal 35 3 6 2 3" xfId="12129"/>
    <cellStyle name="Normal 35 3 6 3" xfId="5793"/>
    <cellStyle name="Normal 35 3 6 3 2" xfId="14241"/>
    <cellStyle name="Normal 35 3 6 4" xfId="10017"/>
    <cellStyle name="Normal 35 3 7" xfId="2623"/>
    <cellStyle name="Normal 35 3 7 2" xfId="6849"/>
    <cellStyle name="Normal 35 3 7 2 2" xfId="15297"/>
    <cellStyle name="Normal 35 3 7 3" xfId="11073"/>
    <cellStyle name="Normal 35 3 8" xfId="4736"/>
    <cellStyle name="Normal 35 3 8 2" xfId="13185"/>
    <cellStyle name="Normal 35 3 9" xfId="8961"/>
    <cellStyle name="Normal 35 4" xfId="679"/>
    <cellStyle name="Normal 35 4 2" xfId="1031"/>
    <cellStyle name="Normal 35 4 2 2" xfId="2093"/>
    <cellStyle name="Normal 35 4 2 2 2" xfId="4205"/>
    <cellStyle name="Normal 35 4 2 2 2 2" xfId="8431"/>
    <cellStyle name="Normal 35 4 2 2 2 2 2" xfId="16879"/>
    <cellStyle name="Normal 35 4 2 2 2 3" xfId="12655"/>
    <cellStyle name="Normal 35 4 2 2 3" xfId="6319"/>
    <cellStyle name="Normal 35 4 2 2 3 2" xfId="14767"/>
    <cellStyle name="Normal 35 4 2 2 4" xfId="10543"/>
    <cellStyle name="Normal 35 4 2 3" xfId="3149"/>
    <cellStyle name="Normal 35 4 2 3 2" xfId="7375"/>
    <cellStyle name="Normal 35 4 2 3 2 2" xfId="15823"/>
    <cellStyle name="Normal 35 4 2 3 3" xfId="11599"/>
    <cellStyle name="Normal 35 4 2 4" xfId="5263"/>
    <cellStyle name="Normal 35 4 2 4 2" xfId="13711"/>
    <cellStyle name="Normal 35 4 2 5" xfId="9487"/>
    <cellStyle name="Normal 35 4 3" xfId="1741"/>
    <cellStyle name="Normal 35 4 3 2" xfId="3853"/>
    <cellStyle name="Normal 35 4 3 2 2" xfId="8079"/>
    <cellStyle name="Normal 35 4 3 2 2 2" xfId="16527"/>
    <cellStyle name="Normal 35 4 3 2 3" xfId="12303"/>
    <cellStyle name="Normal 35 4 3 3" xfId="5967"/>
    <cellStyle name="Normal 35 4 3 3 2" xfId="14415"/>
    <cellStyle name="Normal 35 4 3 4" xfId="10191"/>
    <cellStyle name="Normal 35 4 4" xfId="2797"/>
    <cellStyle name="Normal 35 4 4 2" xfId="7023"/>
    <cellStyle name="Normal 35 4 4 2 2" xfId="15471"/>
    <cellStyle name="Normal 35 4 4 3" xfId="11247"/>
    <cellStyle name="Normal 35 4 5" xfId="4911"/>
    <cellStyle name="Normal 35 4 5 2" xfId="13359"/>
    <cellStyle name="Normal 35 4 6" xfId="9135"/>
    <cellStyle name="Normal 35 5" xfId="855"/>
    <cellStyle name="Normal 35 5 2" xfId="1917"/>
    <cellStyle name="Normal 35 5 2 2" xfId="4029"/>
    <cellStyle name="Normal 35 5 2 2 2" xfId="8255"/>
    <cellStyle name="Normal 35 5 2 2 2 2" xfId="16703"/>
    <cellStyle name="Normal 35 5 2 2 3" xfId="12479"/>
    <cellStyle name="Normal 35 5 2 3" xfId="6143"/>
    <cellStyle name="Normal 35 5 2 3 2" xfId="14591"/>
    <cellStyle name="Normal 35 5 2 4" xfId="10367"/>
    <cellStyle name="Normal 35 5 3" xfId="2973"/>
    <cellStyle name="Normal 35 5 3 2" xfId="7199"/>
    <cellStyle name="Normal 35 5 3 2 2" xfId="15647"/>
    <cellStyle name="Normal 35 5 3 3" xfId="11423"/>
    <cellStyle name="Normal 35 5 4" xfId="5087"/>
    <cellStyle name="Normal 35 5 4 2" xfId="13535"/>
    <cellStyle name="Normal 35 5 5" xfId="9311"/>
    <cellStyle name="Normal 35 6" xfId="1207"/>
    <cellStyle name="Normal 35 6 2" xfId="2269"/>
    <cellStyle name="Normal 35 6 2 2" xfId="4381"/>
    <cellStyle name="Normal 35 6 2 2 2" xfId="8607"/>
    <cellStyle name="Normal 35 6 2 2 2 2" xfId="17055"/>
    <cellStyle name="Normal 35 6 2 2 3" xfId="12831"/>
    <cellStyle name="Normal 35 6 2 3" xfId="6495"/>
    <cellStyle name="Normal 35 6 2 3 2" xfId="14943"/>
    <cellStyle name="Normal 35 6 2 4" xfId="10719"/>
    <cellStyle name="Normal 35 6 3" xfId="3325"/>
    <cellStyle name="Normal 35 6 3 2" xfId="7551"/>
    <cellStyle name="Normal 35 6 3 2 2" xfId="15999"/>
    <cellStyle name="Normal 35 6 3 3" xfId="11775"/>
    <cellStyle name="Normal 35 6 4" xfId="5439"/>
    <cellStyle name="Normal 35 6 4 2" xfId="13887"/>
    <cellStyle name="Normal 35 6 5" xfId="9663"/>
    <cellStyle name="Normal 35 7" xfId="1389"/>
    <cellStyle name="Normal 35 7 2" xfId="2445"/>
    <cellStyle name="Normal 35 7 2 2" xfId="4557"/>
    <cellStyle name="Normal 35 7 2 2 2" xfId="8783"/>
    <cellStyle name="Normal 35 7 2 2 2 2" xfId="17231"/>
    <cellStyle name="Normal 35 7 2 2 3" xfId="13007"/>
    <cellStyle name="Normal 35 7 2 3" xfId="6671"/>
    <cellStyle name="Normal 35 7 2 3 2" xfId="15119"/>
    <cellStyle name="Normal 35 7 2 4" xfId="10895"/>
    <cellStyle name="Normal 35 7 3" xfId="3501"/>
    <cellStyle name="Normal 35 7 3 2" xfId="7727"/>
    <cellStyle name="Normal 35 7 3 2 2" xfId="16175"/>
    <cellStyle name="Normal 35 7 3 3" xfId="11951"/>
    <cellStyle name="Normal 35 7 4" xfId="5615"/>
    <cellStyle name="Normal 35 7 4 2" xfId="14063"/>
    <cellStyle name="Normal 35 7 5" xfId="9839"/>
    <cellStyle name="Normal 35 8" xfId="1565"/>
    <cellStyle name="Normal 35 8 2" xfId="3677"/>
    <cellStyle name="Normal 35 8 2 2" xfId="7903"/>
    <cellStyle name="Normal 35 8 2 2 2" xfId="16351"/>
    <cellStyle name="Normal 35 8 2 3" xfId="12127"/>
    <cellStyle name="Normal 35 8 3" xfId="5791"/>
    <cellStyle name="Normal 35 8 3 2" xfId="14239"/>
    <cellStyle name="Normal 35 8 4" xfId="10015"/>
    <cellStyle name="Normal 35 9" xfId="2621"/>
    <cellStyle name="Normal 35 9 2" xfId="6847"/>
    <cellStyle name="Normal 35 9 2 2" xfId="15295"/>
    <cellStyle name="Normal 35 9 3" xfId="11071"/>
    <cellStyle name="Normal 36" xfId="376"/>
    <cellStyle name="Normal 36 2" xfId="17387"/>
    <cellStyle name="Normal 37" xfId="377"/>
    <cellStyle name="Normal 37 2" xfId="17351"/>
    <cellStyle name="Normal 38" xfId="378"/>
    <cellStyle name="Normal 39" xfId="379"/>
    <cellStyle name="Normal 4" xfId="380"/>
    <cellStyle name="Normal 4 10" xfId="1210"/>
    <cellStyle name="Normal 4 10 2" xfId="2272"/>
    <cellStyle name="Normal 4 10 2 2" xfId="4384"/>
    <cellStyle name="Normal 4 10 2 2 2" xfId="8610"/>
    <cellStyle name="Normal 4 10 2 2 2 2" xfId="17058"/>
    <cellStyle name="Normal 4 10 2 2 3" xfId="12834"/>
    <cellStyle name="Normal 4 10 2 3" xfId="6498"/>
    <cellStyle name="Normal 4 10 2 3 2" xfId="14946"/>
    <cellStyle name="Normal 4 10 2 4" xfId="10722"/>
    <cellStyle name="Normal 4 10 3" xfId="3328"/>
    <cellStyle name="Normal 4 10 3 2" xfId="7554"/>
    <cellStyle name="Normal 4 10 3 2 2" xfId="16002"/>
    <cellStyle name="Normal 4 10 3 3" xfId="11778"/>
    <cellStyle name="Normal 4 10 4" xfId="5442"/>
    <cellStyle name="Normal 4 10 4 2" xfId="13890"/>
    <cellStyle name="Normal 4 10 5" xfId="9666"/>
    <cellStyle name="Normal 4 11" xfId="1392"/>
    <cellStyle name="Normal 4 11 2" xfId="2448"/>
    <cellStyle name="Normal 4 11 2 2" xfId="4560"/>
    <cellStyle name="Normal 4 11 2 2 2" xfId="8786"/>
    <cellStyle name="Normal 4 11 2 2 2 2" xfId="17234"/>
    <cellStyle name="Normal 4 11 2 2 3" xfId="13010"/>
    <cellStyle name="Normal 4 11 2 3" xfId="6674"/>
    <cellStyle name="Normal 4 11 2 3 2" xfId="15122"/>
    <cellStyle name="Normal 4 11 2 4" xfId="10898"/>
    <cellStyle name="Normal 4 11 3" xfId="3504"/>
    <cellStyle name="Normal 4 11 3 2" xfId="7730"/>
    <cellStyle name="Normal 4 11 3 2 2" xfId="16178"/>
    <cellStyle name="Normal 4 11 3 3" xfId="11954"/>
    <cellStyle name="Normal 4 11 4" xfId="5618"/>
    <cellStyle name="Normal 4 11 4 2" xfId="14066"/>
    <cellStyle name="Normal 4 11 5" xfId="9842"/>
    <cellStyle name="Normal 4 12" xfId="1568"/>
    <cellStyle name="Normal 4 12 2" xfId="3680"/>
    <cellStyle name="Normal 4 12 2 2" xfId="7906"/>
    <cellStyle name="Normal 4 12 2 2 2" xfId="16354"/>
    <cellStyle name="Normal 4 12 2 3" xfId="12130"/>
    <cellStyle name="Normal 4 12 3" xfId="5794"/>
    <cellStyle name="Normal 4 12 3 2" xfId="14242"/>
    <cellStyle name="Normal 4 12 4" xfId="10018"/>
    <cellStyle name="Normal 4 13" xfId="2624"/>
    <cellStyle name="Normal 4 13 2" xfId="6850"/>
    <cellStyle name="Normal 4 13 2 2" xfId="15298"/>
    <cellStyle name="Normal 4 13 3" xfId="11074"/>
    <cellStyle name="Normal 4 14" xfId="4737"/>
    <cellStyle name="Normal 4 14 2" xfId="13186"/>
    <cellStyle name="Normal 4 15" xfId="8962"/>
    <cellStyle name="Normal 4 2" xfId="381"/>
    <cellStyle name="Normal 4 3" xfId="382"/>
    <cellStyle name="Normal 4 3 10" xfId="4738"/>
    <cellStyle name="Normal 4 3 10 2" xfId="13187"/>
    <cellStyle name="Normal 4 3 11" xfId="8963"/>
    <cellStyle name="Normal 4 3 2" xfId="383"/>
    <cellStyle name="Normal 4 3 2 2" xfId="684"/>
    <cellStyle name="Normal 4 3 2 2 2" xfId="1036"/>
    <cellStyle name="Normal 4 3 2 2 2 2" xfId="2098"/>
    <cellStyle name="Normal 4 3 2 2 2 2 2" xfId="4210"/>
    <cellStyle name="Normal 4 3 2 2 2 2 2 2" xfId="8436"/>
    <cellStyle name="Normal 4 3 2 2 2 2 2 2 2" xfId="16884"/>
    <cellStyle name="Normal 4 3 2 2 2 2 2 3" xfId="12660"/>
    <cellStyle name="Normal 4 3 2 2 2 2 3" xfId="6324"/>
    <cellStyle name="Normal 4 3 2 2 2 2 3 2" xfId="14772"/>
    <cellStyle name="Normal 4 3 2 2 2 2 4" xfId="10548"/>
    <cellStyle name="Normal 4 3 2 2 2 3" xfId="3154"/>
    <cellStyle name="Normal 4 3 2 2 2 3 2" xfId="7380"/>
    <cellStyle name="Normal 4 3 2 2 2 3 2 2" xfId="15828"/>
    <cellStyle name="Normal 4 3 2 2 2 3 3" xfId="11604"/>
    <cellStyle name="Normal 4 3 2 2 2 4" xfId="5268"/>
    <cellStyle name="Normal 4 3 2 2 2 4 2" xfId="13716"/>
    <cellStyle name="Normal 4 3 2 2 2 5" xfId="9492"/>
    <cellStyle name="Normal 4 3 2 2 3" xfId="1746"/>
    <cellStyle name="Normal 4 3 2 2 3 2" xfId="3858"/>
    <cellStyle name="Normal 4 3 2 2 3 2 2" xfId="8084"/>
    <cellStyle name="Normal 4 3 2 2 3 2 2 2" xfId="16532"/>
    <cellStyle name="Normal 4 3 2 2 3 2 3" xfId="12308"/>
    <cellStyle name="Normal 4 3 2 2 3 3" xfId="5972"/>
    <cellStyle name="Normal 4 3 2 2 3 3 2" xfId="14420"/>
    <cellStyle name="Normal 4 3 2 2 3 4" xfId="10196"/>
    <cellStyle name="Normal 4 3 2 2 4" xfId="2802"/>
    <cellStyle name="Normal 4 3 2 2 4 2" xfId="7028"/>
    <cellStyle name="Normal 4 3 2 2 4 2 2" xfId="15476"/>
    <cellStyle name="Normal 4 3 2 2 4 3" xfId="11252"/>
    <cellStyle name="Normal 4 3 2 2 5" xfId="4916"/>
    <cellStyle name="Normal 4 3 2 2 5 2" xfId="13364"/>
    <cellStyle name="Normal 4 3 2 2 6" xfId="9140"/>
    <cellStyle name="Normal 4 3 2 3" xfId="860"/>
    <cellStyle name="Normal 4 3 2 3 2" xfId="1922"/>
    <cellStyle name="Normal 4 3 2 3 2 2" xfId="4034"/>
    <cellStyle name="Normal 4 3 2 3 2 2 2" xfId="8260"/>
    <cellStyle name="Normal 4 3 2 3 2 2 2 2" xfId="16708"/>
    <cellStyle name="Normal 4 3 2 3 2 2 3" xfId="12484"/>
    <cellStyle name="Normal 4 3 2 3 2 3" xfId="6148"/>
    <cellStyle name="Normal 4 3 2 3 2 3 2" xfId="14596"/>
    <cellStyle name="Normal 4 3 2 3 2 4" xfId="10372"/>
    <cellStyle name="Normal 4 3 2 3 3" xfId="2978"/>
    <cellStyle name="Normal 4 3 2 3 3 2" xfId="7204"/>
    <cellStyle name="Normal 4 3 2 3 3 2 2" xfId="15652"/>
    <cellStyle name="Normal 4 3 2 3 3 3" xfId="11428"/>
    <cellStyle name="Normal 4 3 2 3 4" xfId="5092"/>
    <cellStyle name="Normal 4 3 2 3 4 2" xfId="13540"/>
    <cellStyle name="Normal 4 3 2 3 5" xfId="9316"/>
    <cellStyle name="Normal 4 3 2 4" xfId="1212"/>
    <cellStyle name="Normal 4 3 2 4 2" xfId="2274"/>
    <cellStyle name="Normal 4 3 2 4 2 2" xfId="4386"/>
    <cellStyle name="Normal 4 3 2 4 2 2 2" xfId="8612"/>
    <cellStyle name="Normal 4 3 2 4 2 2 2 2" xfId="17060"/>
    <cellStyle name="Normal 4 3 2 4 2 2 3" xfId="12836"/>
    <cellStyle name="Normal 4 3 2 4 2 3" xfId="6500"/>
    <cellStyle name="Normal 4 3 2 4 2 3 2" xfId="14948"/>
    <cellStyle name="Normal 4 3 2 4 2 4" xfId="10724"/>
    <cellStyle name="Normal 4 3 2 4 3" xfId="3330"/>
    <cellStyle name="Normal 4 3 2 4 3 2" xfId="7556"/>
    <cellStyle name="Normal 4 3 2 4 3 2 2" xfId="16004"/>
    <cellStyle name="Normal 4 3 2 4 3 3" xfId="11780"/>
    <cellStyle name="Normal 4 3 2 4 4" xfId="5444"/>
    <cellStyle name="Normal 4 3 2 4 4 2" xfId="13892"/>
    <cellStyle name="Normal 4 3 2 4 5" xfId="9668"/>
    <cellStyle name="Normal 4 3 2 5" xfId="1394"/>
    <cellStyle name="Normal 4 3 2 5 2" xfId="2450"/>
    <cellStyle name="Normal 4 3 2 5 2 2" xfId="4562"/>
    <cellStyle name="Normal 4 3 2 5 2 2 2" xfId="8788"/>
    <cellStyle name="Normal 4 3 2 5 2 2 2 2" xfId="17236"/>
    <cellStyle name="Normal 4 3 2 5 2 2 3" xfId="13012"/>
    <cellStyle name="Normal 4 3 2 5 2 3" xfId="6676"/>
    <cellStyle name="Normal 4 3 2 5 2 3 2" xfId="15124"/>
    <cellStyle name="Normal 4 3 2 5 2 4" xfId="10900"/>
    <cellStyle name="Normal 4 3 2 5 3" xfId="3506"/>
    <cellStyle name="Normal 4 3 2 5 3 2" xfId="7732"/>
    <cellStyle name="Normal 4 3 2 5 3 2 2" xfId="16180"/>
    <cellStyle name="Normal 4 3 2 5 3 3" xfId="11956"/>
    <cellStyle name="Normal 4 3 2 5 4" xfId="5620"/>
    <cellStyle name="Normal 4 3 2 5 4 2" xfId="14068"/>
    <cellStyle name="Normal 4 3 2 5 5" xfId="9844"/>
    <cellStyle name="Normal 4 3 2 6" xfId="1570"/>
    <cellStyle name="Normal 4 3 2 6 2" xfId="3682"/>
    <cellStyle name="Normal 4 3 2 6 2 2" xfId="7908"/>
    <cellStyle name="Normal 4 3 2 6 2 2 2" xfId="16356"/>
    <cellStyle name="Normal 4 3 2 6 2 3" xfId="12132"/>
    <cellStyle name="Normal 4 3 2 6 3" xfId="5796"/>
    <cellStyle name="Normal 4 3 2 6 3 2" xfId="14244"/>
    <cellStyle name="Normal 4 3 2 6 4" xfId="10020"/>
    <cellStyle name="Normal 4 3 2 7" xfId="2626"/>
    <cellStyle name="Normal 4 3 2 7 2" xfId="6852"/>
    <cellStyle name="Normal 4 3 2 7 2 2" xfId="15300"/>
    <cellStyle name="Normal 4 3 2 7 3" xfId="11076"/>
    <cellStyle name="Normal 4 3 2 8" xfId="4739"/>
    <cellStyle name="Normal 4 3 2 8 2" xfId="13188"/>
    <cellStyle name="Normal 4 3 2 9" xfId="8964"/>
    <cellStyle name="Normal 4 3 3" xfId="384"/>
    <cellStyle name="Normal 4 3 3 2" xfId="685"/>
    <cellStyle name="Normal 4 3 3 2 2" xfId="1037"/>
    <cellStyle name="Normal 4 3 3 2 2 2" xfId="2099"/>
    <cellStyle name="Normal 4 3 3 2 2 2 2" xfId="4211"/>
    <cellStyle name="Normal 4 3 3 2 2 2 2 2" xfId="8437"/>
    <cellStyle name="Normal 4 3 3 2 2 2 2 2 2" xfId="16885"/>
    <cellStyle name="Normal 4 3 3 2 2 2 2 3" xfId="12661"/>
    <cellStyle name="Normal 4 3 3 2 2 2 3" xfId="6325"/>
    <cellStyle name="Normal 4 3 3 2 2 2 3 2" xfId="14773"/>
    <cellStyle name="Normal 4 3 3 2 2 2 4" xfId="10549"/>
    <cellStyle name="Normal 4 3 3 2 2 3" xfId="3155"/>
    <cellStyle name="Normal 4 3 3 2 2 3 2" xfId="7381"/>
    <cellStyle name="Normal 4 3 3 2 2 3 2 2" xfId="15829"/>
    <cellStyle name="Normal 4 3 3 2 2 3 3" xfId="11605"/>
    <cellStyle name="Normal 4 3 3 2 2 4" xfId="5269"/>
    <cellStyle name="Normal 4 3 3 2 2 4 2" xfId="13717"/>
    <cellStyle name="Normal 4 3 3 2 2 5" xfId="9493"/>
    <cellStyle name="Normal 4 3 3 2 3" xfId="1747"/>
    <cellStyle name="Normal 4 3 3 2 3 2" xfId="3859"/>
    <cellStyle name="Normal 4 3 3 2 3 2 2" xfId="8085"/>
    <cellStyle name="Normal 4 3 3 2 3 2 2 2" xfId="16533"/>
    <cellStyle name="Normal 4 3 3 2 3 2 3" xfId="12309"/>
    <cellStyle name="Normal 4 3 3 2 3 3" xfId="5973"/>
    <cellStyle name="Normal 4 3 3 2 3 3 2" xfId="14421"/>
    <cellStyle name="Normal 4 3 3 2 3 4" xfId="10197"/>
    <cellStyle name="Normal 4 3 3 2 4" xfId="2803"/>
    <cellStyle name="Normal 4 3 3 2 4 2" xfId="7029"/>
    <cellStyle name="Normal 4 3 3 2 4 2 2" xfId="15477"/>
    <cellStyle name="Normal 4 3 3 2 4 3" xfId="11253"/>
    <cellStyle name="Normal 4 3 3 2 5" xfId="4917"/>
    <cellStyle name="Normal 4 3 3 2 5 2" xfId="13365"/>
    <cellStyle name="Normal 4 3 3 2 6" xfId="9141"/>
    <cellStyle name="Normal 4 3 3 3" xfId="861"/>
    <cellStyle name="Normal 4 3 3 3 2" xfId="1923"/>
    <cellStyle name="Normal 4 3 3 3 2 2" xfId="4035"/>
    <cellStyle name="Normal 4 3 3 3 2 2 2" xfId="8261"/>
    <cellStyle name="Normal 4 3 3 3 2 2 2 2" xfId="16709"/>
    <cellStyle name="Normal 4 3 3 3 2 2 3" xfId="12485"/>
    <cellStyle name="Normal 4 3 3 3 2 3" xfId="6149"/>
    <cellStyle name="Normal 4 3 3 3 2 3 2" xfId="14597"/>
    <cellStyle name="Normal 4 3 3 3 2 4" xfId="10373"/>
    <cellStyle name="Normal 4 3 3 3 3" xfId="2979"/>
    <cellStyle name="Normal 4 3 3 3 3 2" xfId="7205"/>
    <cellStyle name="Normal 4 3 3 3 3 2 2" xfId="15653"/>
    <cellStyle name="Normal 4 3 3 3 3 3" xfId="11429"/>
    <cellStyle name="Normal 4 3 3 3 4" xfId="5093"/>
    <cellStyle name="Normal 4 3 3 3 4 2" xfId="13541"/>
    <cellStyle name="Normal 4 3 3 3 5" xfId="9317"/>
    <cellStyle name="Normal 4 3 3 4" xfId="1213"/>
    <cellStyle name="Normal 4 3 3 4 2" xfId="2275"/>
    <cellStyle name="Normal 4 3 3 4 2 2" xfId="4387"/>
    <cellStyle name="Normal 4 3 3 4 2 2 2" xfId="8613"/>
    <cellStyle name="Normal 4 3 3 4 2 2 2 2" xfId="17061"/>
    <cellStyle name="Normal 4 3 3 4 2 2 3" xfId="12837"/>
    <cellStyle name="Normal 4 3 3 4 2 3" xfId="6501"/>
    <cellStyle name="Normal 4 3 3 4 2 3 2" xfId="14949"/>
    <cellStyle name="Normal 4 3 3 4 2 4" xfId="10725"/>
    <cellStyle name="Normal 4 3 3 4 3" xfId="3331"/>
    <cellStyle name="Normal 4 3 3 4 3 2" xfId="7557"/>
    <cellStyle name="Normal 4 3 3 4 3 2 2" xfId="16005"/>
    <cellStyle name="Normal 4 3 3 4 3 3" xfId="11781"/>
    <cellStyle name="Normal 4 3 3 4 4" xfId="5445"/>
    <cellStyle name="Normal 4 3 3 4 4 2" xfId="13893"/>
    <cellStyle name="Normal 4 3 3 4 5" xfId="9669"/>
    <cellStyle name="Normal 4 3 3 5" xfId="1395"/>
    <cellStyle name="Normal 4 3 3 5 2" xfId="2451"/>
    <cellStyle name="Normal 4 3 3 5 2 2" xfId="4563"/>
    <cellStyle name="Normal 4 3 3 5 2 2 2" xfId="8789"/>
    <cellStyle name="Normal 4 3 3 5 2 2 2 2" xfId="17237"/>
    <cellStyle name="Normal 4 3 3 5 2 2 3" xfId="13013"/>
    <cellStyle name="Normal 4 3 3 5 2 3" xfId="6677"/>
    <cellStyle name="Normal 4 3 3 5 2 3 2" xfId="15125"/>
    <cellStyle name="Normal 4 3 3 5 2 4" xfId="10901"/>
    <cellStyle name="Normal 4 3 3 5 3" xfId="3507"/>
    <cellStyle name="Normal 4 3 3 5 3 2" xfId="7733"/>
    <cellStyle name="Normal 4 3 3 5 3 2 2" xfId="16181"/>
    <cellStyle name="Normal 4 3 3 5 3 3" xfId="11957"/>
    <cellStyle name="Normal 4 3 3 5 4" xfId="5621"/>
    <cellStyle name="Normal 4 3 3 5 4 2" xfId="14069"/>
    <cellStyle name="Normal 4 3 3 5 5" xfId="9845"/>
    <cellStyle name="Normal 4 3 3 6" xfId="1571"/>
    <cellStyle name="Normal 4 3 3 6 2" xfId="3683"/>
    <cellStyle name="Normal 4 3 3 6 2 2" xfId="7909"/>
    <cellStyle name="Normal 4 3 3 6 2 2 2" xfId="16357"/>
    <cellStyle name="Normal 4 3 3 6 2 3" xfId="12133"/>
    <cellStyle name="Normal 4 3 3 6 3" xfId="5797"/>
    <cellStyle name="Normal 4 3 3 6 3 2" xfId="14245"/>
    <cellStyle name="Normal 4 3 3 6 4" xfId="10021"/>
    <cellStyle name="Normal 4 3 3 7" xfId="2627"/>
    <cellStyle name="Normal 4 3 3 7 2" xfId="6853"/>
    <cellStyle name="Normal 4 3 3 7 2 2" xfId="15301"/>
    <cellStyle name="Normal 4 3 3 7 3" xfId="11077"/>
    <cellStyle name="Normal 4 3 3 8" xfId="4740"/>
    <cellStyle name="Normal 4 3 3 8 2" xfId="13189"/>
    <cellStyle name="Normal 4 3 3 9" xfId="8965"/>
    <cellStyle name="Normal 4 3 4" xfId="683"/>
    <cellStyle name="Normal 4 3 4 2" xfId="1035"/>
    <cellStyle name="Normal 4 3 4 2 2" xfId="2097"/>
    <cellStyle name="Normal 4 3 4 2 2 2" xfId="4209"/>
    <cellStyle name="Normal 4 3 4 2 2 2 2" xfId="8435"/>
    <cellStyle name="Normal 4 3 4 2 2 2 2 2" xfId="16883"/>
    <cellStyle name="Normal 4 3 4 2 2 2 3" xfId="12659"/>
    <cellStyle name="Normal 4 3 4 2 2 3" xfId="6323"/>
    <cellStyle name="Normal 4 3 4 2 2 3 2" xfId="14771"/>
    <cellStyle name="Normal 4 3 4 2 2 4" xfId="10547"/>
    <cellStyle name="Normal 4 3 4 2 3" xfId="3153"/>
    <cellStyle name="Normal 4 3 4 2 3 2" xfId="7379"/>
    <cellStyle name="Normal 4 3 4 2 3 2 2" xfId="15827"/>
    <cellStyle name="Normal 4 3 4 2 3 3" xfId="11603"/>
    <cellStyle name="Normal 4 3 4 2 4" xfId="5267"/>
    <cellStyle name="Normal 4 3 4 2 4 2" xfId="13715"/>
    <cellStyle name="Normal 4 3 4 2 5" xfId="9491"/>
    <cellStyle name="Normal 4 3 4 3" xfId="1745"/>
    <cellStyle name="Normal 4 3 4 3 2" xfId="3857"/>
    <cellStyle name="Normal 4 3 4 3 2 2" xfId="8083"/>
    <cellStyle name="Normal 4 3 4 3 2 2 2" xfId="16531"/>
    <cellStyle name="Normal 4 3 4 3 2 3" xfId="12307"/>
    <cellStyle name="Normal 4 3 4 3 3" xfId="5971"/>
    <cellStyle name="Normal 4 3 4 3 3 2" xfId="14419"/>
    <cellStyle name="Normal 4 3 4 3 4" xfId="10195"/>
    <cellStyle name="Normal 4 3 4 4" xfId="2801"/>
    <cellStyle name="Normal 4 3 4 4 2" xfId="7027"/>
    <cellStyle name="Normal 4 3 4 4 2 2" xfId="15475"/>
    <cellStyle name="Normal 4 3 4 4 3" xfId="11251"/>
    <cellStyle name="Normal 4 3 4 5" xfId="4915"/>
    <cellStyle name="Normal 4 3 4 5 2" xfId="13363"/>
    <cellStyle name="Normal 4 3 4 6" xfId="9139"/>
    <cellStyle name="Normal 4 3 5" xfId="859"/>
    <cellStyle name="Normal 4 3 5 2" xfId="1921"/>
    <cellStyle name="Normal 4 3 5 2 2" xfId="4033"/>
    <cellStyle name="Normal 4 3 5 2 2 2" xfId="8259"/>
    <cellStyle name="Normal 4 3 5 2 2 2 2" xfId="16707"/>
    <cellStyle name="Normal 4 3 5 2 2 3" xfId="12483"/>
    <cellStyle name="Normal 4 3 5 2 3" xfId="6147"/>
    <cellStyle name="Normal 4 3 5 2 3 2" xfId="14595"/>
    <cellStyle name="Normal 4 3 5 2 4" xfId="10371"/>
    <cellStyle name="Normal 4 3 5 3" xfId="2977"/>
    <cellStyle name="Normal 4 3 5 3 2" xfId="7203"/>
    <cellStyle name="Normal 4 3 5 3 2 2" xfId="15651"/>
    <cellStyle name="Normal 4 3 5 3 3" xfId="11427"/>
    <cellStyle name="Normal 4 3 5 4" xfId="5091"/>
    <cellStyle name="Normal 4 3 5 4 2" xfId="13539"/>
    <cellStyle name="Normal 4 3 5 5" xfId="9315"/>
    <cellStyle name="Normal 4 3 6" xfId="1211"/>
    <cellStyle name="Normal 4 3 6 2" xfId="2273"/>
    <cellStyle name="Normal 4 3 6 2 2" xfId="4385"/>
    <cellStyle name="Normal 4 3 6 2 2 2" xfId="8611"/>
    <cellStyle name="Normal 4 3 6 2 2 2 2" xfId="17059"/>
    <cellStyle name="Normal 4 3 6 2 2 3" xfId="12835"/>
    <cellStyle name="Normal 4 3 6 2 3" xfId="6499"/>
    <cellStyle name="Normal 4 3 6 2 3 2" xfId="14947"/>
    <cellStyle name="Normal 4 3 6 2 4" xfId="10723"/>
    <cellStyle name="Normal 4 3 6 3" xfId="3329"/>
    <cellStyle name="Normal 4 3 6 3 2" xfId="7555"/>
    <cellStyle name="Normal 4 3 6 3 2 2" xfId="16003"/>
    <cellStyle name="Normal 4 3 6 3 3" xfId="11779"/>
    <cellStyle name="Normal 4 3 6 4" xfId="5443"/>
    <cellStyle name="Normal 4 3 6 4 2" xfId="13891"/>
    <cellStyle name="Normal 4 3 6 5" xfId="9667"/>
    <cellStyle name="Normal 4 3 7" xfId="1393"/>
    <cellStyle name="Normal 4 3 7 2" xfId="2449"/>
    <cellStyle name="Normal 4 3 7 2 2" xfId="4561"/>
    <cellStyle name="Normal 4 3 7 2 2 2" xfId="8787"/>
    <cellStyle name="Normal 4 3 7 2 2 2 2" xfId="17235"/>
    <cellStyle name="Normal 4 3 7 2 2 3" xfId="13011"/>
    <cellStyle name="Normal 4 3 7 2 3" xfId="6675"/>
    <cellStyle name="Normal 4 3 7 2 3 2" xfId="15123"/>
    <cellStyle name="Normal 4 3 7 2 4" xfId="10899"/>
    <cellStyle name="Normal 4 3 7 3" xfId="3505"/>
    <cellStyle name="Normal 4 3 7 3 2" xfId="7731"/>
    <cellStyle name="Normal 4 3 7 3 2 2" xfId="16179"/>
    <cellStyle name="Normal 4 3 7 3 3" xfId="11955"/>
    <cellStyle name="Normal 4 3 7 4" xfId="5619"/>
    <cellStyle name="Normal 4 3 7 4 2" xfId="14067"/>
    <cellStyle name="Normal 4 3 7 5" xfId="9843"/>
    <cellStyle name="Normal 4 3 8" xfId="1569"/>
    <cellStyle name="Normal 4 3 8 2" xfId="3681"/>
    <cellStyle name="Normal 4 3 8 2 2" xfId="7907"/>
    <cellStyle name="Normal 4 3 8 2 2 2" xfId="16355"/>
    <cellStyle name="Normal 4 3 8 2 3" xfId="12131"/>
    <cellStyle name="Normal 4 3 8 3" xfId="5795"/>
    <cellStyle name="Normal 4 3 8 3 2" xfId="14243"/>
    <cellStyle name="Normal 4 3 8 4" xfId="10019"/>
    <cellStyle name="Normal 4 3 9" xfId="2625"/>
    <cellStyle name="Normal 4 3 9 2" xfId="6851"/>
    <cellStyle name="Normal 4 3 9 2 2" xfId="15299"/>
    <cellStyle name="Normal 4 3 9 3" xfId="11075"/>
    <cellStyle name="Normal 4 4" xfId="385"/>
    <cellStyle name="Normal 4 4 10" xfId="4741"/>
    <cellStyle name="Normal 4 4 10 2" xfId="13190"/>
    <cellStyle name="Normal 4 4 11" xfId="8966"/>
    <cellStyle name="Normal 4 4 2" xfId="386"/>
    <cellStyle name="Normal 4 4 2 2" xfId="687"/>
    <cellStyle name="Normal 4 4 2 2 2" xfId="1039"/>
    <cellStyle name="Normal 4 4 2 2 2 2" xfId="2101"/>
    <cellStyle name="Normal 4 4 2 2 2 2 2" xfId="4213"/>
    <cellStyle name="Normal 4 4 2 2 2 2 2 2" xfId="8439"/>
    <cellStyle name="Normal 4 4 2 2 2 2 2 2 2" xfId="16887"/>
    <cellStyle name="Normal 4 4 2 2 2 2 2 3" xfId="12663"/>
    <cellStyle name="Normal 4 4 2 2 2 2 3" xfId="6327"/>
    <cellStyle name="Normal 4 4 2 2 2 2 3 2" xfId="14775"/>
    <cellStyle name="Normal 4 4 2 2 2 2 4" xfId="10551"/>
    <cellStyle name="Normal 4 4 2 2 2 3" xfId="3157"/>
    <cellStyle name="Normal 4 4 2 2 2 3 2" xfId="7383"/>
    <cellStyle name="Normal 4 4 2 2 2 3 2 2" xfId="15831"/>
    <cellStyle name="Normal 4 4 2 2 2 3 3" xfId="11607"/>
    <cellStyle name="Normal 4 4 2 2 2 4" xfId="5271"/>
    <cellStyle name="Normal 4 4 2 2 2 4 2" xfId="13719"/>
    <cellStyle name="Normal 4 4 2 2 2 5" xfId="9495"/>
    <cellStyle name="Normal 4 4 2 2 3" xfId="1749"/>
    <cellStyle name="Normal 4 4 2 2 3 2" xfId="3861"/>
    <cellStyle name="Normal 4 4 2 2 3 2 2" xfId="8087"/>
    <cellStyle name="Normal 4 4 2 2 3 2 2 2" xfId="16535"/>
    <cellStyle name="Normal 4 4 2 2 3 2 3" xfId="12311"/>
    <cellStyle name="Normal 4 4 2 2 3 3" xfId="5975"/>
    <cellStyle name="Normal 4 4 2 2 3 3 2" xfId="14423"/>
    <cellStyle name="Normal 4 4 2 2 3 4" xfId="10199"/>
    <cellStyle name="Normal 4 4 2 2 4" xfId="2805"/>
    <cellStyle name="Normal 4 4 2 2 4 2" xfId="7031"/>
    <cellStyle name="Normal 4 4 2 2 4 2 2" xfId="15479"/>
    <cellStyle name="Normal 4 4 2 2 4 3" xfId="11255"/>
    <cellStyle name="Normal 4 4 2 2 5" xfId="4919"/>
    <cellStyle name="Normal 4 4 2 2 5 2" xfId="13367"/>
    <cellStyle name="Normal 4 4 2 2 6" xfId="9143"/>
    <cellStyle name="Normal 4 4 2 3" xfId="863"/>
    <cellStyle name="Normal 4 4 2 3 2" xfId="1925"/>
    <cellStyle name="Normal 4 4 2 3 2 2" xfId="4037"/>
    <cellStyle name="Normal 4 4 2 3 2 2 2" xfId="8263"/>
    <cellStyle name="Normal 4 4 2 3 2 2 2 2" xfId="16711"/>
    <cellStyle name="Normal 4 4 2 3 2 2 3" xfId="12487"/>
    <cellStyle name="Normal 4 4 2 3 2 3" xfId="6151"/>
    <cellStyle name="Normal 4 4 2 3 2 3 2" xfId="14599"/>
    <cellStyle name="Normal 4 4 2 3 2 4" xfId="10375"/>
    <cellStyle name="Normal 4 4 2 3 3" xfId="2981"/>
    <cellStyle name="Normal 4 4 2 3 3 2" xfId="7207"/>
    <cellStyle name="Normal 4 4 2 3 3 2 2" xfId="15655"/>
    <cellStyle name="Normal 4 4 2 3 3 3" xfId="11431"/>
    <cellStyle name="Normal 4 4 2 3 4" xfId="5095"/>
    <cellStyle name="Normal 4 4 2 3 4 2" xfId="13543"/>
    <cellStyle name="Normal 4 4 2 3 5" xfId="9319"/>
    <cellStyle name="Normal 4 4 2 4" xfId="1215"/>
    <cellStyle name="Normal 4 4 2 4 2" xfId="2277"/>
    <cellStyle name="Normal 4 4 2 4 2 2" xfId="4389"/>
    <cellStyle name="Normal 4 4 2 4 2 2 2" xfId="8615"/>
    <cellStyle name="Normal 4 4 2 4 2 2 2 2" xfId="17063"/>
    <cellStyle name="Normal 4 4 2 4 2 2 3" xfId="12839"/>
    <cellStyle name="Normal 4 4 2 4 2 3" xfId="6503"/>
    <cellStyle name="Normal 4 4 2 4 2 3 2" xfId="14951"/>
    <cellStyle name="Normal 4 4 2 4 2 4" xfId="10727"/>
    <cellStyle name="Normal 4 4 2 4 3" xfId="3333"/>
    <cellStyle name="Normal 4 4 2 4 3 2" xfId="7559"/>
    <cellStyle name="Normal 4 4 2 4 3 2 2" xfId="16007"/>
    <cellStyle name="Normal 4 4 2 4 3 3" xfId="11783"/>
    <cellStyle name="Normal 4 4 2 4 4" xfId="5447"/>
    <cellStyle name="Normal 4 4 2 4 4 2" xfId="13895"/>
    <cellStyle name="Normal 4 4 2 4 5" xfId="9671"/>
    <cellStyle name="Normal 4 4 2 5" xfId="1397"/>
    <cellStyle name="Normal 4 4 2 5 2" xfId="2453"/>
    <cellStyle name="Normal 4 4 2 5 2 2" xfId="4565"/>
    <cellStyle name="Normal 4 4 2 5 2 2 2" xfId="8791"/>
    <cellStyle name="Normal 4 4 2 5 2 2 2 2" xfId="17239"/>
    <cellStyle name="Normal 4 4 2 5 2 2 3" xfId="13015"/>
    <cellStyle name="Normal 4 4 2 5 2 3" xfId="6679"/>
    <cellStyle name="Normal 4 4 2 5 2 3 2" xfId="15127"/>
    <cellStyle name="Normal 4 4 2 5 2 4" xfId="10903"/>
    <cellStyle name="Normal 4 4 2 5 3" xfId="3509"/>
    <cellStyle name="Normal 4 4 2 5 3 2" xfId="7735"/>
    <cellStyle name="Normal 4 4 2 5 3 2 2" xfId="16183"/>
    <cellStyle name="Normal 4 4 2 5 3 3" xfId="11959"/>
    <cellStyle name="Normal 4 4 2 5 4" xfId="5623"/>
    <cellStyle name="Normal 4 4 2 5 4 2" xfId="14071"/>
    <cellStyle name="Normal 4 4 2 5 5" xfId="9847"/>
    <cellStyle name="Normal 4 4 2 6" xfId="1573"/>
    <cellStyle name="Normal 4 4 2 6 2" xfId="3685"/>
    <cellStyle name="Normal 4 4 2 6 2 2" xfId="7911"/>
    <cellStyle name="Normal 4 4 2 6 2 2 2" xfId="16359"/>
    <cellStyle name="Normal 4 4 2 6 2 3" xfId="12135"/>
    <cellStyle name="Normal 4 4 2 6 3" xfId="5799"/>
    <cellStyle name="Normal 4 4 2 6 3 2" xfId="14247"/>
    <cellStyle name="Normal 4 4 2 6 4" xfId="10023"/>
    <cellStyle name="Normal 4 4 2 7" xfId="2629"/>
    <cellStyle name="Normal 4 4 2 7 2" xfId="6855"/>
    <cellStyle name="Normal 4 4 2 7 2 2" xfId="15303"/>
    <cellStyle name="Normal 4 4 2 7 3" xfId="11079"/>
    <cellStyle name="Normal 4 4 2 8" xfId="4742"/>
    <cellStyle name="Normal 4 4 2 8 2" xfId="13191"/>
    <cellStyle name="Normal 4 4 2 9" xfId="8967"/>
    <cellStyle name="Normal 4 4 3" xfId="387"/>
    <cellStyle name="Normal 4 4 3 2" xfId="688"/>
    <cellStyle name="Normal 4 4 3 2 2" xfId="1040"/>
    <cellStyle name="Normal 4 4 3 2 2 2" xfId="2102"/>
    <cellStyle name="Normal 4 4 3 2 2 2 2" xfId="4214"/>
    <cellStyle name="Normal 4 4 3 2 2 2 2 2" xfId="8440"/>
    <cellStyle name="Normal 4 4 3 2 2 2 2 2 2" xfId="16888"/>
    <cellStyle name="Normal 4 4 3 2 2 2 2 3" xfId="12664"/>
    <cellStyle name="Normal 4 4 3 2 2 2 3" xfId="6328"/>
    <cellStyle name="Normal 4 4 3 2 2 2 3 2" xfId="14776"/>
    <cellStyle name="Normal 4 4 3 2 2 2 4" xfId="10552"/>
    <cellStyle name="Normal 4 4 3 2 2 3" xfId="3158"/>
    <cellStyle name="Normal 4 4 3 2 2 3 2" xfId="7384"/>
    <cellStyle name="Normal 4 4 3 2 2 3 2 2" xfId="15832"/>
    <cellStyle name="Normal 4 4 3 2 2 3 3" xfId="11608"/>
    <cellStyle name="Normal 4 4 3 2 2 4" xfId="5272"/>
    <cellStyle name="Normal 4 4 3 2 2 4 2" xfId="13720"/>
    <cellStyle name="Normal 4 4 3 2 2 5" xfId="9496"/>
    <cellStyle name="Normal 4 4 3 2 3" xfId="1750"/>
    <cellStyle name="Normal 4 4 3 2 3 2" xfId="3862"/>
    <cellStyle name="Normal 4 4 3 2 3 2 2" xfId="8088"/>
    <cellStyle name="Normal 4 4 3 2 3 2 2 2" xfId="16536"/>
    <cellStyle name="Normal 4 4 3 2 3 2 3" xfId="12312"/>
    <cellStyle name="Normal 4 4 3 2 3 3" xfId="5976"/>
    <cellStyle name="Normal 4 4 3 2 3 3 2" xfId="14424"/>
    <cellStyle name="Normal 4 4 3 2 3 4" xfId="10200"/>
    <cellStyle name="Normal 4 4 3 2 4" xfId="2806"/>
    <cellStyle name="Normal 4 4 3 2 4 2" xfId="7032"/>
    <cellStyle name="Normal 4 4 3 2 4 2 2" xfId="15480"/>
    <cellStyle name="Normal 4 4 3 2 4 3" xfId="11256"/>
    <cellStyle name="Normal 4 4 3 2 5" xfId="4920"/>
    <cellStyle name="Normal 4 4 3 2 5 2" xfId="13368"/>
    <cellStyle name="Normal 4 4 3 2 6" xfId="9144"/>
    <cellStyle name="Normal 4 4 3 3" xfId="864"/>
    <cellStyle name="Normal 4 4 3 3 2" xfId="1926"/>
    <cellStyle name="Normal 4 4 3 3 2 2" xfId="4038"/>
    <cellStyle name="Normal 4 4 3 3 2 2 2" xfId="8264"/>
    <cellStyle name="Normal 4 4 3 3 2 2 2 2" xfId="16712"/>
    <cellStyle name="Normal 4 4 3 3 2 2 3" xfId="12488"/>
    <cellStyle name="Normal 4 4 3 3 2 3" xfId="6152"/>
    <cellStyle name="Normal 4 4 3 3 2 3 2" xfId="14600"/>
    <cellStyle name="Normal 4 4 3 3 2 4" xfId="10376"/>
    <cellStyle name="Normal 4 4 3 3 3" xfId="2982"/>
    <cellStyle name="Normal 4 4 3 3 3 2" xfId="7208"/>
    <cellStyle name="Normal 4 4 3 3 3 2 2" xfId="15656"/>
    <cellStyle name="Normal 4 4 3 3 3 3" xfId="11432"/>
    <cellStyle name="Normal 4 4 3 3 4" xfId="5096"/>
    <cellStyle name="Normal 4 4 3 3 4 2" xfId="13544"/>
    <cellStyle name="Normal 4 4 3 3 5" xfId="9320"/>
    <cellStyle name="Normal 4 4 3 4" xfId="1216"/>
    <cellStyle name="Normal 4 4 3 4 2" xfId="2278"/>
    <cellStyle name="Normal 4 4 3 4 2 2" xfId="4390"/>
    <cellStyle name="Normal 4 4 3 4 2 2 2" xfId="8616"/>
    <cellStyle name="Normal 4 4 3 4 2 2 2 2" xfId="17064"/>
    <cellStyle name="Normal 4 4 3 4 2 2 3" xfId="12840"/>
    <cellStyle name="Normal 4 4 3 4 2 3" xfId="6504"/>
    <cellStyle name="Normal 4 4 3 4 2 3 2" xfId="14952"/>
    <cellStyle name="Normal 4 4 3 4 2 4" xfId="10728"/>
    <cellStyle name="Normal 4 4 3 4 3" xfId="3334"/>
    <cellStyle name="Normal 4 4 3 4 3 2" xfId="7560"/>
    <cellStyle name="Normal 4 4 3 4 3 2 2" xfId="16008"/>
    <cellStyle name="Normal 4 4 3 4 3 3" xfId="11784"/>
    <cellStyle name="Normal 4 4 3 4 4" xfId="5448"/>
    <cellStyle name="Normal 4 4 3 4 4 2" xfId="13896"/>
    <cellStyle name="Normal 4 4 3 4 5" xfId="9672"/>
    <cellStyle name="Normal 4 4 3 5" xfId="1398"/>
    <cellStyle name="Normal 4 4 3 5 2" xfId="2454"/>
    <cellStyle name="Normal 4 4 3 5 2 2" xfId="4566"/>
    <cellStyle name="Normal 4 4 3 5 2 2 2" xfId="8792"/>
    <cellStyle name="Normal 4 4 3 5 2 2 2 2" xfId="17240"/>
    <cellStyle name="Normal 4 4 3 5 2 2 3" xfId="13016"/>
    <cellStyle name="Normal 4 4 3 5 2 3" xfId="6680"/>
    <cellStyle name="Normal 4 4 3 5 2 3 2" xfId="15128"/>
    <cellStyle name="Normal 4 4 3 5 2 4" xfId="10904"/>
    <cellStyle name="Normal 4 4 3 5 3" xfId="3510"/>
    <cellStyle name="Normal 4 4 3 5 3 2" xfId="7736"/>
    <cellStyle name="Normal 4 4 3 5 3 2 2" xfId="16184"/>
    <cellStyle name="Normal 4 4 3 5 3 3" xfId="11960"/>
    <cellStyle name="Normal 4 4 3 5 4" xfId="5624"/>
    <cellStyle name="Normal 4 4 3 5 4 2" xfId="14072"/>
    <cellStyle name="Normal 4 4 3 5 5" xfId="9848"/>
    <cellStyle name="Normal 4 4 3 6" xfId="1574"/>
    <cellStyle name="Normal 4 4 3 6 2" xfId="3686"/>
    <cellStyle name="Normal 4 4 3 6 2 2" xfId="7912"/>
    <cellStyle name="Normal 4 4 3 6 2 2 2" xfId="16360"/>
    <cellStyle name="Normal 4 4 3 6 2 3" xfId="12136"/>
    <cellStyle name="Normal 4 4 3 6 3" xfId="5800"/>
    <cellStyle name="Normal 4 4 3 6 3 2" xfId="14248"/>
    <cellStyle name="Normal 4 4 3 6 4" xfId="10024"/>
    <cellStyle name="Normal 4 4 3 7" xfId="2630"/>
    <cellStyle name="Normal 4 4 3 7 2" xfId="6856"/>
    <cellStyle name="Normal 4 4 3 7 2 2" xfId="15304"/>
    <cellStyle name="Normal 4 4 3 7 3" xfId="11080"/>
    <cellStyle name="Normal 4 4 3 8" xfId="4743"/>
    <cellStyle name="Normal 4 4 3 8 2" xfId="13192"/>
    <cellStyle name="Normal 4 4 3 9" xfId="8968"/>
    <cellStyle name="Normal 4 4 4" xfId="686"/>
    <cellStyle name="Normal 4 4 4 2" xfId="1038"/>
    <cellStyle name="Normal 4 4 4 2 2" xfId="2100"/>
    <cellStyle name="Normal 4 4 4 2 2 2" xfId="4212"/>
    <cellStyle name="Normal 4 4 4 2 2 2 2" xfId="8438"/>
    <cellStyle name="Normal 4 4 4 2 2 2 2 2" xfId="16886"/>
    <cellStyle name="Normal 4 4 4 2 2 2 3" xfId="12662"/>
    <cellStyle name="Normal 4 4 4 2 2 3" xfId="6326"/>
    <cellStyle name="Normal 4 4 4 2 2 3 2" xfId="14774"/>
    <cellStyle name="Normal 4 4 4 2 2 4" xfId="10550"/>
    <cellStyle name="Normal 4 4 4 2 3" xfId="3156"/>
    <cellStyle name="Normal 4 4 4 2 3 2" xfId="7382"/>
    <cellStyle name="Normal 4 4 4 2 3 2 2" xfId="15830"/>
    <cellStyle name="Normal 4 4 4 2 3 3" xfId="11606"/>
    <cellStyle name="Normal 4 4 4 2 4" xfId="5270"/>
    <cellStyle name="Normal 4 4 4 2 4 2" xfId="13718"/>
    <cellStyle name="Normal 4 4 4 2 5" xfId="9494"/>
    <cellStyle name="Normal 4 4 4 3" xfId="1748"/>
    <cellStyle name="Normal 4 4 4 3 2" xfId="3860"/>
    <cellStyle name="Normal 4 4 4 3 2 2" xfId="8086"/>
    <cellStyle name="Normal 4 4 4 3 2 2 2" xfId="16534"/>
    <cellStyle name="Normal 4 4 4 3 2 3" xfId="12310"/>
    <cellStyle name="Normal 4 4 4 3 3" xfId="5974"/>
    <cellStyle name="Normal 4 4 4 3 3 2" xfId="14422"/>
    <cellStyle name="Normal 4 4 4 3 4" xfId="10198"/>
    <cellStyle name="Normal 4 4 4 4" xfId="2804"/>
    <cellStyle name="Normal 4 4 4 4 2" xfId="7030"/>
    <cellStyle name="Normal 4 4 4 4 2 2" xfId="15478"/>
    <cellStyle name="Normal 4 4 4 4 3" xfId="11254"/>
    <cellStyle name="Normal 4 4 4 5" xfId="4918"/>
    <cellStyle name="Normal 4 4 4 5 2" xfId="13366"/>
    <cellStyle name="Normal 4 4 4 6" xfId="9142"/>
    <cellStyle name="Normal 4 4 5" xfId="862"/>
    <cellStyle name="Normal 4 4 5 2" xfId="1924"/>
    <cellStyle name="Normal 4 4 5 2 2" xfId="4036"/>
    <cellStyle name="Normal 4 4 5 2 2 2" xfId="8262"/>
    <cellStyle name="Normal 4 4 5 2 2 2 2" xfId="16710"/>
    <cellStyle name="Normal 4 4 5 2 2 3" xfId="12486"/>
    <cellStyle name="Normal 4 4 5 2 3" xfId="6150"/>
    <cellStyle name="Normal 4 4 5 2 3 2" xfId="14598"/>
    <cellStyle name="Normal 4 4 5 2 4" xfId="10374"/>
    <cellStyle name="Normal 4 4 5 3" xfId="2980"/>
    <cellStyle name="Normal 4 4 5 3 2" xfId="7206"/>
    <cellStyle name="Normal 4 4 5 3 2 2" xfId="15654"/>
    <cellStyle name="Normal 4 4 5 3 3" xfId="11430"/>
    <cellStyle name="Normal 4 4 5 4" xfId="5094"/>
    <cellStyle name="Normal 4 4 5 4 2" xfId="13542"/>
    <cellStyle name="Normal 4 4 5 5" xfId="9318"/>
    <cellStyle name="Normal 4 4 6" xfId="1214"/>
    <cellStyle name="Normal 4 4 6 2" xfId="2276"/>
    <cellStyle name="Normal 4 4 6 2 2" xfId="4388"/>
    <cellStyle name="Normal 4 4 6 2 2 2" xfId="8614"/>
    <cellStyle name="Normal 4 4 6 2 2 2 2" xfId="17062"/>
    <cellStyle name="Normal 4 4 6 2 2 3" xfId="12838"/>
    <cellStyle name="Normal 4 4 6 2 3" xfId="6502"/>
    <cellStyle name="Normal 4 4 6 2 3 2" xfId="14950"/>
    <cellStyle name="Normal 4 4 6 2 4" xfId="10726"/>
    <cellStyle name="Normal 4 4 6 3" xfId="3332"/>
    <cellStyle name="Normal 4 4 6 3 2" xfId="7558"/>
    <cellStyle name="Normal 4 4 6 3 2 2" xfId="16006"/>
    <cellStyle name="Normal 4 4 6 3 3" xfId="11782"/>
    <cellStyle name="Normal 4 4 6 4" xfId="5446"/>
    <cellStyle name="Normal 4 4 6 4 2" xfId="13894"/>
    <cellStyle name="Normal 4 4 6 5" xfId="9670"/>
    <cellStyle name="Normal 4 4 7" xfId="1396"/>
    <cellStyle name="Normal 4 4 7 2" xfId="2452"/>
    <cellStyle name="Normal 4 4 7 2 2" xfId="4564"/>
    <cellStyle name="Normal 4 4 7 2 2 2" xfId="8790"/>
    <cellStyle name="Normal 4 4 7 2 2 2 2" xfId="17238"/>
    <cellStyle name="Normal 4 4 7 2 2 3" xfId="13014"/>
    <cellStyle name="Normal 4 4 7 2 3" xfId="6678"/>
    <cellStyle name="Normal 4 4 7 2 3 2" xfId="15126"/>
    <cellStyle name="Normal 4 4 7 2 4" xfId="10902"/>
    <cellStyle name="Normal 4 4 7 3" xfId="3508"/>
    <cellStyle name="Normal 4 4 7 3 2" xfId="7734"/>
    <cellStyle name="Normal 4 4 7 3 2 2" xfId="16182"/>
    <cellStyle name="Normal 4 4 7 3 3" xfId="11958"/>
    <cellStyle name="Normal 4 4 7 4" xfId="5622"/>
    <cellStyle name="Normal 4 4 7 4 2" xfId="14070"/>
    <cellStyle name="Normal 4 4 7 5" xfId="9846"/>
    <cellStyle name="Normal 4 4 8" xfId="1572"/>
    <cellStyle name="Normal 4 4 8 2" xfId="3684"/>
    <cellStyle name="Normal 4 4 8 2 2" xfId="7910"/>
    <cellStyle name="Normal 4 4 8 2 2 2" xfId="16358"/>
    <cellStyle name="Normal 4 4 8 2 3" xfId="12134"/>
    <cellStyle name="Normal 4 4 8 3" xfId="5798"/>
    <cellStyle name="Normal 4 4 8 3 2" xfId="14246"/>
    <cellStyle name="Normal 4 4 8 4" xfId="10022"/>
    <cellStyle name="Normal 4 4 9" xfId="2628"/>
    <cellStyle name="Normal 4 4 9 2" xfId="6854"/>
    <cellStyle name="Normal 4 4 9 2 2" xfId="15302"/>
    <cellStyle name="Normal 4 4 9 3" xfId="11078"/>
    <cellStyle name="Normal 4 5" xfId="388"/>
    <cellStyle name="Normal 4 6" xfId="389"/>
    <cellStyle name="Normal 4 6 2" xfId="689"/>
    <cellStyle name="Normal 4 6 2 2" xfId="1041"/>
    <cellStyle name="Normal 4 6 2 2 2" xfId="2103"/>
    <cellStyle name="Normal 4 6 2 2 2 2" xfId="4215"/>
    <cellStyle name="Normal 4 6 2 2 2 2 2" xfId="8441"/>
    <cellStyle name="Normal 4 6 2 2 2 2 2 2" xfId="16889"/>
    <cellStyle name="Normal 4 6 2 2 2 2 3" xfId="12665"/>
    <cellStyle name="Normal 4 6 2 2 2 3" xfId="6329"/>
    <cellStyle name="Normal 4 6 2 2 2 3 2" xfId="14777"/>
    <cellStyle name="Normal 4 6 2 2 2 4" xfId="10553"/>
    <cellStyle name="Normal 4 6 2 2 3" xfId="3159"/>
    <cellStyle name="Normal 4 6 2 2 3 2" xfId="7385"/>
    <cellStyle name="Normal 4 6 2 2 3 2 2" xfId="15833"/>
    <cellStyle name="Normal 4 6 2 2 3 3" xfId="11609"/>
    <cellStyle name="Normal 4 6 2 2 4" xfId="5273"/>
    <cellStyle name="Normal 4 6 2 2 4 2" xfId="13721"/>
    <cellStyle name="Normal 4 6 2 2 5" xfId="9497"/>
    <cellStyle name="Normal 4 6 2 3" xfId="1751"/>
    <cellStyle name="Normal 4 6 2 3 2" xfId="3863"/>
    <cellStyle name="Normal 4 6 2 3 2 2" xfId="8089"/>
    <cellStyle name="Normal 4 6 2 3 2 2 2" xfId="16537"/>
    <cellStyle name="Normal 4 6 2 3 2 3" xfId="12313"/>
    <cellStyle name="Normal 4 6 2 3 3" xfId="5977"/>
    <cellStyle name="Normal 4 6 2 3 3 2" xfId="14425"/>
    <cellStyle name="Normal 4 6 2 3 4" xfId="10201"/>
    <cellStyle name="Normal 4 6 2 4" xfId="2807"/>
    <cellStyle name="Normal 4 6 2 4 2" xfId="7033"/>
    <cellStyle name="Normal 4 6 2 4 2 2" xfId="15481"/>
    <cellStyle name="Normal 4 6 2 4 3" xfId="11257"/>
    <cellStyle name="Normal 4 6 2 5" xfId="4921"/>
    <cellStyle name="Normal 4 6 2 5 2" xfId="13369"/>
    <cellStyle name="Normal 4 6 2 6" xfId="9145"/>
    <cellStyle name="Normal 4 6 3" xfId="865"/>
    <cellStyle name="Normal 4 6 3 2" xfId="1927"/>
    <cellStyle name="Normal 4 6 3 2 2" xfId="4039"/>
    <cellStyle name="Normal 4 6 3 2 2 2" xfId="8265"/>
    <cellStyle name="Normal 4 6 3 2 2 2 2" xfId="16713"/>
    <cellStyle name="Normal 4 6 3 2 2 3" xfId="12489"/>
    <cellStyle name="Normal 4 6 3 2 3" xfId="6153"/>
    <cellStyle name="Normal 4 6 3 2 3 2" xfId="14601"/>
    <cellStyle name="Normal 4 6 3 2 4" xfId="10377"/>
    <cellStyle name="Normal 4 6 3 3" xfId="2983"/>
    <cellStyle name="Normal 4 6 3 3 2" xfId="7209"/>
    <cellStyle name="Normal 4 6 3 3 2 2" xfId="15657"/>
    <cellStyle name="Normal 4 6 3 3 3" xfId="11433"/>
    <cellStyle name="Normal 4 6 3 4" xfId="5097"/>
    <cellStyle name="Normal 4 6 3 4 2" xfId="13545"/>
    <cellStyle name="Normal 4 6 3 5" xfId="9321"/>
    <cellStyle name="Normal 4 6 4" xfId="1217"/>
    <cellStyle name="Normal 4 6 4 2" xfId="2279"/>
    <cellStyle name="Normal 4 6 4 2 2" xfId="4391"/>
    <cellStyle name="Normal 4 6 4 2 2 2" xfId="8617"/>
    <cellStyle name="Normal 4 6 4 2 2 2 2" xfId="17065"/>
    <cellStyle name="Normal 4 6 4 2 2 3" xfId="12841"/>
    <cellStyle name="Normal 4 6 4 2 3" xfId="6505"/>
    <cellStyle name="Normal 4 6 4 2 3 2" xfId="14953"/>
    <cellStyle name="Normal 4 6 4 2 4" xfId="10729"/>
    <cellStyle name="Normal 4 6 4 3" xfId="3335"/>
    <cellStyle name="Normal 4 6 4 3 2" xfId="7561"/>
    <cellStyle name="Normal 4 6 4 3 2 2" xfId="16009"/>
    <cellStyle name="Normal 4 6 4 3 3" xfId="11785"/>
    <cellStyle name="Normal 4 6 4 4" xfId="5449"/>
    <cellStyle name="Normal 4 6 4 4 2" xfId="13897"/>
    <cellStyle name="Normal 4 6 4 5" xfId="9673"/>
    <cellStyle name="Normal 4 6 5" xfId="1399"/>
    <cellStyle name="Normal 4 6 5 2" xfId="2455"/>
    <cellStyle name="Normal 4 6 5 2 2" xfId="4567"/>
    <cellStyle name="Normal 4 6 5 2 2 2" xfId="8793"/>
    <cellStyle name="Normal 4 6 5 2 2 2 2" xfId="17241"/>
    <cellStyle name="Normal 4 6 5 2 2 3" xfId="13017"/>
    <cellStyle name="Normal 4 6 5 2 3" xfId="6681"/>
    <cellStyle name="Normal 4 6 5 2 3 2" xfId="15129"/>
    <cellStyle name="Normal 4 6 5 2 4" xfId="10905"/>
    <cellStyle name="Normal 4 6 5 3" xfId="3511"/>
    <cellStyle name="Normal 4 6 5 3 2" xfId="7737"/>
    <cellStyle name="Normal 4 6 5 3 2 2" xfId="16185"/>
    <cellStyle name="Normal 4 6 5 3 3" xfId="11961"/>
    <cellStyle name="Normal 4 6 5 4" xfId="5625"/>
    <cellStyle name="Normal 4 6 5 4 2" xfId="14073"/>
    <cellStyle name="Normal 4 6 5 5" xfId="9849"/>
    <cellStyle name="Normal 4 6 6" xfId="1575"/>
    <cellStyle name="Normal 4 6 6 2" xfId="3687"/>
    <cellStyle name="Normal 4 6 6 2 2" xfId="7913"/>
    <cellStyle name="Normal 4 6 6 2 2 2" xfId="16361"/>
    <cellStyle name="Normal 4 6 6 2 3" xfId="12137"/>
    <cellStyle name="Normal 4 6 6 3" xfId="5801"/>
    <cellStyle name="Normal 4 6 6 3 2" xfId="14249"/>
    <cellStyle name="Normal 4 6 6 4" xfId="10025"/>
    <cellStyle name="Normal 4 6 7" xfId="2631"/>
    <cellStyle name="Normal 4 6 7 2" xfId="6857"/>
    <cellStyle name="Normal 4 6 7 2 2" xfId="15305"/>
    <cellStyle name="Normal 4 6 7 3" xfId="11081"/>
    <cellStyle name="Normal 4 6 8" xfId="4744"/>
    <cellStyle name="Normal 4 6 8 2" xfId="13193"/>
    <cellStyle name="Normal 4 6 9" xfId="8969"/>
    <cellStyle name="Normal 4 7" xfId="390"/>
    <cellStyle name="Normal 4 7 2" xfId="690"/>
    <cellStyle name="Normal 4 7 2 2" xfId="1042"/>
    <cellStyle name="Normal 4 7 2 2 2" xfId="2104"/>
    <cellStyle name="Normal 4 7 2 2 2 2" xfId="4216"/>
    <cellStyle name="Normal 4 7 2 2 2 2 2" xfId="8442"/>
    <cellStyle name="Normal 4 7 2 2 2 2 2 2" xfId="16890"/>
    <cellStyle name="Normal 4 7 2 2 2 2 3" xfId="12666"/>
    <cellStyle name="Normal 4 7 2 2 2 3" xfId="6330"/>
    <cellStyle name="Normal 4 7 2 2 2 3 2" xfId="14778"/>
    <cellStyle name="Normal 4 7 2 2 2 4" xfId="10554"/>
    <cellStyle name="Normal 4 7 2 2 3" xfId="3160"/>
    <cellStyle name="Normal 4 7 2 2 3 2" xfId="7386"/>
    <cellStyle name="Normal 4 7 2 2 3 2 2" xfId="15834"/>
    <cellStyle name="Normal 4 7 2 2 3 3" xfId="11610"/>
    <cellStyle name="Normal 4 7 2 2 4" xfId="5274"/>
    <cellStyle name="Normal 4 7 2 2 4 2" xfId="13722"/>
    <cellStyle name="Normal 4 7 2 2 5" xfId="9498"/>
    <cellStyle name="Normal 4 7 2 3" xfId="1752"/>
    <cellStyle name="Normal 4 7 2 3 2" xfId="3864"/>
    <cellStyle name="Normal 4 7 2 3 2 2" xfId="8090"/>
    <cellStyle name="Normal 4 7 2 3 2 2 2" xfId="16538"/>
    <cellStyle name="Normal 4 7 2 3 2 3" xfId="12314"/>
    <cellStyle name="Normal 4 7 2 3 3" xfId="5978"/>
    <cellStyle name="Normal 4 7 2 3 3 2" xfId="14426"/>
    <cellStyle name="Normal 4 7 2 3 4" xfId="10202"/>
    <cellStyle name="Normal 4 7 2 4" xfId="2808"/>
    <cellStyle name="Normal 4 7 2 4 2" xfId="7034"/>
    <cellStyle name="Normal 4 7 2 4 2 2" xfId="15482"/>
    <cellStyle name="Normal 4 7 2 4 3" xfId="11258"/>
    <cellStyle name="Normal 4 7 2 5" xfId="4922"/>
    <cellStyle name="Normal 4 7 2 5 2" xfId="13370"/>
    <cellStyle name="Normal 4 7 2 6" xfId="9146"/>
    <cellStyle name="Normal 4 7 3" xfId="866"/>
    <cellStyle name="Normal 4 7 3 2" xfId="1928"/>
    <cellStyle name="Normal 4 7 3 2 2" xfId="4040"/>
    <cellStyle name="Normal 4 7 3 2 2 2" xfId="8266"/>
    <cellStyle name="Normal 4 7 3 2 2 2 2" xfId="16714"/>
    <cellStyle name="Normal 4 7 3 2 2 3" xfId="12490"/>
    <cellStyle name="Normal 4 7 3 2 3" xfId="6154"/>
    <cellStyle name="Normal 4 7 3 2 3 2" xfId="14602"/>
    <cellStyle name="Normal 4 7 3 2 4" xfId="10378"/>
    <cellStyle name="Normal 4 7 3 3" xfId="2984"/>
    <cellStyle name="Normal 4 7 3 3 2" xfId="7210"/>
    <cellStyle name="Normal 4 7 3 3 2 2" xfId="15658"/>
    <cellStyle name="Normal 4 7 3 3 3" xfId="11434"/>
    <cellStyle name="Normal 4 7 3 4" xfId="5098"/>
    <cellStyle name="Normal 4 7 3 4 2" xfId="13546"/>
    <cellStyle name="Normal 4 7 3 5" xfId="9322"/>
    <cellStyle name="Normal 4 7 4" xfId="1218"/>
    <cellStyle name="Normal 4 7 4 2" xfId="2280"/>
    <cellStyle name="Normal 4 7 4 2 2" xfId="4392"/>
    <cellStyle name="Normal 4 7 4 2 2 2" xfId="8618"/>
    <cellStyle name="Normal 4 7 4 2 2 2 2" xfId="17066"/>
    <cellStyle name="Normal 4 7 4 2 2 3" xfId="12842"/>
    <cellStyle name="Normal 4 7 4 2 3" xfId="6506"/>
    <cellStyle name="Normal 4 7 4 2 3 2" xfId="14954"/>
    <cellStyle name="Normal 4 7 4 2 4" xfId="10730"/>
    <cellStyle name="Normal 4 7 4 3" xfId="3336"/>
    <cellStyle name="Normal 4 7 4 3 2" xfId="7562"/>
    <cellStyle name="Normal 4 7 4 3 2 2" xfId="16010"/>
    <cellStyle name="Normal 4 7 4 3 3" xfId="11786"/>
    <cellStyle name="Normal 4 7 4 4" xfId="5450"/>
    <cellStyle name="Normal 4 7 4 4 2" xfId="13898"/>
    <cellStyle name="Normal 4 7 4 5" xfId="9674"/>
    <cellStyle name="Normal 4 7 5" xfId="1400"/>
    <cellStyle name="Normal 4 7 5 2" xfId="2456"/>
    <cellStyle name="Normal 4 7 5 2 2" xfId="4568"/>
    <cellStyle name="Normal 4 7 5 2 2 2" xfId="8794"/>
    <cellStyle name="Normal 4 7 5 2 2 2 2" xfId="17242"/>
    <cellStyle name="Normal 4 7 5 2 2 3" xfId="13018"/>
    <cellStyle name="Normal 4 7 5 2 3" xfId="6682"/>
    <cellStyle name="Normal 4 7 5 2 3 2" xfId="15130"/>
    <cellStyle name="Normal 4 7 5 2 4" xfId="10906"/>
    <cellStyle name="Normal 4 7 5 3" xfId="3512"/>
    <cellStyle name="Normal 4 7 5 3 2" xfId="7738"/>
    <cellStyle name="Normal 4 7 5 3 2 2" xfId="16186"/>
    <cellStyle name="Normal 4 7 5 3 3" xfId="11962"/>
    <cellStyle name="Normal 4 7 5 4" xfId="5626"/>
    <cellStyle name="Normal 4 7 5 4 2" xfId="14074"/>
    <cellStyle name="Normal 4 7 5 5" xfId="9850"/>
    <cellStyle name="Normal 4 7 6" xfId="1576"/>
    <cellStyle name="Normal 4 7 6 2" xfId="3688"/>
    <cellStyle name="Normal 4 7 6 2 2" xfId="7914"/>
    <cellStyle name="Normal 4 7 6 2 2 2" xfId="16362"/>
    <cellStyle name="Normal 4 7 6 2 3" xfId="12138"/>
    <cellStyle name="Normal 4 7 6 3" xfId="5802"/>
    <cellStyle name="Normal 4 7 6 3 2" xfId="14250"/>
    <cellStyle name="Normal 4 7 6 4" xfId="10026"/>
    <cellStyle name="Normal 4 7 7" xfId="2632"/>
    <cellStyle name="Normal 4 7 7 2" xfId="6858"/>
    <cellStyle name="Normal 4 7 7 2 2" xfId="15306"/>
    <cellStyle name="Normal 4 7 7 3" xfId="11082"/>
    <cellStyle name="Normal 4 7 8" xfId="4745"/>
    <cellStyle name="Normal 4 7 8 2" xfId="13194"/>
    <cellStyle name="Normal 4 7 9" xfId="8970"/>
    <cellStyle name="Normal 4 8" xfId="682"/>
    <cellStyle name="Normal 4 8 2" xfId="1034"/>
    <cellStyle name="Normal 4 8 2 2" xfId="2096"/>
    <cellStyle name="Normal 4 8 2 2 2" xfId="4208"/>
    <cellStyle name="Normal 4 8 2 2 2 2" xfId="8434"/>
    <cellStyle name="Normal 4 8 2 2 2 2 2" xfId="16882"/>
    <cellStyle name="Normal 4 8 2 2 2 3" xfId="12658"/>
    <cellStyle name="Normal 4 8 2 2 3" xfId="6322"/>
    <cellStyle name="Normal 4 8 2 2 3 2" xfId="14770"/>
    <cellStyle name="Normal 4 8 2 2 4" xfId="10546"/>
    <cellStyle name="Normal 4 8 2 3" xfId="3152"/>
    <cellStyle name="Normal 4 8 2 3 2" xfId="7378"/>
    <cellStyle name="Normal 4 8 2 3 2 2" xfId="15826"/>
    <cellStyle name="Normal 4 8 2 3 3" xfId="11602"/>
    <cellStyle name="Normal 4 8 2 4" xfId="5266"/>
    <cellStyle name="Normal 4 8 2 4 2" xfId="13714"/>
    <cellStyle name="Normal 4 8 2 5" xfId="9490"/>
    <cellStyle name="Normal 4 8 3" xfId="1744"/>
    <cellStyle name="Normal 4 8 3 2" xfId="3856"/>
    <cellStyle name="Normal 4 8 3 2 2" xfId="8082"/>
    <cellStyle name="Normal 4 8 3 2 2 2" xfId="16530"/>
    <cellStyle name="Normal 4 8 3 2 3" xfId="12306"/>
    <cellStyle name="Normal 4 8 3 3" xfId="5970"/>
    <cellStyle name="Normal 4 8 3 3 2" xfId="14418"/>
    <cellStyle name="Normal 4 8 3 4" xfId="10194"/>
    <cellStyle name="Normal 4 8 4" xfId="2800"/>
    <cellStyle name="Normal 4 8 4 2" xfId="7026"/>
    <cellStyle name="Normal 4 8 4 2 2" xfId="15474"/>
    <cellStyle name="Normal 4 8 4 3" xfId="11250"/>
    <cellStyle name="Normal 4 8 5" xfId="4914"/>
    <cellStyle name="Normal 4 8 5 2" xfId="13362"/>
    <cellStyle name="Normal 4 8 6" xfId="9138"/>
    <cellStyle name="Normal 4 9" xfId="858"/>
    <cellStyle name="Normal 4 9 2" xfId="1920"/>
    <cellStyle name="Normal 4 9 2 2" xfId="4032"/>
    <cellStyle name="Normal 4 9 2 2 2" xfId="8258"/>
    <cellStyle name="Normal 4 9 2 2 2 2" xfId="16706"/>
    <cellStyle name="Normal 4 9 2 2 3" xfId="12482"/>
    <cellStyle name="Normal 4 9 2 3" xfId="6146"/>
    <cellStyle name="Normal 4 9 2 3 2" xfId="14594"/>
    <cellStyle name="Normal 4 9 2 4" xfId="10370"/>
    <cellStyle name="Normal 4 9 3" xfId="2976"/>
    <cellStyle name="Normal 4 9 3 2" xfId="7202"/>
    <cellStyle name="Normal 4 9 3 2 2" xfId="15650"/>
    <cellStyle name="Normal 4 9 3 3" xfId="11426"/>
    <cellStyle name="Normal 4 9 4" xfId="5090"/>
    <cellStyle name="Normal 4 9 4 2" xfId="13538"/>
    <cellStyle name="Normal 4 9 5" xfId="9314"/>
    <cellStyle name="Normal 40" xfId="391"/>
    <cellStyle name="Normal 41" xfId="392"/>
    <cellStyle name="Normal 41 10" xfId="8971"/>
    <cellStyle name="Normal 41 11" xfId="17393"/>
    <cellStyle name="Normal 41 2" xfId="393"/>
    <cellStyle name="Normal 41 2 2" xfId="692"/>
    <cellStyle name="Normal 41 2 2 2" xfId="1044"/>
    <cellStyle name="Normal 41 2 2 2 2" xfId="2106"/>
    <cellStyle name="Normal 41 2 2 2 2 2" xfId="4218"/>
    <cellStyle name="Normal 41 2 2 2 2 2 2" xfId="8444"/>
    <cellStyle name="Normal 41 2 2 2 2 2 2 2" xfId="16892"/>
    <cellStyle name="Normal 41 2 2 2 2 2 3" xfId="12668"/>
    <cellStyle name="Normal 41 2 2 2 2 3" xfId="6332"/>
    <cellStyle name="Normal 41 2 2 2 2 3 2" xfId="14780"/>
    <cellStyle name="Normal 41 2 2 2 2 4" xfId="10556"/>
    <cellStyle name="Normal 41 2 2 2 3" xfId="3162"/>
    <cellStyle name="Normal 41 2 2 2 3 2" xfId="7388"/>
    <cellStyle name="Normal 41 2 2 2 3 2 2" xfId="15836"/>
    <cellStyle name="Normal 41 2 2 2 3 3" xfId="11612"/>
    <cellStyle name="Normal 41 2 2 2 4" xfId="5276"/>
    <cellStyle name="Normal 41 2 2 2 4 2" xfId="13724"/>
    <cellStyle name="Normal 41 2 2 2 5" xfId="9500"/>
    <cellStyle name="Normal 41 2 2 3" xfId="1754"/>
    <cellStyle name="Normal 41 2 2 3 2" xfId="3866"/>
    <cellStyle name="Normal 41 2 2 3 2 2" xfId="8092"/>
    <cellStyle name="Normal 41 2 2 3 2 2 2" xfId="16540"/>
    <cellStyle name="Normal 41 2 2 3 2 3" xfId="12316"/>
    <cellStyle name="Normal 41 2 2 3 3" xfId="5980"/>
    <cellStyle name="Normal 41 2 2 3 3 2" xfId="14428"/>
    <cellStyle name="Normal 41 2 2 3 4" xfId="10204"/>
    <cellStyle name="Normal 41 2 2 4" xfId="2810"/>
    <cellStyle name="Normal 41 2 2 4 2" xfId="7036"/>
    <cellStyle name="Normal 41 2 2 4 2 2" xfId="15484"/>
    <cellStyle name="Normal 41 2 2 4 3" xfId="11260"/>
    <cellStyle name="Normal 41 2 2 5" xfId="4924"/>
    <cellStyle name="Normal 41 2 2 5 2" xfId="13372"/>
    <cellStyle name="Normal 41 2 2 6" xfId="9148"/>
    <cellStyle name="Normal 41 2 3" xfId="868"/>
    <cellStyle name="Normal 41 2 3 2" xfId="1930"/>
    <cellStyle name="Normal 41 2 3 2 2" xfId="4042"/>
    <cellStyle name="Normal 41 2 3 2 2 2" xfId="8268"/>
    <cellStyle name="Normal 41 2 3 2 2 2 2" xfId="16716"/>
    <cellStyle name="Normal 41 2 3 2 2 3" xfId="12492"/>
    <cellStyle name="Normal 41 2 3 2 3" xfId="6156"/>
    <cellStyle name="Normal 41 2 3 2 3 2" xfId="14604"/>
    <cellStyle name="Normal 41 2 3 2 4" xfId="10380"/>
    <cellStyle name="Normal 41 2 3 3" xfId="2986"/>
    <cellStyle name="Normal 41 2 3 3 2" xfId="7212"/>
    <cellStyle name="Normal 41 2 3 3 2 2" xfId="15660"/>
    <cellStyle name="Normal 41 2 3 3 3" xfId="11436"/>
    <cellStyle name="Normal 41 2 3 4" xfId="5100"/>
    <cellStyle name="Normal 41 2 3 4 2" xfId="13548"/>
    <cellStyle name="Normal 41 2 3 5" xfId="9324"/>
    <cellStyle name="Normal 41 2 4" xfId="1220"/>
    <cellStyle name="Normal 41 2 4 2" xfId="2282"/>
    <cellStyle name="Normal 41 2 4 2 2" xfId="4394"/>
    <cellStyle name="Normal 41 2 4 2 2 2" xfId="8620"/>
    <cellStyle name="Normal 41 2 4 2 2 2 2" xfId="17068"/>
    <cellStyle name="Normal 41 2 4 2 2 3" xfId="12844"/>
    <cellStyle name="Normal 41 2 4 2 3" xfId="6508"/>
    <cellStyle name="Normal 41 2 4 2 3 2" xfId="14956"/>
    <cellStyle name="Normal 41 2 4 2 4" xfId="10732"/>
    <cellStyle name="Normal 41 2 4 3" xfId="3338"/>
    <cellStyle name="Normal 41 2 4 3 2" xfId="7564"/>
    <cellStyle name="Normal 41 2 4 3 2 2" xfId="16012"/>
    <cellStyle name="Normal 41 2 4 3 3" xfId="11788"/>
    <cellStyle name="Normal 41 2 4 4" xfId="5452"/>
    <cellStyle name="Normal 41 2 4 4 2" xfId="13900"/>
    <cellStyle name="Normal 41 2 4 5" xfId="9676"/>
    <cellStyle name="Normal 41 2 5" xfId="1402"/>
    <cellStyle name="Normal 41 2 5 2" xfId="2458"/>
    <cellStyle name="Normal 41 2 5 2 2" xfId="4570"/>
    <cellStyle name="Normal 41 2 5 2 2 2" xfId="8796"/>
    <cellStyle name="Normal 41 2 5 2 2 2 2" xfId="17244"/>
    <cellStyle name="Normal 41 2 5 2 2 3" xfId="13020"/>
    <cellStyle name="Normal 41 2 5 2 3" xfId="6684"/>
    <cellStyle name="Normal 41 2 5 2 3 2" xfId="15132"/>
    <cellStyle name="Normal 41 2 5 2 4" xfId="10908"/>
    <cellStyle name="Normal 41 2 5 3" xfId="3514"/>
    <cellStyle name="Normal 41 2 5 3 2" xfId="7740"/>
    <cellStyle name="Normal 41 2 5 3 2 2" xfId="16188"/>
    <cellStyle name="Normal 41 2 5 3 3" xfId="11964"/>
    <cellStyle name="Normal 41 2 5 4" xfId="5628"/>
    <cellStyle name="Normal 41 2 5 4 2" xfId="14076"/>
    <cellStyle name="Normal 41 2 5 5" xfId="9852"/>
    <cellStyle name="Normal 41 2 6" xfId="1578"/>
    <cellStyle name="Normal 41 2 6 2" xfId="3690"/>
    <cellStyle name="Normal 41 2 6 2 2" xfId="7916"/>
    <cellStyle name="Normal 41 2 6 2 2 2" xfId="16364"/>
    <cellStyle name="Normal 41 2 6 2 3" xfId="12140"/>
    <cellStyle name="Normal 41 2 6 3" xfId="5804"/>
    <cellStyle name="Normal 41 2 6 3 2" xfId="14252"/>
    <cellStyle name="Normal 41 2 6 4" xfId="10028"/>
    <cellStyle name="Normal 41 2 7" xfId="2634"/>
    <cellStyle name="Normal 41 2 7 2" xfId="6860"/>
    <cellStyle name="Normal 41 2 7 2 2" xfId="15308"/>
    <cellStyle name="Normal 41 2 7 3" xfId="11084"/>
    <cellStyle name="Normal 41 2 8" xfId="4747"/>
    <cellStyle name="Normal 41 2 8 2" xfId="13196"/>
    <cellStyle name="Normal 41 2 9" xfId="8972"/>
    <cellStyle name="Normal 41 3" xfId="691"/>
    <cellStyle name="Normal 41 3 2" xfId="1043"/>
    <cellStyle name="Normal 41 3 2 2" xfId="2105"/>
    <cellStyle name="Normal 41 3 2 2 2" xfId="4217"/>
    <cellStyle name="Normal 41 3 2 2 2 2" xfId="8443"/>
    <cellStyle name="Normal 41 3 2 2 2 2 2" xfId="16891"/>
    <cellStyle name="Normal 41 3 2 2 2 3" xfId="12667"/>
    <cellStyle name="Normal 41 3 2 2 3" xfId="6331"/>
    <cellStyle name="Normal 41 3 2 2 3 2" xfId="14779"/>
    <cellStyle name="Normal 41 3 2 2 4" xfId="10555"/>
    <cellStyle name="Normal 41 3 2 3" xfId="3161"/>
    <cellStyle name="Normal 41 3 2 3 2" xfId="7387"/>
    <cellStyle name="Normal 41 3 2 3 2 2" xfId="15835"/>
    <cellStyle name="Normal 41 3 2 3 3" xfId="11611"/>
    <cellStyle name="Normal 41 3 2 4" xfId="5275"/>
    <cellStyle name="Normal 41 3 2 4 2" xfId="13723"/>
    <cellStyle name="Normal 41 3 2 5" xfId="9499"/>
    <cellStyle name="Normal 41 3 3" xfId="1753"/>
    <cellStyle name="Normal 41 3 3 2" xfId="3865"/>
    <cellStyle name="Normal 41 3 3 2 2" xfId="8091"/>
    <cellStyle name="Normal 41 3 3 2 2 2" xfId="16539"/>
    <cellStyle name="Normal 41 3 3 2 3" xfId="12315"/>
    <cellStyle name="Normal 41 3 3 3" xfId="5979"/>
    <cellStyle name="Normal 41 3 3 3 2" xfId="14427"/>
    <cellStyle name="Normal 41 3 3 4" xfId="10203"/>
    <cellStyle name="Normal 41 3 4" xfId="2809"/>
    <cellStyle name="Normal 41 3 4 2" xfId="7035"/>
    <cellStyle name="Normal 41 3 4 2 2" xfId="15483"/>
    <cellStyle name="Normal 41 3 4 3" xfId="11259"/>
    <cellStyle name="Normal 41 3 5" xfId="4923"/>
    <cellStyle name="Normal 41 3 5 2" xfId="13371"/>
    <cellStyle name="Normal 41 3 6" xfId="9147"/>
    <cellStyle name="Normal 41 4" xfId="867"/>
    <cellStyle name="Normal 41 4 2" xfId="1929"/>
    <cellStyle name="Normal 41 4 2 2" xfId="4041"/>
    <cellStyle name="Normal 41 4 2 2 2" xfId="8267"/>
    <cellStyle name="Normal 41 4 2 2 2 2" xfId="16715"/>
    <cellStyle name="Normal 41 4 2 2 3" xfId="12491"/>
    <cellStyle name="Normal 41 4 2 3" xfId="6155"/>
    <cellStyle name="Normal 41 4 2 3 2" xfId="14603"/>
    <cellStyle name="Normal 41 4 2 4" xfId="10379"/>
    <cellStyle name="Normal 41 4 3" xfId="2985"/>
    <cellStyle name="Normal 41 4 3 2" xfId="7211"/>
    <cellStyle name="Normal 41 4 3 2 2" xfId="15659"/>
    <cellStyle name="Normal 41 4 3 3" xfId="11435"/>
    <cellStyle name="Normal 41 4 4" xfId="5099"/>
    <cellStyle name="Normal 41 4 4 2" xfId="13547"/>
    <cellStyle name="Normal 41 4 5" xfId="9323"/>
    <cellStyle name="Normal 41 5" xfId="1219"/>
    <cellStyle name="Normal 41 5 2" xfId="2281"/>
    <cellStyle name="Normal 41 5 2 2" xfId="4393"/>
    <cellStyle name="Normal 41 5 2 2 2" xfId="8619"/>
    <cellStyle name="Normal 41 5 2 2 2 2" xfId="17067"/>
    <cellStyle name="Normal 41 5 2 2 3" xfId="12843"/>
    <cellStyle name="Normal 41 5 2 3" xfId="6507"/>
    <cellStyle name="Normal 41 5 2 3 2" xfId="14955"/>
    <cellStyle name="Normal 41 5 2 4" xfId="10731"/>
    <cellStyle name="Normal 41 5 3" xfId="3337"/>
    <cellStyle name="Normal 41 5 3 2" xfId="7563"/>
    <cellStyle name="Normal 41 5 3 2 2" xfId="16011"/>
    <cellStyle name="Normal 41 5 3 3" xfId="11787"/>
    <cellStyle name="Normal 41 5 4" xfId="5451"/>
    <cellStyle name="Normal 41 5 4 2" xfId="13899"/>
    <cellStyle name="Normal 41 5 5" xfId="9675"/>
    <cellStyle name="Normal 41 6" xfId="1401"/>
    <cellStyle name="Normal 41 6 2" xfId="2457"/>
    <cellStyle name="Normal 41 6 2 2" xfId="4569"/>
    <cellStyle name="Normal 41 6 2 2 2" xfId="8795"/>
    <cellStyle name="Normal 41 6 2 2 2 2" xfId="17243"/>
    <cellStyle name="Normal 41 6 2 2 3" xfId="13019"/>
    <cellStyle name="Normal 41 6 2 3" xfId="6683"/>
    <cellStyle name="Normal 41 6 2 3 2" xfId="15131"/>
    <cellStyle name="Normal 41 6 2 4" xfId="10907"/>
    <cellStyle name="Normal 41 6 3" xfId="3513"/>
    <cellStyle name="Normal 41 6 3 2" xfId="7739"/>
    <cellStyle name="Normal 41 6 3 2 2" xfId="16187"/>
    <cellStyle name="Normal 41 6 3 3" xfId="11963"/>
    <cellStyle name="Normal 41 6 4" xfId="5627"/>
    <cellStyle name="Normal 41 6 4 2" xfId="14075"/>
    <cellStyle name="Normal 41 6 5" xfId="9851"/>
    <cellStyle name="Normal 41 7" xfId="1577"/>
    <cellStyle name="Normal 41 7 2" xfId="3689"/>
    <cellStyle name="Normal 41 7 2 2" xfId="7915"/>
    <cellStyle name="Normal 41 7 2 2 2" xfId="16363"/>
    <cellStyle name="Normal 41 7 2 3" xfId="12139"/>
    <cellStyle name="Normal 41 7 3" xfId="5803"/>
    <cellStyle name="Normal 41 7 3 2" xfId="14251"/>
    <cellStyle name="Normal 41 7 4" xfId="10027"/>
    <cellStyle name="Normal 41 8" xfId="2633"/>
    <cellStyle name="Normal 41 8 2" xfId="6859"/>
    <cellStyle name="Normal 41 8 2 2" xfId="15307"/>
    <cellStyle name="Normal 41 8 3" xfId="11083"/>
    <cellStyle name="Normal 41 9" xfId="4746"/>
    <cellStyle name="Normal 41 9 2" xfId="13195"/>
    <cellStyle name="Normal 42" xfId="394"/>
    <cellStyle name="Normal 42 10" xfId="8973"/>
    <cellStyle name="Normal 42 2" xfId="395"/>
    <cellStyle name="Normal 42 2 2" xfId="694"/>
    <cellStyle name="Normal 42 2 2 2" xfId="1046"/>
    <cellStyle name="Normal 42 2 2 2 2" xfId="2108"/>
    <cellStyle name="Normal 42 2 2 2 2 2" xfId="4220"/>
    <cellStyle name="Normal 42 2 2 2 2 2 2" xfId="8446"/>
    <cellStyle name="Normal 42 2 2 2 2 2 2 2" xfId="16894"/>
    <cellStyle name="Normal 42 2 2 2 2 2 3" xfId="12670"/>
    <cellStyle name="Normal 42 2 2 2 2 3" xfId="6334"/>
    <cellStyle name="Normal 42 2 2 2 2 3 2" xfId="14782"/>
    <cellStyle name="Normal 42 2 2 2 2 4" xfId="10558"/>
    <cellStyle name="Normal 42 2 2 2 3" xfId="3164"/>
    <cellStyle name="Normal 42 2 2 2 3 2" xfId="7390"/>
    <cellStyle name="Normal 42 2 2 2 3 2 2" xfId="15838"/>
    <cellStyle name="Normal 42 2 2 2 3 3" xfId="11614"/>
    <cellStyle name="Normal 42 2 2 2 4" xfId="5278"/>
    <cellStyle name="Normal 42 2 2 2 4 2" xfId="13726"/>
    <cellStyle name="Normal 42 2 2 2 5" xfId="9502"/>
    <cellStyle name="Normal 42 2 2 3" xfId="1756"/>
    <cellStyle name="Normal 42 2 2 3 2" xfId="3868"/>
    <cellStyle name="Normal 42 2 2 3 2 2" xfId="8094"/>
    <cellStyle name="Normal 42 2 2 3 2 2 2" xfId="16542"/>
    <cellStyle name="Normal 42 2 2 3 2 3" xfId="12318"/>
    <cellStyle name="Normal 42 2 2 3 3" xfId="5982"/>
    <cellStyle name="Normal 42 2 2 3 3 2" xfId="14430"/>
    <cellStyle name="Normal 42 2 2 3 4" xfId="10206"/>
    <cellStyle name="Normal 42 2 2 4" xfId="2812"/>
    <cellStyle name="Normal 42 2 2 4 2" xfId="7038"/>
    <cellStyle name="Normal 42 2 2 4 2 2" xfId="15486"/>
    <cellStyle name="Normal 42 2 2 4 3" xfId="11262"/>
    <cellStyle name="Normal 42 2 2 5" xfId="4926"/>
    <cellStyle name="Normal 42 2 2 5 2" xfId="13374"/>
    <cellStyle name="Normal 42 2 2 6" xfId="9150"/>
    <cellStyle name="Normal 42 2 3" xfId="870"/>
    <cellStyle name="Normal 42 2 3 2" xfId="1932"/>
    <cellStyle name="Normal 42 2 3 2 2" xfId="4044"/>
    <cellStyle name="Normal 42 2 3 2 2 2" xfId="8270"/>
    <cellStyle name="Normal 42 2 3 2 2 2 2" xfId="16718"/>
    <cellStyle name="Normal 42 2 3 2 2 3" xfId="12494"/>
    <cellStyle name="Normal 42 2 3 2 3" xfId="6158"/>
    <cellStyle name="Normal 42 2 3 2 3 2" xfId="14606"/>
    <cellStyle name="Normal 42 2 3 2 4" xfId="10382"/>
    <cellStyle name="Normal 42 2 3 3" xfId="2988"/>
    <cellStyle name="Normal 42 2 3 3 2" xfId="7214"/>
    <cellStyle name="Normal 42 2 3 3 2 2" xfId="15662"/>
    <cellStyle name="Normal 42 2 3 3 3" xfId="11438"/>
    <cellStyle name="Normal 42 2 3 4" xfId="5102"/>
    <cellStyle name="Normal 42 2 3 4 2" xfId="13550"/>
    <cellStyle name="Normal 42 2 3 5" xfId="9326"/>
    <cellStyle name="Normal 42 2 4" xfId="1222"/>
    <cellStyle name="Normal 42 2 4 2" xfId="2284"/>
    <cellStyle name="Normal 42 2 4 2 2" xfId="4396"/>
    <cellStyle name="Normal 42 2 4 2 2 2" xfId="8622"/>
    <cellStyle name="Normal 42 2 4 2 2 2 2" xfId="17070"/>
    <cellStyle name="Normal 42 2 4 2 2 3" xfId="12846"/>
    <cellStyle name="Normal 42 2 4 2 3" xfId="6510"/>
    <cellStyle name="Normal 42 2 4 2 3 2" xfId="14958"/>
    <cellStyle name="Normal 42 2 4 2 4" xfId="10734"/>
    <cellStyle name="Normal 42 2 4 3" xfId="3340"/>
    <cellStyle name="Normal 42 2 4 3 2" xfId="7566"/>
    <cellStyle name="Normal 42 2 4 3 2 2" xfId="16014"/>
    <cellStyle name="Normal 42 2 4 3 3" xfId="11790"/>
    <cellStyle name="Normal 42 2 4 4" xfId="5454"/>
    <cellStyle name="Normal 42 2 4 4 2" xfId="13902"/>
    <cellStyle name="Normal 42 2 4 5" xfId="9678"/>
    <cellStyle name="Normal 42 2 5" xfId="1404"/>
    <cellStyle name="Normal 42 2 5 2" xfId="2460"/>
    <cellStyle name="Normal 42 2 5 2 2" xfId="4572"/>
    <cellStyle name="Normal 42 2 5 2 2 2" xfId="8798"/>
    <cellStyle name="Normal 42 2 5 2 2 2 2" xfId="17246"/>
    <cellStyle name="Normal 42 2 5 2 2 3" xfId="13022"/>
    <cellStyle name="Normal 42 2 5 2 3" xfId="6686"/>
    <cellStyle name="Normal 42 2 5 2 3 2" xfId="15134"/>
    <cellStyle name="Normal 42 2 5 2 4" xfId="10910"/>
    <cellStyle name="Normal 42 2 5 3" xfId="3516"/>
    <cellStyle name="Normal 42 2 5 3 2" xfId="7742"/>
    <cellStyle name="Normal 42 2 5 3 2 2" xfId="16190"/>
    <cellStyle name="Normal 42 2 5 3 3" xfId="11966"/>
    <cellStyle name="Normal 42 2 5 4" xfId="5630"/>
    <cellStyle name="Normal 42 2 5 4 2" xfId="14078"/>
    <cellStyle name="Normal 42 2 5 5" xfId="9854"/>
    <cellStyle name="Normal 42 2 6" xfId="1580"/>
    <cellStyle name="Normal 42 2 6 2" xfId="3692"/>
    <cellStyle name="Normal 42 2 6 2 2" xfId="7918"/>
    <cellStyle name="Normal 42 2 6 2 2 2" xfId="16366"/>
    <cellStyle name="Normal 42 2 6 2 3" xfId="12142"/>
    <cellStyle name="Normal 42 2 6 3" xfId="5806"/>
    <cellStyle name="Normal 42 2 6 3 2" xfId="14254"/>
    <cellStyle name="Normal 42 2 6 4" xfId="10030"/>
    <cellStyle name="Normal 42 2 7" xfId="2636"/>
    <cellStyle name="Normal 42 2 7 2" xfId="6862"/>
    <cellStyle name="Normal 42 2 7 2 2" xfId="15310"/>
    <cellStyle name="Normal 42 2 7 3" xfId="11086"/>
    <cellStyle name="Normal 42 2 8" xfId="4749"/>
    <cellStyle name="Normal 42 2 8 2" xfId="13198"/>
    <cellStyle name="Normal 42 2 9" xfId="8974"/>
    <cellStyle name="Normal 42 3" xfId="693"/>
    <cellStyle name="Normal 42 3 2" xfId="1045"/>
    <cellStyle name="Normal 42 3 2 2" xfId="2107"/>
    <cellStyle name="Normal 42 3 2 2 2" xfId="4219"/>
    <cellStyle name="Normal 42 3 2 2 2 2" xfId="8445"/>
    <cellStyle name="Normal 42 3 2 2 2 2 2" xfId="16893"/>
    <cellStyle name="Normal 42 3 2 2 2 3" xfId="12669"/>
    <cellStyle name="Normal 42 3 2 2 3" xfId="6333"/>
    <cellStyle name="Normal 42 3 2 2 3 2" xfId="14781"/>
    <cellStyle name="Normal 42 3 2 2 4" xfId="10557"/>
    <cellStyle name="Normal 42 3 2 3" xfId="3163"/>
    <cellStyle name="Normal 42 3 2 3 2" xfId="7389"/>
    <cellStyle name="Normal 42 3 2 3 2 2" xfId="15837"/>
    <cellStyle name="Normal 42 3 2 3 3" xfId="11613"/>
    <cellStyle name="Normal 42 3 2 4" xfId="5277"/>
    <cellStyle name="Normal 42 3 2 4 2" xfId="13725"/>
    <cellStyle name="Normal 42 3 2 5" xfId="9501"/>
    <cellStyle name="Normal 42 3 3" xfId="1755"/>
    <cellStyle name="Normal 42 3 3 2" xfId="3867"/>
    <cellStyle name="Normal 42 3 3 2 2" xfId="8093"/>
    <cellStyle name="Normal 42 3 3 2 2 2" xfId="16541"/>
    <cellStyle name="Normal 42 3 3 2 3" xfId="12317"/>
    <cellStyle name="Normal 42 3 3 3" xfId="5981"/>
    <cellStyle name="Normal 42 3 3 3 2" xfId="14429"/>
    <cellStyle name="Normal 42 3 3 4" xfId="10205"/>
    <cellStyle name="Normal 42 3 4" xfId="2811"/>
    <cellStyle name="Normal 42 3 4 2" xfId="7037"/>
    <cellStyle name="Normal 42 3 4 2 2" xfId="15485"/>
    <cellStyle name="Normal 42 3 4 3" xfId="11261"/>
    <cellStyle name="Normal 42 3 5" xfId="4925"/>
    <cellStyle name="Normal 42 3 5 2" xfId="13373"/>
    <cellStyle name="Normal 42 3 6" xfId="9149"/>
    <cellStyle name="Normal 42 4" xfId="869"/>
    <cellStyle name="Normal 42 4 2" xfId="1931"/>
    <cellStyle name="Normal 42 4 2 2" xfId="4043"/>
    <cellStyle name="Normal 42 4 2 2 2" xfId="8269"/>
    <cellStyle name="Normal 42 4 2 2 2 2" xfId="16717"/>
    <cellStyle name="Normal 42 4 2 2 3" xfId="12493"/>
    <cellStyle name="Normal 42 4 2 3" xfId="6157"/>
    <cellStyle name="Normal 42 4 2 3 2" xfId="14605"/>
    <cellStyle name="Normal 42 4 2 4" xfId="10381"/>
    <cellStyle name="Normal 42 4 3" xfId="2987"/>
    <cellStyle name="Normal 42 4 3 2" xfId="7213"/>
    <cellStyle name="Normal 42 4 3 2 2" xfId="15661"/>
    <cellStyle name="Normal 42 4 3 3" xfId="11437"/>
    <cellStyle name="Normal 42 4 4" xfId="5101"/>
    <cellStyle name="Normal 42 4 4 2" xfId="13549"/>
    <cellStyle name="Normal 42 4 5" xfId="9325"/>
    <cellStyle name="Normal 42 5" xfId="1221"/>
    <cellStyle name="Normal 42 5 2" xfId="2283"/>
    <cellStyle name="Normal 42 5 2 2" xfId="4395"/>
    <cellStyle name="Normal 42 5 2 2 2" xfId="8621"/>
    <cellStyle name="Normal 42 5 2 2 2 2" xfId="17069"/>
    <cellStyle name="Normal 42 5 2 2 3" xfId="12845"/>
    <cellStyle name="Normal 42 5 2 3" xfId="6509"/>
    <cellStyle name="Normal 42 5 2 3 2" xfId="14957"/>
    <cellStyle name="Normal 42 5 2 4" xfId="10733"/>
    <cellStyle name="Normal 42 5 3" xfId="3339"/>
    <cellStyle name="Normal 42 5 3 2" xfId="7565"/>
    <cellStyle name="Normal 42 5 3 2 2" xfId="16013"/>
    <cellStyle name="Normal 42 5 3 3" xfId="11789"/>
    <cellStyle name="Normal 42 5 4" xfId="5453"/>
    <cellStyle name="Normal 42 5 4 2" xfId="13901"/>
    <cellStyle name="Normal 42 5 5" xfId="9677"/>
    <cellStyle name="Normal 42 6" xfId="1403"/>
    <cellStyle name="Normal 42 6 2" xfId="2459"/>
    <cellStyle name="Normal 42 6 2 2" xfId="4571"/>
    <cellStyle name="Normal 42 6 2 2 2" xfId="8797"/>
    <cellStyle name="Normal 42 6 2 2 2 2" xfId="17245"/>
    <cellStyle name="Normal 42 6 2 2 3" xfId="13021"/>
    <cellStyle name="Normal 42 6 2 3" xfId="6685"/>
    <cellStyle name="Normal 42 6 2 3 2" xfId="15133"/>
    <cellStyle name="Normal 42 6 2 4" xfId="10909"/>
    <cellStyle name="Normal 42 6 3" xfId="3515"/>
    <cellStyle name="Normal 42 6 3 2" xfId="7741"/>
    <cellStyle name="Normal 42 6 3 2 2" xfId="16189"/>
    <cellStyle name="Normal 42 6 3 3" xfId="11965"/>
    <cellStyle name="Normal 42 6 4" xfId="5629"/>
    <cellStyle name="Normal 42 6 4 2" xfId="14077"/>
    <cellStyle name="Normal 42 6 5" xfId="9853"/>
    <cellStyle name="Normal 42 7" xfId="1579"/>
    <cellStyle name="Normal 42 7 2" xfId="3691"/>
    <cellStyle name="Normal 42 7 2 2" xfId="7917"/>
    <cellStyle name="Normal 42 7 2 2 2" xfId="16365"/>
    <cellStyle name="Normal 42 7 2 3" xfId="12141"/>
    <cellStyle name="Normal 42 7 3" xfId="5805"/>
    <cellStyle name="Normal 42 7 3 2" xfId="14253"/>
    <cellStyle name="Normal 42 7 4" xfId="10029"/>
    <cellStyle name="Normal 42 8" xfId="2635"/>
    <cellStyle name="Normal 42 8 2" xfId="6861"/>
    <cellStyle name="Normal 42 8 2 2" xfId="15309"/>
    <cellStyle name="Normal 42 8 3" xfId="11085"/>
    <cellStyle name="Normal 42 9" xfId="4748"/>
    <cellStyle name="Normal 42 9 2" xfId="13197"/>
    <cellStyle name="Normal 43" xfId="396"/>
    <cellStyle name="Normal 43 10" xfId="17447"/>
    <cellStyle name="Normal 43 2" xfId="695"/>
    <cellStyle name="Normal 43 2 2" xfId="1047"/>
    <cellStyle name="Normal 43 2 2 2" xfId="2109"/>
    <cellStyle name="Normal 43 2 2 2 2" xfId="4221"/>
    <cellStyle name="Normal 43 2 2 2 2 2" xfId="8447"/>
    <cellStyle name="Normal 43 2 2 2 2 2 2" xfId="16895"/>
    <cellStyle name="Normal 43 2 2 2 2 3" xfId="12671"/>
    <cellStyle name="Normal 43 2 2 2 3" xfId="6335"/>
    <cellStyle name="Normal 43 2 2 2 3 2" xfId="14783"/>
    <cellStyle name="Normal 43 2 2 2 4" xfId="10559"/>
    <cellStyle name="Normal 43 2 2 3" xfId="3165"/>
    <cellStyle name="Normal 43 2 2 3 2" xfId="7391"/>
    <cellStyle name="Normal 43 2 2 3 2 2" xfId="15839"/>
    <cellStyle name="Normal 43 2 2 3 3" xfId="11615"/>
    <cellStyle name="Normal 43 2 2 4" xfId="5279"/>
    <cellStyle name="Normal 43 2 2 4 2" xfId="13727"/>
    <cellStyle name="Normal 43 2 2 5" xfId="9503"/>
    <cellStyle name="Normal 43 2 3" xfId="1757"/>
    <cellStyle name="Normal 43 2 3 2" xfId="3869"/>
    <cellStyle name="Normal 43 2 3 2 2" xfId="8095"/>
    <cellStyle name="Normal 43 2 3 2 2 2" xfId="16543"/>
    <cellStyle name="Normal 43 2 3 2 3" xfId="12319"/>
    <cellStyle name="Normal 43 2 3 3" xfId="5983"/>
    <cellStyle name="Normal 43 2 3 3 2" xfId="14431"/>
    <cellStyle name="Normal 43 2 3 4" xfId="10207"/>
    <cellStyle name="Normal 43 2 4" xfId="2813"/>
    <cellStyle name="Normal 43 2 4 2" xfId="7039"/>
    <cellStyle name="Normal 43 2 4 2 2" xfId="15487"/>
    <cellStyle name="Normal 43 2 4 3" xfId="11263"/>
    <cellStyle name="Normal 43 2 5" xfId="4927"/>
    <cellStyle name="Normal 43 2 5 2" xfId="13375"/>
    <cellStyle name="Normal 43 2 6" xfId="9151"/>
    <cellStyle name="Normal 43 3" xfId="871"/>
    <cellStyle name="Normal 43 3 2" xfId="1933"/>
    <cellStyle name="Normal 43 3 2 2" xfId="4045"/>
    <cellStyle name="Normal 43 3 2 2 2" xfId="8271"/>
    <cellStyle name="Normal 43 3 2 2 2 2" xfId="16719"/>
    <cellStyle name="Normal 43 3 2 2 3" xfId="12495"/>
    <cellStyle name="Normal 43 3 2 3" xfId="6159"/>
    <cellStyle name="Normal 43 3 2 3 2" xfId="14607"/>
    <cellStyle name="Normal 43 3 2 4" xfId="10383"/>
    <cellStyle name="Normal 43 3 3" xfId="2989"/>
    <cellStyle name="Normal 43 3 3 2" xfId="7215"/>
    <cellStyle name="Normal 43 3 3 2 2" xfId="15663"/>
    <cellStyle name="Normal 43 3 3 3" xfId="11439"/>
    <cellStyle name="Normal 43 3 4" xfId="5103"/>
    <cellStyle name="Normal 43 3 4 2" xfId="13551"/>
    <cellStyle name="Normal 43 3 5" xfId="9327"/>
    <cellStyle name="Normal 43 4" xfId="1223"/>
    <cellStyle name="Normal 43 4 2" xfId="2285"/>
    <cellStyle name="Normal 43 4 2 2" xfId="4397"/>
    <cellStyle name="Normal 43 4 2 2 2" xfId="8623"/>
    <cellStyle name="Normal 43 4 2 2 2 2" xfId="17071"/>
    <cellStyle name="Normal 43 4 2 2 3" xfId="12847"/>
    <cellStyle name="Normal 43 4 2 3" xfId="6511"/>
    <cellStyle name="Normal 43 4 2 3 2" xfId="14959"/>
    <cellStyle name="Normal 43 4 2 4" xfId="10735"/>
    <cellStyle name="Normal 43 4 3" xfId="3341"/>
    <cellStyle name="Normal 43 4 3 2" xfId="7567"/>
    <cellStyle name="Normal 43 4 3 2 2" xfId="16015"/>
    <cellStyle name="Normal 43 4 3 3" xfId="11791"/>
    <cellStyle name="Normal 43 4 4" xfId="5455"/>
    <cellStyle name="Normal 43 4 4 2" xfId="13903"/>
    <cellStyle name="Normal 43 4 5" xfId="9679"/>
    <cellStyle name="Normal 43 5" xfId="1405"/>
    <cellStyle name="Normal 43 5 2" xfId="2461"/>
    <cellStyle name="Normal 43 5 2 2" xfId="4573"/>
    <cellStyle name="Normal 43 5 2 2 2" xfId="8799"/>
    <cellStyle name="Normal 43 5 2 2 2 2" xfId="17247"/>
    <cellStyle name="Normal 43 5 2 2 3" xfId="13023"/>
    <cellStyle name="Normal 43 5 2 3" xfId="6687"/>
    <cellStyle name="Normal 43 5 2 3 2" xfId="15135"/>
    <cellStyle name="Normal 43 5 2 4" xfId="10911"/>
    <cellStyle name="Normal 43 5 3" xfId="3517"/>
    <cellStyle name="Normal 43 5 3 2" xfId="7743"/>
    <cellStyle name="Normal 43 5 3 2 2" xfId="16191"/>
    <cellStyle name="Normal 43 5 3 3" xfId="11967"/>
    <cellStyle name="Normal 43 5 4" xfId="5631"/>
    <cellStyle name="Normal 43 5 4 2" xfId="14079"/>
    <cellStyle name="Normal 43 5 5" xfId="9855"/>
    <cellStyle name="Normal 43 6" xfId="1581"/>
    <cellStyle name="Normal 43 6 2" xfId="3693"/>
    <cellStyle name="Normal 43 6 2 2" xfId="7919"/>
    <cellStyle name="Normal 43 6 2 2 2" xfId="16367"/>
    <cellStyle name="Normal 43 6 2 3" xfId="12143"/>
    <cellStyle name="Normal 43 6 3" xfId="5807"/>
    <cellStyle name="Normal 43 6 3 2" xfId="14255"/>
    <cellStyle name="Normal 43 6 4" xfId="10031"/>
    <cellStyle name="Normal 43 7" xfId="2637"/>
    <cellStyle name="Normal 43 7 2" xfId="6863"/>
    <cellStyle name="Normal 43 7 2 2" xfId="15311"/>
    <cellStyle name="Normal 43 7 3" xfId="11087"/>
    <cellStyle name="Normal 43 8" xfId="4750"/>
    <cellStyle name="Normal 43 8 2" xfId="13199"/>
    <cellStyle name="Normal 43 9" xfId="8975"/>
    <cellStyle name="Normal 44" xfId="397"/>
    <cellStyle name="Normal 45" xfId="398"/>
    <cellStyle name="Normal 46" xfId="399"/>
    <cellStyle name="Normal 46 2" xfId="17463"/>
    <cellStyle name="Normal 47" xfId="400"/>
    <cellStyle name="Normal 47 2" xfId="696"/>
    <cellStyle name="Normal 47 2 2" xfId="1048"/>
    <cellStyle name="Normal 47 2 2 2" xfId="2110"/>
    <cellStyle name="Normal 47 2 2 2 2" xfId="4222"/>
    <cellStyle name="Normal 47 2 2 2 2 2" xfId="8448"/>
    <cellStyle name="Normal 47 2 2 2 2 2 2" xfId="16896"/>
    <cellStyle name="Normal 47 2 2 2 2 3" xfId="12672"/>
    <cellStyle name="Normal 47 2 2 2 3" xfId="6336"/>
    <cellStyle name="Normal 47 2 2 2 3 2" xfId="14784"/>
    <cellStyle name="Normal 47 2 2 2 4" xfId="10560"/>
    <cellStyle name="Normal 47 2 2 3" xfId="3166"/>
    <cellStyle name="Normal 47 2 2 3 2" xfId="7392"/>
    <cellStyle name="Normal 47 2 2 3 2 2" xfId="15840"/>
    <cellStyle name="Normal 47 2 2 3 3" xfId="11616"/>
    <cellStyle name="Normal 47 2 2 4" xfId="5280"/>
    <cellStyle name="Normal 47 2 2 4 2" xfId="13728"/>
    <cellStyle name="Normal 47 2 2 5" xfId="9504"/>
    <cellStyle name="Normal 47 2 3" xfId="1758"/>
    <cellStyle name="Normal 47 2 3 2" xfId="3870"/>
    <cellStyle name="Normal 47 2 3 2 2" xfId="8096"/>
    <cellStyle name="Normal 47 2 3 2 2 2" xfId="16544"/>
    <cellStyle name="Normal 47 2 3 2 3" xfId="12320"/>
    <cellStyle name="Normal 47 2 3 3" xfId="5984"/>
    <cellStyle name="Normal 47 2 3 3 2" xfId="14432"/>
    <cellStyle name="Normal 47 2 3 4" xfId="10208"/>
    <cellStyle name="Normal 47 2 4" xfId="2814"/>
    <cellStyle name="Normal 47 2 4 2" xfId="7040"/>
    <cellStyle name="Normal 47 2 4 2 2" xfId="15488"/>
    <cellStyle name="Normal 47 2 4 3" xfId="11264"/>
    <cellStyle name="Normal 47 2 5" xfId="4928"/>
    <cellStyle name="Normal 47 2 5 2" xfId="13376"/>
    <cellStyle name="Normal 47 2 6" xfId="9152"/>
    <cellStyle name="Normal 47 3" xfId="872"/>
    <cellStyle name="Normal 47 3 2" xfId="1934"/>
    <cellStyle name="Normal 47 3 2 2" xfId="4046"/>
    <cellStyle name="Normal 47 3 2 2 2" xfId="8272"/>
    <cellStyle name="Normal 47 3 2 2 2 2" xfId="16720"/>
    <cellStyle name="Normal 47 3 2 2 3" xfId="12496"/>
    <cellStyle name="Normal 47 3 2 3" xfId="6160"/>
    <cellStyle name="Normal 47 3 2 3 2" xfId="14608"/>
    <cellStyle name="Normal 47 3 2 4" xfId="10384"/>
    <cellStyle name="Normal 47 3 3" xfId="2990"/>
    <cellStyle name="Normal 47 3 3 2" xfId="7216"/>
    <cellStyle name="Normal 47 3 3 2 2" xfId="15664"/>
    <cellStyle name="Normal 47 3 3 3" xfId="11440"/>
    <cellStyle name="Normal 47 3 4" xfId="5104"/>
    <cellStyle name="Normal 47 3 4 2" xfId="13552"/>
    <cellStyle name="Normal 47 3 5" xfId="9328"/>
    <cellStyle name="Normal 47 4" xfId="1224"/>
    <cellStyle name="Normal 47 4 2" xfId="2286"/>
    <cellStyle name="Normal 47 4 2 2" xfId="4398"/>
    <cellStyle name="Normal 47 4 2 2 2" xfId="8624"/>
    <cellStyle name="Normal 47 4 2 2 2 2" xfId="17072"/>
    <cellStyle name="Normal 47 4 2 2 3" xfId="12848"/>
    <cellStyle name="Normal 47 4 2 3" xfId="6512"/>
    <cellStyle name="Normal 47 4 2 3 2" xfId="14960"/>
    <cellStyle name="Normal 47 4 2 4" xfId="10736"/>
    <cellStyle name="Normal 47 4 3" xfId="3342"/>
    <cellStyle name="Normal 47 4 3 2" xfId="7568"/>
    <cellStyle name="Normal 47 4 3 2 2" xfId="16016"/>
    <cellStyle name="Normal 47 4 3 3" xfId="11792"/>
    <cellStyle name="Normal 47 4 4" xfId="5456"/>
    <cellStyle name="Normal 47 4 4 2" xfId="13904"/>
    <cellStyle name="Normal 47 4 5" xfId="9680"/>
    <cellStyle name="Normal 47 5" xfId="1406"/>
    <cellStyle name="Normal 47 5 2" xfId="2462"/>
    <cellStyle name="Normal 47 5 2 2" xfId="4574"/>
    <cellStyle name="Normal 47 5 2 2 2" xfId="8800"/>
    <cellStyle name="Normal 47 5 2 2 2 2" xfId="17248"/>
    <cellStyle name="Normal 47 5 2 2 3" xfId="13024"/>
    <cellStyle name="Normal 47 5 2 3" xfId="6688"/>
    <cellStyle name="Normal 47 5 2 3 2" xfId="15136"/>
    <cellStyle name="Normal 47 5 2 4" xfId="10912"/>
    <cellStyle name="Normal 47 5 3" xfId="3518"/>
    <cellStyle name="Normal 47 5 3 2" xfId="7744"/>
    <cellStyle name="Normal 47 5 3 2 2" xfId="16192"/>
    <cellStyle name="Normal 47 5 3 3" xfId="11968"/>
    <cellStyle name="Normal 47 5 4" xfId="5632"/>
    <cellStyle name="Normal 47 5 4 2" xfId="14080"/>
    <cellStyle name="Normal 47 5 5" xfId="9856"/>
    <cellStyle name="Normal 47 6" xfId="1582"/>
    <cellStyle name="Normal 47 6 2" xfId="3694"/>
    <cellStyle name="Normal 47 6 2 2" xfId="7920"/>
    <cellStyle name="Normal 47 6 2 2 2" xfId="16368"/>
    <cellStyle name="Normal 47 6 2 3" xfId="12144"/>
    <cellStyle name="Normal 47 6 3" xfId="5808"/>
    <cellStyle name="Normal 47 6 3 2" xfId="14256"/>
    <cellStyle name="Normal 47 6 4" xfId="10032"/>
    <cellStyle name="Normal 47 7" xfId="2638"/>
    <cellStyle name="Normal 47 7 2" xfId="6864"/>
    <cellStyle name="Normal 47 7 2 2" xfId="15312"/>
    <cellStyle name="Normal 47 7 3" xfId="11088"/>
    <cellStyle name="Normal 47 8" xfId="4751"/>
    <cellStyle name="Normal 47 8 2" xfId="13200"/>
    <cellStyle name="Normal 47 9" xfId="8976"/>
    <cellStyle name="Normal 48" xfId="401"/>
    <cellStyle name="Normal 48 2" xfId="697"/>
    <cellStyle name="Normal 48 2 2" xfId="1049"/>
    <cellStyle name="Normal 48 2 2 2" xfId="2111"/>
    <cellStyle name="Normal 48 2 2 2 2" xfId="4223"/>
    <cellStyle name="Normal 48 2 2 2 2 2" xfId="8449"/>
    <cellStyle name="Normal 48 2 2 2 2 2 2" xfId="16897"/>
    <cellStyle name="Normal 48 2 2 2 2 3" xfId="12673"/>
    <cellStyle name="Normal 48 2 2 2 3" xfId="6337"/>
    <cellStyle name="Normal 48 2 2 2 3 2" xfId="14785"/>
    <cellStyle name="Normal 48 2 2 2 4" xfId="10561"/>
    <cellStyle name="Normal 48 2 2 3" xfId="3167"/>
    <cellStyle name="Normal 48 2 2 3 2" xfId="7393"/>
    <cellStyle name="Normal 48 2 2 3 2 2" xfId="15841"/>
    <cellStyle name="Normal 48 2 2 3 3" xfId="11617"/>
    <cellStyle name="Normal 48 2 2 4" xfId="5281"/>
    <cellStyle name="Normal 48 2 2 4 2" xfId="13729"/>
    <cellStyle name="Normal 48 2 2 5" xfId="9505"/>
    <cellStyle name="Normal 48 2 3" xfId="1759"/>
    <cellStyle name="Normal 48 2 3 2" xfId="3871"/>
    <cellStyle name="Normal 48 2 3 2 2" xfId="8097"/>
    <cellStyle name="Normal 48 2 3 2 2 2" xfId="16545"/>
    <cellStyle name="Normal 48 2 3 2 3" xfId="12321"/>
    <cellStyle name="Normal 48 2 3 3" xfId="5985"/>
    <cellStyle name="Normal 48 2 3 3 2" xfId="14433"/>
    <cellStyle name="Normal 48 2 3 4" xfId="10209"/>
    <cellStyle name="Normal 48 2 4" xfId="2815"/>
    <cellStyle name="Normal 48 2 4 2" xfId="7041"/>
    <cellStyle name="Normal 48 2 4 2 2" xfId="15489"/>
    <cellStyle name="Normal 48 2 4 3" xfId="11265"/>
    <cellStyle name="Normal 48 2 5" xfId="4929"/>
    <cellStyle name="Normal 48 2 5 2" xfId="13377"/>
    <cellStyle name="Normal 48 2 6" xfId="9153"/>
    <cellStyle name="Normal 48 3" xfId="873"/>
    <cellStyle name="Normal 48 3 2" xfId="1935"/>
    <cellStyle name="Normal 48 3 2 2" xfId="4047"/>
    <cellStyle name="Normal 48 3 2 2 2" xfId="8273"/>
    <cellStyle name="Normal 48 3 2 2 2 2" xfId="16721"/>
    <cellStyle name="Normal 48 3 2 2 3" xfId="12497"/>
    <cellStyle name="Normal 48 3 2 3" xfId="6161"/>
    <cellStyle name="Normal 48 3 2 3 2" xfId="14609"/>
    <cellStyle name="Normal 48 3 2 4" xfId="10385"/>
    <cellStyle name="Normal 48 3 3" xfId="2991"/>
    <cellStyle name="Normal 48 3 3 2" xfId="7217"/>
    <cellStyle name="Normal 48 3 3 2 2" xfId="15665"/>
    <cellStyle name="Normal 48 3 3 3" xfId="11441"/>
    <cellStyle name="Normal 48 3 4" xfId="5105"/>
    <cellStyle name="Normal 48 3 4 2" xfId="13553"/>
    <cellStyle name="Normal 48 3 5" xfId="9329"/>
    <cellStyle name="Normal 48 4" xfId="1225"/>
    <cellStyle name="Normal 48 4 2" xfId="2287"/>
    <cellStyle name="Normal 48 4 2 2" xfId="4399"/>
    <cellStyle name="Normal 48 4 2 2 2" xfId="8625"/>
    <cellStyle name="Normal 48 4 2 2 2 2" xfId="17073"/>
    <cellStyle name="Normal 48 4 2 2 3" xfId="12849"/>
    <cellStyle name="Normal 48 4 2 3" xfId="6513"/>
    <cellStyle name="Normal 48 4 2 3 2" xfId="14961"/>
    <cellStyle name="Normal 48 4 2 4" xfId="10737"/>
    <cellStyle name="Normal 48 4 3" xfId="3343"/>
    <cellStyle name="Normal 48 4 3 2" xfId="7569"/>
    <cellStyle name="Normal 48 4 3 2 2" xfId="16017"/>
    <cellStyle name="Normal 48 4 3 3" xfId="11793"/>
    <cellStyle name="Normal 48 4 4" xfId="5457"/>
    <cellStyle name="Normal 48 4 4 2" xfId="13905"/>
    <cellStyle name="Normal 48 4 5" xfId="9681"/>
    <cellStyle name="Normal 48 5" xfId="1407"/>
    <cellStyle name="Normal 48 5 2" xfId="2463"/>
    <cellStyle name="Normal 48 5 2 2" xfId="4575"/>
    <cellStyle name="Normal 48 5 2 2 2" xfId="8801"/>
    <cellStyle name="Normal 48 5 2 2 2 2" xfId="17249"/>
    <cellStyle name="Normal 48 5 2 2 3" xfId="13025"/>
    <cellStyle name="Normal 48 5 2 3" xfId="6689"/>
    <cellStyle name="Normal 48 5 2 3 2" xfId="15137"/>
    <cellStyle name="Normal 48 5 2 4" xfId="10913"/>
    <cellStyle name="Normal 48 5 3" xfId="3519"/>
    <cellStyle name="Normal 48 5 3 2" xfId="7745"/>
    <cellStyle name="Normal 48 5 3 2 2" xfId="16193"/>
    <cellStyle name="Normal 48 5 3 3" xfId="11969"/>
    <cellStyle name="Normal 48 5 4" xfId="5633"/>
    <cellStyle name="Normal 48 5 4 2" xfId="14081"/>
    <cellStyle name="Normal 48 5 5" xfId="9857"/>
    <cellStyle name="Normal 48 6" xfId="1583"/>
    <cellStyle name="Normal 48 6 2" xfId="3695"/>
    <cellStyle name="Normal 48 6 2 2" xfId="7921"/>
    <cellStyle name="Normal 48 6 2 2 2" xfId="16369"/>
    <cellStyle name="Normal 48 6 2 3" xfId="12145"/>
    <cellStyle name="Normal 48 6 3" xfId="5809"/>
    <cellStyle name="Normal 48 6 3 2" xfId="14257"/>
    <cellStyle name="Normal 48 6 4" xfId="10033"/>
    <cellStyle name="Normal 48 7" xfId="2639"/>
    <cellStyle name="Normal 48 7 2" xfId="6865"/>
    <cellStyle name="Normal 48 7 2 2" xfId="15313"/>
    <cellStyle name="Normal 48 7 3" xfId="11089"/>
    <cellStyle name="Normal 48 8" xfId="4752"/>
    <cellStyle name="Normal 48 8 2" xfId="13201"/>
    <cellStyle name="Normal 48 9" xfId="8977"/>
    <cellStyle name="Normal 49" xfId="1295"/>
    <cellStyle name="Normal 49 2" xfId="17348"/>
    <cellStyle name="Normal 5" xfId="402"/>
    <cellStyle name="Normal 5 10" xfId="1408"/>
    <cellStyle name="Normal 5 10 2" xfId="2464"/>
    <cellStyle name="Normal 5 10 2 2" xfId="4576"/>
    <cellStyle name="Normal 5 10 2 2 2" xfId="8802"/>
    <cellStyle name="Normal 5 10 2 2 2 2" xfId="17250"/>
    <cellStyle name="Normal 5 10 2 2 3" xfId="13026"/>
    <cellStyle name="Normal 5 10 2 3" xfId="6690"/>
    <cellStyle name="Normal 5 10 2 3 2" xfId="15138"/>
    <cellStyle name="Normal 5 10 2 4" xfId="10914"/>
    <cellStyle name="Normal 5 10 3" xfId="3520"/>
    <cellStyle name="Normal 5 10 3 2" xfId="7746"/>
    <cellStyle name="Normal 5 10 3 2 2" xfId="16194"/>
    <cellStyle name="Normal 5 10 3 3" xfId="11970"/>
    <cellStyle name="Normal 5 10 4" xfId="5634"/>
    <cellStyle name="Normal 5 10 4 2" xfId="14082"/>
    <cellStyle name="Normal 5 10 5" xfId="9858"/>
    <cellStyle name="Normal 5 11" xfId="1584"/>
    <cellStyle name="Normal 5 11 2" xfId="3696"/>
    <cellStyle name="Normal 5 11 2 2" xfId="7922"/>
    <cellStyle name="Normal 5 11 2 2 2" xfId="16370"/>
    <cellStyle name="Normal 5 11 2 3" xfId="12146"/>
    <cellStyle name="Normal 5 11 3" xfId="5810"/>
    <cellStyle name="Normal 5 11 3 2" xfId="14258"/>
    <cellStyle name="Normal 5 11 4" xfId="10034"/>
    <cellStyle name="Normal 5 12" xfId="2640"/>
    <cellStyle name="Normal 5 12 2" xfId="6866"/>
    <cellStyle name="Normal 5 12 2 2" xfId="15314"/>
    <cellStyle name="Normal 5 12 3" xfId="11090"/>
    <cellStyle name="Normal 5 13" xfId="4753"/>
    <cellStyle name="Normal 5 13 2" xfId="13202"/>
    <cellStyle name="Normal 5 14" xfId="8978"/>
    <cellStyle name="Normal 5 2" xfId="403"/>
    <cellStyle name="Normal 5 2 10" xfId="4754"/>
    <cellStyle name="Normal 5 2 10 2" xfId="13203"/>
    <cellStyle name="Normal 5 2 11" xfId="8979"/>
    <cellStyle name="Normal 5 2 2" xfId="404"/>
    <cellStyle name="Normal 5 2 2 2" xfId="700"/>
    <cellStyle name="Normal 5 2 2 2 2" xfId="1052"/>
    <cellStyle name="Normal 5 2 2 2 2 2" xfId="2114"/>
    <cellStyle name="Normal 5 2 2 2 2 2 2" xfId="4226"/>
    <cellStyle name="Normal 5 2 2 2 2 2 2 2" xfId="8452"/>
    <cellStyle name="Normal 5 2 2 2 2 2 2 2 2" xfId="16900"/>
    <cellStyle name="Normal 5 2 2 2 2 2 2 3" xfId="12676"/>
    <cellStyle name="Normal 5 2 2 2 2 2 3" xfId="6340"/>
    <cellStyle name="Normal 5 2 2 2 2 2 3 2" xfId="14788"/>
    <cellStyle name="Normal 5 2 2 2 2 2 4" xfId="10564"/>
    <cellStyle name="Normal 5 2 2 2 2 3" xfId="3170"/>
    <cellStyle name="Normal 5 2 2 2 2 3 2" xfId="7396"/>
    <cellStyle name="Normal 5 2 2 2 2 3 2 2" xfId="15844"/>
    <cellStyle name="Normal 5 2 2 2 2 3 3" xfId="11620"/>
    <cellStyle name="Normal 5 2 2 2 2 4" xfId="5284"/>
    <cellStyle name="Normal 5 2 2 2 2 4 2" xfId="13732"/>
    <cellStyle name="Normal 5 2 2 2 2 5" xfId="9508"/>
    <cellStyle name="Normal 5 2 2 2 3" xfId="1762"/>
    <cellStyle name="Normal 5 2 2 2 3 2" xfId="3874"/>
    <cellStyle name="Normal 5 2 2 2 3 2 2" xfId="8100"/>
    <cellStyle name="Normal 5 2 2 2 3 2 2 2" xfId="16548"/>
    <cellStyle name="Normal 5 2 2 2 3 2 3" xfId="12324"/>
    <cellStyle name="Normal 5 2 2 2 3 3" xfId="5988"/>
    <cellStyle name="Normal 5 2 2 2 3 3 2" xfId="14436"/>
    <cellStyle name="Normal 5 2 2 2 3 4" xfId="10212"/>
    <cellStyle name="Normal 5 2 2 2 4" xfId="2818"/>
    <cellStyle name="Normal 5 2 2 2 4 2" xfId="7044"/>
    <cellStyle name="Normal 5 2 2 2 4 2 2" xfId="15492"/>
    <cellStyle name="Normal 5 2 2 2 4 3" xfId="11268"/>
    <cellStyle name="Normal 5 2 2 2 5" xfId="4932"/>
    <cellStyle name="Normal 5 2 2 2 5 2" xfId="13380"/>
    <cellStyle name="Normal 5 2 2 2 6" xfId="9156"/>
    <cellStyle name="Normal 5 2 2 3" xfId="876"/>
    <cellStyle name="Normal 5 2 2 3 2" xfId="1938"/>
    <cellStyle name="Normal 5 2 2 3 2 2" xfId="4050"/>
    <cellStyle name="Normal 5 2 2 3 2 2 2" xfId="8276"/>
    <cellStyle name="Normal 5 2 2 3 2 2 2 2" xfId="16724"/>
    <cellStyle name="Normal 5 2 2 3 2 2 3" xfId="12500"/>
    <cellStyle name="Normal 5 2 2 3 2 3" xfId="6164"/>
    <cellStyle name="Normal 5 2 2 3 2 3 2" xfId="14612"/>
    <cellStyle name="Normal 5 2 2 3 2 4" xfId="10388"/>
    <cellStyle name="Normal 5 2 2 3 3" xfId="2994"/>
    <cellStyle name="Normal 5 2 2 3 3 2" xfId="7220"/>
    <cellStyle name="Normal 5 2 2 3 3 2 2" xfId="15668"/>
    <cellStyle name="Normal 5 2 2 3 3 3" xfId="11444"/>
    <cellStyle name="Normal 5 2 2 3 4" xfId="5108"/>
    <cellStyle name="Normal 5 2 2 3 4 2" xfId="13556"/>
    <cellStyle name="Normal 5 2 2 3 5" xfId="9332"/>
    <cellStyle name="Normal 5 2 2 4" xfId="1228"/>
    <cellStyle name="Normal 5 2 2 4 2" xfId="2290"/>
    <cellStyle name="Normal 5 2 2 4 2 2" xfId="4402"/>
    <cellStyle name="Normal 5 2 2 4 2 2 2" xfId="8628"/>
    <cellStyle name="Normal 5 2 2 4 2 2 2 2" xfId="17076"/>
    <cellStyle name="Normal 5 2 2 4 2 2 3" xfId="12852"/>
    <cellStyle name="Normal 5 2 2 4 2 3" xfId="6516"/>
    <cellStyle name="Normal 5 2 2 4 2 3 2" xfId="14964"/>
    <cellStyle name="Normal 5 2 2 4 2 4" xfId="10740"/>
    <cellStyle name="Normal 5 2 2 4 3" xfId="3346"/>
    <cellStyle name="Normal 5 2 2 4 3 2" xfId="7572"/>
    <cellStyle name="Normal 5 2 2 4 3 2 2" xfId="16020"/>
    <cellStyle name="Normal 5 2 2 4 3 3" xfId="11796"/>
    <cellStyle name="Normal 5 2 2 4 4" xfId="5460"/>
    <cellStyle name="Normal 5 2 2 4 4 2" xfId="13908"/>
    <cellStyle name="Normal 5 2 2 4 5" xfId="9684"/>
    <cellStyle name="Normal 5 2 2 5" xfId="1410"/>
    <cellStyle name="Normal 5 2 2 5 2" xfId="2466"/>
    <cellStyle name="Normal 5 2 2 5 2 2" xfId="4578"/>
    <cellStyle name="Normal 5 2 2 5 2 2 2" xfId="8804"/>
    <cellStyle name="Normal 5 2 2 5 2 2 2 2" xfId="17252"/>
    <cellStyle name="Normal 5 2 2 5 2 2 3" xfId="13028"/>
    <cellStyle name="Normal 5 2 2 5 2 3" xfId="6692"/>
    <cellStyle name="Normal 5 2 2 5 2 3 2" xfId="15140"/>
    <cellStyle name="Normal 5 2 2 5 2 4" xfId="10916"/>
    <cellStyle name="Normal 5 2 2 5 3" xfId="3522"/>
    <cellStyle name="Normal 5 2 2 5 3 2" xfId="7748"/>
    <cellStyle name="Normal 5 2 2 5 3 2 2" xfId="16196"/>
    <cellStyle name="Normal 5 2 2 5 3 3" xfId="11972"/>
    <cellStyle name="Normal 5 2 2 5 4" xfId="5636"/>
    <cellStyle name="Normal 5 2 2 5 4 2" xfId="14084"/>
    <cellStyle name="Normal 5 2 2 5 5" xfId="9860"/>
    <cellStyle name="Normal 5 2 2 6" xfId="1586"/>
    <cellStyle name="Normal 5 2 2 6 2" xfId="3698"/>
    <cellStyle name="Normal 5 2 2 6 2 2" xfId="7924"/>
    <cellStyle name="Normal 5 2 2 6 2 2 2" xfId="16372"/>
    <cellStyle name="Normal 5 2 2 6 2 3" xfId="12148"/>
    <cellStyle name="Normal 5 2 2 6 3" xfId="5812"/>
    <cellStyle name="Normal 5 2 2 6 3 2" xfId="14260"/>
    <cellStyle name="Normal 5 2 2 6 4" xfId="10036"/>
    <cellStyle name="Normal 5 2 2 7" xfId="2642"/>
    <cellStyle name="Normal 5 2 2 7 2" xfId="6868"/>
    <cellStyle name="Normal 5 2 2 7 2 2" xfId="15316"/>
    <cellStyle name="Normal 5 2 2 7 3" xfId="11092"/>
    <cellStyle name="Normal 5 2 2 8" xfId="4755"/>
    <cellStyle name="Normal 5 2 2 8 2" xfId="13204"/>
    <cellStyle name="Normal 5 2 2 9" xfId="8980"/>
    <cellStyle name="Normal 5 2 3" xfId="405"/>
    <cellStyle name="Normal 5 2 3 2" xfId="701"/>
    <cellStyle name="Normal 5 2 3 2 2" xfId="1053"/>
    <cellStyle name="Normal 5 2 3 2 2 2" xfId="2115"/>
    <cellStyle name="Normal 5 2 3 2 2 2 2" xfId="4227"/>
    <cellStyle name="Normal 5 2 3 2 2 2 2 2" xfId="8453"/>
    <cellStyle name="Normal 5 2 3 2 2 2 2 2 2" xfId="16901"/>
    <cellStyle name="Normal 5 2 3 2 2 2 2 3" xfId="12677"/>
    <cellStyle name="Normal 5 2 3 2 2 2 3" xfId="6341"/>
    <cellStyle name="Normal 5 2 3 2 2 2 3 2" xfId="14789"/>
    <cellStyle name="Normal 5 2 3 2 2 2 4" xfId="10565"/>
    <cellStyle name="Normal 5 2 3 2 2 3" xfId="3171"/>
    <cellStyle name="Normal 5 2 3 2 2 3 2" xfId="7397"/>
    <cellStyle name="Normal 5 2 3 2 2 3 2 2" xfId="15845"/>
    <cellStyle name="Normal 5 2 3 2 2 3 3" xfId="11621"/>
    <cellStyle name="Normal 5 2 3 2 2 4" xfId="5285"/>
    <cellStyle name="Normal 5 2 3 2 2 4 2" xfId="13733"/>
    <cellStyle name="Normal 5 2 3 2 2 5" xfId="9509"/>
    <cellStyle name="Normal 5 2 3 2 3" xfId="1763"/>
    <cellStyle name="Normal 5 2 3 2 3 2" xfId="3875"/>
    <cellStyle name="Normal 5 2 3 2 3 2 2" xfId="8101"/>
    <cellStyle name="Normal 5 2 3 2 3 2 2 2" xfId="16549"/>
    <cellStyle name="Normal 5 2 3 2 3 2 3" xfId="12325"/>
    <cellStyle name="Normal 5 2 3 2 3 3" xfId="5989"/>
    <cellStyle name="Normal 5 2 3 2 3 3 2" xfId="14437"/>
    <cellStyle name="Normal 5 2 3 2 3 4" xfId="10213"/>
    <cellStyle name="Normal 5 2 3 2 4" xfId="2819"/>
    <cellStyle name="Normal 5 2 3 2 4 2" xfId="7045"/>
    <cellStyle name="Normal 5 2 3 2 4 2 2" xfId="15493"/>
    <cellStyle name="Normal 5 2 3 2 4 3" xfId="11269"/>
    <cellStyle name="Normal 5 2 3 2 5" xfId="4933"/>
    <cellStyle name="Normal 5 2 3 2 5 2" xfId="13381"/>
    <cellStyle name="Normal 5 2 3 2 6" xfId="9157"/>
    <cellStyle name="Normal 5 2 3 3" xfId="877"/>
    <cellStyle name="Normal 5 2 3 3 2" xfId="1939"/>
    <cellStyle name="Normal 5 2 3 3 2 2" xfId="4051"/>
    <cellStyle name="Normal 5 2 3 3 2 2 2" xfId="8277"/>
    <cellStyle name="Normal 5 2 3 3 2 2 2 2" xfId="16725"/>
    <cellStyle name="Normal 5 2 3 3 2 2 3" xfId="12501"/>
    <cellStyle name="Normal 5 2 3 3 2 3" xfId="6165"/>
    <cellStyle name="Normal 5 2 3 3 2 3 2" xfId="14613"/>
    <cellStyle name="Normal 5 2 3 3 2 4" xfId="10389"/>
    <cellStyle name="Normal 5 2 3 3 3" xfId="2995"/>
    <cellStyle name="Normal 5 2 3 3 3 2" xfId="7221"/>
    <cellStyle name="Normal 5 2 3 3 3 2 2" xfId="15669"/>
    <cellStyle name="Normal 5 2 3 3 3 3" xfId="11445"/>
    <cellStyle name="Normal 5 2 3 3 4" xfId="5109"/>
    <cellStyle name="Normal 5 2 3 3 4 2" xfId="13557"/>
    <cellStyle name="Normal 5 2 3 3 5" xfId="9333"/>
    <cellStyle name="Normal 5 2 3 4" xfId="1229"/>
    <cellStyle name="Normal 5 2 3 4 2" xfId="2291"/>
    <cellStyle name="Normal 5 2 3 4 2 2" xfId="4403"/>
    <cellStyle name="Normal 5 2 3 4 2 2 2" xfId="8629"/>
    <cellStyle name="Normal 5 2 3 4 2 2 2 2" xfId="17077"/>
    <cellStyle name="Normal 5 2 3 4 2 2 3" xfId="12853"/>
    <cellStyle name="Normal 5 2 3 4 2 3" xfId="6517"/>
    <cellStyle name="Normal 5 2 3 4 2 3 2" xfId="14965"/>
    <cellStyle name="Normal 5 2 3 4 2 4" xfId="10741"/>
    <cellStyle name="Normal 5 2 3 4 3" xfId="3347"/>
    <cellStyle name="Normal 5 2 3 4 3 2" xfId="7573"/>
    <cellStyle name="Normal 5 2 3 4 3 2 2" xfId="16021"/>
    <cellStyle name="Normal 5 2 3 4 3 3" xfId="11797"/>
    <cellStyle name="Normal 5 2 3 4 4" xfId="5461"/>
    <cellStyle name="Normal 5 2 3 4 4 2" xfId="13909"/>
    <cellStyle name="Normal 5 2 3 4 5" xfId="9685"/>
    <cellStyle name="Normal 5 2 3 5" xfId="1411"/>
    <cellStyle name="Normal 5 2 3 5 2" xfId="2467"/>
    <cellStyle name="Normal 5 2 3 5 2 2" xfId="4579"/>
    <cellStyle name="Normal 5 2 3 5 2 2 2" xfId="8805"/>
    <cellStyle name="Normal 5 2 3 5 2 2 2 2" xfId="17253"/>
    <cellStyle name="Normal 5 2 3 5 2 2 3" xfId="13029"/>
    <cellStyle name="Normal 5 2 3 5 2 3" xfId="6693"/>
    <cellStyle name="Normal 5 2 3 5 2 3 2" xfId="15141"/>
    <cellStyle name="Normal 5 2 3 5 2 4" xfId="10917"/>
    <cellStyle name="Normal 5 2 3 5 3" xfId="3523"/>
    <cellStyle name="Normal 5 2 3 5 3 2" xfId="7749"/>
    <cellStyle name="Normal 5 2 3 5 3 2 2" xfId="16197"/>
    <cellStyle name="Normal 5 2 3 5 3 3" xfId="11973"/>
    <cellStyle name="Normal 5 2 3 5 4" xfId="5637"/>
    <cellStyle name="Normal 5 2 3 5 4 2" xfId="14085"/>
    <cellStyle name="Normal 5 2 3 5 5" xfId="9861"/>
    <cellStyle name="Normal 5 2 3 6" xfId="1587"/>
    <cellStyle name="Normal 5 2 3 6 2" xfId="3699"/>
    <cellStyle name="Normal 5 2 3 6 2 2" xfId="7925"/>
    <cellStyle name="Normal 5 2 3 6 2 2 2" xfId="16373"/>
    <cellStyle name="Normal 5 2 3 6 2 3" xfId="12149"/>
    <cellStyle name="Normal 5 2 3 6 3" xfId="5813"/>
    <cellStyle name="Normal 5 2 3 6 3 2" xfId="14261"/>
    <cellStyle name="Normal 5 2 3 6 4" xfId="10037"/>
    <cellStyle name="Normal 5 2 3 7" xfId="2643"/>
    <cellStyle name="Normal 5 2 3 7 2" xfId="6869"/>
    <cellStyle name="Normal 5 2 3 7 2 2" xfId="15317"/>
    <cellStyle name="Normal 5 2 3 7 3" xfId="11093"/>
    <cellStyle name="Normal 5 2 3 8" xfId="4756"/>
    <cellStyle name="Normal 5 2 3 8 2" xfId="13205"/>
    <cellStyle name="Normal 5 2 3 9" xfId="8981"/>
    <cellStyle name="Normal 5 2 4" xfId="699"/>
    <cellStyle name="Normal 5 2 4 2" xfId="1051"/>
    <cellStyle name="Normal 5 2 4 2 2" xfId="2113"/>
    <cellStyle name="Normal 5 2 4 2 2 2" xfId="4225"/>
    <cellStyle name="Normal 5 2 4 2 2 2 2" xfId="8451"/>
    <cellStyle name="Normal 5 2 4 2 2 2 2 2" xfId="16899"/>
    <cellStyle name="Normal 5 2 4 2 2 2 3" xfId="12675"/>
    <cellStyle name="Normal 5 2 4 2 2 3" xfId="6339"/>
    <cellStyle name="Normal 5 2 4 2 2 3 2" xfId="14787"/>
    <cellStyle name="Normal 5 2 4 2 2 4" xfId="10563"/>
    <cellStyle name="Normal 5 2 4 2 3" xfId="3169"/>
    <cellStyle name="Normal 5 2 4 2 3 2" xfId="7395"/>
    <cellStyle name="Normal 5 2 4 2 3 2 2" xfId="15843"/>
    <cellStyle name="Normal 5 2 4 2 3 3" xfId="11619"/>
    <cellStyle name="Normal 5 2 4 2 4" xfId="5283"/>
    <cellStyle name="Normal 5 2 4 2 4 2" xfId="13731"/>
    <cellStyle name="Normal 5 2 4 2 5" xfId="9507"/>
    <cellStyle name="Normal 5 2 4 3" xfId="1761"/>
    <cellStyle name="Normal 5 2 4 3 2" xfId="3873"/>
    <cellStyle name="Normal 5 2 4 3 2 2" xfId="8099"/>
    <cellStyle name="Normal 5 2 4 3 2 2 2" xfId="16547"/>
    <cellStyle name="Normal 5 2 4 3 2 3" xfId="12323"/>
    <cellStyle name="Normal 5 2 4 3 3" xfId="5987"/>
    <cellStyle name="Normal 5 2 4 3 3 2" xfId="14435"/>
    <cellStyle name="Normal 5 2 4 3 4" xfId="10211"/>
    <cellStyle name="Normal 5 2 4 4" xfId="2817"/>
    <cellStyle name="Normal 5 2 4 4 2" xfId="7043"/>
    <cellStyle name="Normal 5 2 4 4 2 2" xfId="15491"/>
    <cellStyle name="Normal 5 2 4 4 3" xfId="11267"/>
    <cellStyle name="Normal 5 2 4 5" xfId="4931"/>
    <cellStyle name="Normal 5 2 4 5 2" xfId="13379"/>
    <cellStyle name="Normal 5 2 4 6" xfId="9155"/>
    <cellStyle name="Normal 5 2 5" xfId="875"/>
    <cellStyle name="Normal 5 2 5 2" xfId="1937"/>
    <cellStyle name="Normal 5 2 5 2 2" xfId="4049"/>
    <cellStyle name="Normal 5 2 5 2 2 2" xfId="8275"/>
    <cellStyle name="Normal 5 2 5 2 2 2 2" xfId="16723"/>
    <cellStyle name="Normal 5 2 5 2 2 3" xfId="12499"/>
    <cellStyle name="Normal 5 2 5 2 3" xfId="6163"/>
    <cellStyle name="Normal 5 2 5 2 3 2" xfId="14611"/>
    <cellStyle name="Normal 5 2 5 2 4" xfId="10387"/>
    <cellStyle name="Normal 5 2 5 3" xfId="2993"/>
    <cellStyle name="Normal 5 2 5 3 2" xfId="7219"/>
    <cellStyle name="Normal 5 2 5 3 2 2" xfId="15667"/>
    <cellStyle name="Normal 5 2 5 3 3" xfId="11443"/>
    <cellStyle name="Normal 5 2 5 4" xfId="5107"/>
    <cellStyle name="Normal 5 2 5 4 2" xfId="13555"/>
    <cellStyle name="Normal 5 2 5 5" xfId="9331"/>
    <cellStyle name="Normal 5 2 6" xfId="1227"/>
    <cellStyle name="Normal 5 2 6 2" xfId="2289"/>
    <cellStyle name="Normal 5 2 6 2 2" xfId="4401"/>
    <cellStyle name="Normal 5 2 6 2 2 2" xfId="8627"/>
    <cellStyle name="Normal 5 2 6 2 2 2 2" xfId="17075"/>
    <cellStyle name="Normal 5 2 6 2 2 3" xfId="12851"/>
    <cellStyle name="Normal 5 2 6 2 3" xfId="6515"/>
    <cellStyle name="Normal 5 2 6 2 3 2" xfId="14963"/>
    <cellStyle name="Normal 5 2 6 2 4" xfId="10739"/>
    <cellStyle name="Normal 5 2 6 3" xfId="3345"/>
    <cellStyle name="Normal 5 2 6 3 2" xfId="7571"/>
    <cellStyle name="Normal 5 2 6 3 2 2" xfId="16019"/>
    <cellStyle name="Normal 5 2 6 3 3" xfId="11795"/>
    <cellStyle name="Normal 5 2 6 4" xfId="5459"/>
    <cellStyle name="Normal 5 2 6 4 2" xfId="13907"/>
    <cellStyle name="Normal 5 2 6 5" xfId="9683"/>
    <cellStyle name="Normal 5 2 7" xfId="1409"/>
    <cellStyle name="Normal 5 2 7 2" xfId="2465"/>
    <cellStyle name="Normal 5 2 7 2 2" xfId="4577"/>
    <cellStyle name="Normal 5 2 7 2 2 2" xfId="8803"/>
    <cellStyle name="Normal 5 2 7 2 2 2 2" xfId="17251"/>
    <cellStyle name="Normal 5 2 7 2 2 3" xfId="13027"/>
    <cellStyle name="Normal 5 2 7 2 3" xfId="6691"/>
    <cellStyle name="Normal 5 2 7 2 3 2" xfId="15139"/>
    <cellStyle name="Normal 5 2 7 2 4" xfId="10915"/>
    <cellStyle name="Normal 5 2 7 3" xfId="3521"/>
    <cellStyle name="Normal 5 2 7 3 2" xfId="7747"/>
    <cellStyle name="Normal 5 2 7 3 2 2" xfId="16195"/>
    <cellStyle name="Normal 5 2 7 3 3" xfId="11971"/>
    <cellStyle name="Normal 5 2 7 4" xfId="5635"/>
    <cellStyle name="Normal 5 2 7 4 2" xfId="14083"/>
    <cellStyle name="Normal 5 2 7 5" xfId="9859"/>
    <cellStyle name="Normal 5 2 8" xfId="1585"/>
    <cellStyle name="Normal 5 2 8 2" xfId="3697"/>
    <cellStyle name="Normal 5 2 8 2 2" xfId="7923"/>
    <cellStyle name="Normal 5 2 8 2 2 2" xfId="16371"/>
    <cellStyle name="Normal 5 2 8 2 3" xfId="12147"/>
    <cellStyle name="Normal 5 2 8 3" xfId="5811"/>
    <cellStyle name="Normal 5 2 8 3 2" xfId="14259"/>
    <cellStyle name="Normal 5 2 8 4" xfId="10035"/>
    <cellStyle name="Normal 5 2 9" xfId="2641"/>
    <cellStyle name="Normal 5 2 9 2" xfId="6867"/>
    <cellStyle name="Normal 5 2 9 2 2" xfId="15315"/>
    <cellStyle name="Normal 5 2 9 3" xfId="11091"/>
    <cellStyle name="Normal 5 3" xfId="406"/>
    <cellStyle name="Normal 5 3 10" xfId="4757"/>
    <cellStyle name="Normal 5 3 10 2" xfId="13206"/>
    <cellStyle name="Normal 5 3 11" xfId="8982"/>
    <cellStyle name="Normal 5 3 2" xfId="407"/>
    <cellStyle name="Normal 5 3 2 2" xfId="703"/>
    <cellStyle name="Normal 5 3 2 2 2" xfId="1055"/>
    <cellStyle name="Normal 5 3 2 2 2 2" xfId="2117"/>
    <cellStyle name="Normal 5 3 2 2 2 2 2" xfId="4229"/>
    <cellStyle name="Normal 5 3 2 2 2 2 2 2" xfId="8455"/>
    <cellStyle name="Normal 5 3 2 2 2 2 2 2 2" xfId="16903"/>
    <cellStyle name="Normal 5 3 2 2 2 2 2 3" xfId="12679"/>
    <cellStyle name="Normal 5 3 2 2 2 2 3" xfId="6343"/>
    <cellStyle name="Normal 5 3 2 2 2 2 3 2" xfId="14791"/>
    <cellStyle name="Normal 5 3 2 2 2 2 4" xfId="10567"/>
    <cellStyle name="Normal 5 3 2 2 2 3" xfId="3173"/>
    <cellStyle name="Normal 5 3 2 2 2 3 2" xfId="7399"/>
    <cellStyle name="Normal 5 3 2 2 2 3 2 2" xfId="15847"/>
    <cellStyle name="Normal 5 3 2 2 2 3 3" xfId="11623"/>
    <cellStyle name="Normal 5 3 2 2 2 4" xfId="5287"/>
    <cellStyle name="Normal 5 3 2 2 2 4 2" xfId="13735"/>
    <cellStyle name="Normal 5 3 2 2 2 5" xfId="9511"/>
    <cellStyle name="Normal 5 3 2 2 3" xfId="1765"/>
    <cellStyle name="Normal 5 3 2 2 3 2" xfId="3877"/>
    <cellStyle name="Normal 5 3 2 2 3 2 2" xfId="8103"/>
    <cellStyle name="Normal 5 3 2 2 3 2 2 2" xfId="16551"/>
    <cellStyle name="Normal 5 3 2 2 3 2 3" xfId="12327"/>
    <cellStyle name="Normal 5 3 2 2 3 3" xfId="5991"/>
    <cellStyle name="Normal 5 3 2 2 3 3 2" xfId="14439"/>
    <cellStyle name="Normal 5 3 2 2 3 4" xfId="10215"/>
    <cellStyle name="Normal 5 3 2 2 4" xfId="2821"/>
    <cellStyle name="Normal 5 3 2 2 4 2" xfId="7047"/>
    <cellStyle name="Normal 5 3 2 2 4 2 2" xfId="15495"/>
    <cellStyle name="Normal 5 3 2 2 4 3" xfId="11271"/>
    <cellStyle name="Normal 5 3 2 2 5" xfId="4935"/>
    <cellStyle name="Normal 5 3 2 2 5 2" xfId="13383"/>
    <cellStyle name="Normal 5 3 2 2 6" xfId="9159"/>
    <cellStyle name="Normal 5 3 2 3" xfId="879"/>
    <cellStyle name="Normal 5 3 2 3 2" xfId="1941"/>
    <cellStyle name="Normal 5 3 2 3 2 2" xfId="4053"/>
    <cellStyle name="Normal 5 3 2 3 2 2 2" xfId="8279"/>
    <cellStyle name="Normal 5 3 2 3 2 2 2 2" xfId="16727"/>
    <cellStyle name="Normal 5 3 2 3 2 2 3" xfId="12503"/>
    <cellStyle name="Normal 5 3 2 3 2 3" xfId="6167"/>
    <cellStyle name="Normal 5 3 2 3 2 3 2" xfId="14615"/>
    <cellStyle name="Normal 5 3 2 3 2 4" xfId="10391"/>
    <cellStyle name="Normal 5 3 2 3 3" xfId="2997"/>
    <cellStyle name="Normal 5 3 2 3 3 2" xfId="7223"/>
    <cellStyle name="Normal 5 3 2 3 3 2 2" xfId="15671"/>
    <cellStyle name="Normal 5 3 2 3 3 3" xfId="11447"/>
    <cellStyle name="Normal 5 3 2 3 4" xfId="5111"/>
    <cellStyle name="Normal 5 3 2 3 4 2" xfId="13559"/>
    <cellStyle name="Normal 5 3 2 3 5" xfId="9335"/>
    <cellStyle name="Normal 5 3 2 4" xfId="1231"/>
    <cellStyle name="Normal 5 3 2 4 2" xfId="2293"/>
    <cellStyle name="Normal 5 3 2 4 2 2" xfId="4405"/>
    <cellStyle name="Normal 5 3 2 4 2 2 2" xfId="8631"/>
    <cellStyle name="Normal 5 3 2 4 2 2 2 2" xfId="17079"/>
    <cellStyle name="Normal 5 3 2 4 2 2 3" xfId="12855"/>
    <cellStyle name="Normal 5 3 2 4 2 3" xfId="6519"/>
    <cellStyle name="Normal 5 3 2 4 2 3 2" xfId="14967"/>
    <cellStyle name="Normal 5 3 2 4 2 4" xfId="10743"/>
    <cellStyle name="Normal 5 3 2 4 3" xfId="3349"/>
    <cellStyle name="Normal 5 3 2 4 3 2" xfId="7575"/>
    <cellStyle name="Normal 5 3 2 4 3 2 2" xfId="16023"/>
    <cellStyle name="Normal 5 3 2 4 3 3" xfId="11799"/>
    <cellStyle name="Normal 5 3 2 4 4" xfId="5463"/>
    <cellStyle name="Normal 5 3 2 4 4 2" xfId="13911"/>
    <cellStyle name="Normal 5 3 2 4 5" xfId="9687"/>
    <cellStyle name="Normal 5 3 2 5" xfId="1413"/>
    <cellStyle name="Normal 5 3 2 5 2" xfId="2469"/>
    <cellStyle name="Normal 5 3 2 5 2 2" xfId="4581"/>
    <cellStyle name="Normal 5 3 2 5 2 2 2" xfId="8807"/>
    <cellStyle name="Normal 5 3 2 5 2 2 2 2" xfId="17255"/>
    <cellStyle name="Normal 5 3 2 5 2 2 3" xfId="13031"/>
    <cellStyle name="Normal 5 3 2 5 2 3" xfId="6695"/>
    <cellStyle name="Normal 5 3 2 5 2 3 2" xfId="15143"/>
    <cellStyle name="Normal 5 3 2 5 2 4" xfId="10919"/>
    <cellStyle name="Normal 5 3 2 5 3" xfId="3525"/>
    <cellStyle name="Normal 5 3 2 5 3 2" xfId="7751"/>
    <cellStyle name="Normal 5 3 2 5 3 2 2" xfId="16199"/>
    <cellStyle name="Normal 5 3 2 5 3 3" xfId="11975"/>
    <cellStyle name="Normal 5 3 2 5 4" xfId="5639"/>
    <cellStyle name="Normal 5 3 2 5 4 2" xfId="14087"/>
    <cellStyle name="Normal 5 3 2 5 5" xfId="9863"/>
    <cellStyle name="Normal 5 3 2 6" xfId="1589"/>
    <cellStyle name="Normal 5 3 2 6 2" xfId="3701"/>
    <cellStyle name="Normal 5 3 2 6 2 2" xfId="7927"/>
    <cellStyle name="Normal 5 3 2 6 2 2 2" xfId="16375"/>
    <cellStyle name="Normal 5 3 2 6 2 3" xfId="12151"/>
    <cellStyle name="Normal 5 3 2 6 3" xfId="5815"/>
    <cellStyle name="Normal 5 3 2 6 3 2" xfId="14263"/>
    <cellStyle name="Normal 5 3 2 6 4" xfId="10039"/>
    <cellStyle name="Normal 5 3 2 7" xfId="2645"/>
    <cellStyle name="Normal 5 3 2 7 2" xfId="6871"/>
    <cellStyle name="Normal 5 3 2 7 2 2" xfId="15319"/>
    <cellStyle name="Normal 5 3 2 7 3" xfId="11095"/>
    <cellStyle name="Normal 5 3 2 8" xfId="4758"/>
    <cellStyle name="Normal 5 3 2 8 2" xfId="13207"/>
    <cellStyle name="Normal 5 3 2 9" xfId="8983"/>
    <cellStyle name="Normal 5 3 3" xfId="408"/>
    <cellStyle name="Normal 5 3 3 2" xfId="704"/>
    <cellStyle name="Normal 5 3 3 2 2" xfId="1056"/>
    <cellStyle name="Normal 5 3 3 2 2 2" xfId="2118"/>
    <cellStyle name="Normal 5 3 3 2 2 2 2" xfId="4230"/>
    <cellStyle name="Normal 5 3 3 2 2 2 2 2" xfId="8456"/>
    <cellStyle name="Normal 5 3 3 2 2 2 2 2 2" xfId="16904"/>
    <cellStyle name="Normal 5 3 3 2 2 2 2 3" xfId="12680"/>
    <cellStyle name="Normal 5 3 3 2 2 2 3" xfId="6344"/>
    <cellStyle name="Normal 5 3 3 2 2 2 3 2" xfId="14792"/>
    <cellStyle name="Normal 5 3 3 2 2 2 4" xfId="10568"/>
    <cellStyle name="Normal 5 3 3 2 2 3" xfId="3174"/>
    <cellStyle name="Normal 5 3 3 2 2 3 2" xfId="7400"/>
    <cellStyle name="Normal 5 3 3 2 2 3 2 2" xfId="15848"/>
    <cellStyle name="Normal 5 3 3 2 2 3 3" xfId="11624"/>
    <cellStyle name="Normal 5 3 3 2 2 4" xfId="5288"/>
    <cellStyle name="Normal 5 3 3 2 2 4 2" xfId="13736"/>
    <cellStyle name="Normal 5 3 3 2 2 5" xfId="9512"/>
    <cellStyle name="Normal 5 3 3 2 3" xfId="1766"/>
    <cellStyle name="Normal 5 3 3 2 3 2" xfId="3878"/>
    <cellStyle name="Normal 5 3 3 2 3 2 2" xfId="8104"/>
    <cellStyle name="Normal 5 3 3 2 3 2 2 2" xfId="16552"/>
    <cellStyle name="Normal 5 3 3 2 3 2 3" xfId="12328"/>
    <cellStyle name="Normal 5 3 3 2 3 3" xfId="5992"/>
    <cellStyle name="Normal 5 3 3 2 3 3 2" xfId="14440"/>
    <cellStyle name="Normal 5 3 3 2 3 4" xfId="10216"/>
    <cellStyle name="Normal 5 3 3 2 4" xfId="2822"/>
    <cellStyle name="Normal 5 3 3 2 4 2" xfId="7048"/>
    <cellStyle name="Normal 5 3 3 2 4 2 2" xfId="15496"/>
    <cellStyle name="Normal 5 3 3 2 4 3" xfId="11272"/>
    <cellStyle name="Normal 5 3 3 2 5" xfId="4936"/>
    <cellStyle name="Normal 5 3 3 2 5 2" xfId="13384"/>
    <cellStyle name="Normal 5 3 3 2 6" xfId="9160"/>
    <cellStyle name="Normal 5 3 3 3" xfId="880"/>
    <cellStyle name="Normal 5 3 3 3 2" xfId="1942"/>
    <cellStyle name="Normal 5 3 3 3 2 2" xfId="4054"/>
    <cellStyle name="Normal 5 3 3 3 2 2 2" xfId="8280"/>
    <cellStyle name="Normal 5 3 3 3 2 2 2 2" xfId="16728"/>
    <cellStyle name="Normal 5 3 3 3 2 2 3" xfId="12504"/>
    <cellStyle name="Normal 5 3 3 3 2 3" xfId="6168"/>
    <cellStyle name="Normal 5 3 3 3 2 3 2" xfId="14616"/>
    <cellStyle name="Normal 5 3 3 3 2 4" xfId="10392"/>
    <cellStyle name="Normal 5 3 3 3 3" xfId="2998"/>
    <cellStyle name="Normal 5 3 3 3 3 2" xfId="7224"/>
    <cellStyle name="Normal 5 3 3 3 3 2 2" xfId="15672"/>
    <cellStyle name="Normal 5 3 3 3 3 3" xfId="11448"/>
    <cellStyle name="Normal 5 3 3 3 4" xfId="5112"/>
    <cellStyle name="Normal 5 3 3 3 4 2" xfId="13560"/>
    <cellStyle name="Normal 5 3 3 3 5" xfId="9336"/>
    <cellStyle name="Normal 5 3 3 4" xfId="1232"/>
    <cellStyle name="Normal 5 3 3 4 2" xfId="2294"/>
    <cellStyle name="Normal 5 3 3 4 2 2" xfId="4406"/>
    <cellStyle name="Normal 5 3 3 4 2 2 2" xfId="8632"/>
    <cellStyle name="Normal 5 3 3 4 2 2 2 2" xfId="17080"/>
    <cellStyle name="Normal 5 3 3 4 2 2 3" xfId="12856"/>
    <cellStyle name="Normal 5 3 3 4 2 3" xfId="6520"/>
    <cellStyle name="Normal 5 3 3 4 2 3 2" xfId="14968"/>
    <cellStyle name="Normal 5 3 3 4 2 4" xfId="10744"/>
    <cellStyle name="Normal 5 3 3 4 3" xfId="3350"/>
    <cellStyle name="Normal 5 3 3 4 3 2" xfId="7576"/>
    <cellStyle name="Normal 5 3 3 4 3 2 2" xfId="16024"/>
    <cellStyle name="Normal 5 3 3 4 3 3" xfId="11800"/>
    <cellStyle name="Normal 5 3 3 4 4" xfId="5464"/>
    <cellStyle name="Normal 5 3 3 4 4 2" xfId="13912"/>
    <cellStyle name="Normal 5 3 3 4 5" xfId="9688"/>
    <cellStyle name="Normal 5 3 3 5" xfId="1414"/>
    <cellStyle name="Normal 5 3 3 5 2" xfId="2470"/>
    <cellStyle name="Normal 5 3 3 5 2 2" xfId="4582"/>
    <cellStyle name="Normal 5 3 3 5 2 2 2" xfId="8808"/>
    <cellStyle name="Normal 5 3 3 5 2 2 2 2" xfId="17256"/>
    <cellStyle name="Normal 5 3 3 5 2 2 3" xfId="13032"/>
    <cellStyle name="Normal 5 3 3 5 2 3" xfId="6696"/>
    <cellStyle name="Normal 5 3 3 5 2 3 2" xfId="15144"/>
    <cellStyle name="Normal 5 3 3 5 2 4" xfId="10920"/>
    <cellStyle name="Normal 5 3 3 5 3" xfId="3526"/>
    <cellStyle name="Normal 5 3 3 5 3 2" xfId="7752"/>
    <cellStyle name="Normal 5 3 3 5 3 2 2" xfId="16200"/>
    <cellStyle name="Normal 5 3 3 5 3 3" xfId="11976"/>
    <cellStyle name="Normal 5 3 3 5 4" xfId="5640"/>
    <cellStyle name="Normal 5 3 3 5 4 2" xfId="14088"/>
    <cellStyle name="Normal 5 3 3 5 5" xfId="9864"/>
    <cellStyle name="Normal 5 3 3 6" xfId="1590"/>
    <cellStyle name="Normal 5 3 3 6 2" xfId="3702"/>
    <cellStyle name="Normal 5 3 3 6 2 2" xfId="7928"/>
    <cellStyle name="Normal 5 3 3 6 2 2 2" xfId="16376"/>
    <cellStyle name="Normal 5 3 3 6 2 3" xfId="12152"/>
    <cellStyle name="Normal 5 3 3 6 3" xfId="5816"/>
    <cellStyle name="Normal 5 3 3 6 3 2" xfId="14264"/>
    <cellStyle name="Normal 5 3 3 6 4" xfId="10040"/>
    <cellStyle name="Normal 5 3 3 7" xfId="2646"/>
    <cellStyle name="Normal 5 3 3 7 2" xfId="6872"/>
    <cellStyle name="Normal 5 3 3 7 2 2" xfId="15320"/>
    <cellStyle name="Normal 5 3 3 7 3" xfId="11096"/>
    <cellStyle name="Normal 5 3 3 8" xfId="4759"/>
    <cellStyle name="Normal 5 3 3 8 2" xfId="13208"/>
    <cellStyle name="Normal 5 3 3 9" xfId="8984"/>
    <cellStyle name="Normal 5 3 4" xfId="702"/>
    <cellStyle name="Normal 5 3 4 2" xfId="1054"/>
    <cellStyle name="Normal 5 3 4 2 2" xfId="2116"/>
    <cellStyle name="Normal 5 3 4 2 2 2" xfId="4228"/>
    <cellStyle name="Normal 5 3 4 2 2 2 2" xfId="8454"/>
    <cellStyle name="Normal 5 3 4 2 2 2 2 2" xfId="16902"/>
    <cellStyle name="Normal 5 3 4 2 2 2 3" xfId="12678"/>
    <cellStyle name="Normal 5 3 4 2 2 3" xfId="6342"/>
    <cellStyle name="Normal 5 3 4 2 2 3 2" xfId="14790"/>
    <cellStyle name="Normal 5 3 4 2 2 4" xfId="10566"/>
    <cellStyle name="Normal 5 3 4 2 3" xfId="3172"/>
    <cellStyle name="Normal 5 3 4 2 3 2" xfId="7398"/>
    <cellStyle name="Normal 5 3 4 2 3 2 2" xfId="15846"/>
    <cellStyle name="Normal 5 3 4 2 3 3" xfId="11622"/>
    <cellStyle name="Normal 5 3 4 2 4" xfId="5286"/>
    <cellStyle name="Normal 5 3 4 2 4 2" xfId="13734"/>
    <cellStyle name="Normal 5 3 4 2 5" xfId="9510"/>
    <cellStyle name="Normal 5 3 4 3" xfId="1764"/>
    <cellStyle name="Normal 5 3 4 3 2" xfId="3876"/>
    <cellStyle name="Normal 5 3 4 3 2 2" xfId="8102"/>
    <cellStyle name="Normal 5 3 4 3 2 2 2" xfId="16550"/>
    <cellStyle name="Normal 5 3 4 3 2 3" xfId="12326"/>
    <cellStyle name="Normal 5 3 4 3 3" xfId="5990"/>
    <cellStyle name="Normal 5 3 4 3 3 2" xfId="14438"/>
    <cellStyle name="Normal 5 3 4 3 4" xfId="10214"/>
    <cellStyle name="Normal 5 3 4 4" xfId="2820"/>
    <cellStyle name="Normal 5 3 4 4 2" xfId="7046"/>
    <cellStyle name="Normal 5 3 4 4 2 2" xfId="15494"/>
    <cellStyle name="Normal 5 3 4 4 3" xfId="11270"/>
    <cellStyle name="Normal 5 3 4 5" xfId="4934"/>
    <cellStyle name="Normal 5 3 4 5 2" xfId="13382"/>
    <cellStyle name="Normal 5 3 4 6" xfId="9158"/>
    <cellStyle name="Normal 5 3 5" xfId="878"/>
    <cellStyle name="Normal 5 3 5 2" xfId="1940"/>
    <cellStyle name="Normal 5 3 5 2 2" xfId="4052"/>
    <cellStyle name="Normal 5 3 5 2 2 2" xfId="8278"/>
    <cellStyle name="Normal 5 3 5 2 2 2 2" xfId="16726"/>
    <cellStyle name="Normal 5 3 5 2 2 3" xfId="12502"/>
    <cellStyle name="Normal 5 3 5 2 3" xfId="6166"/>
    <cellStyle name="Normal 5 3 5 2 3 2" xfId="14614"/>
    <cellStyle name="Normal 5 3 5 2 4" xfId="10390"/>
    <cellStyle name="Normal 5 3 5 3" xfId="2996"/>
    <cellStyle name="Normal 5 3 5 3 2" xfId="7222"/>
    <cellStyle name="Normal 5 3 5 3 2 2" xfId="15670"/>
    <cellStyle name="Normal 5 3 5 3 3" xfId="11446"/>
    <cellStyle name="Normal 5 3 5 4" xfId="5110"/>
    <cellStyle name="Normal 5 3 5 4 2" xfId="13558"/>
    <cellStyle name="Normal 5 3 5 5" xfId="9334"/>
    <cellStyle name="Normal 5 3 6" xfId="1230"/>
    <cellStyle name="Normal 5 3 6 2" xfId="2292"/>
    <cellStyle name="Normal 5 3 6 2 2" xfId="4404"/>
    <cellStyle name="Normal 5 3 6 2 2 2" xfId="8630"/>
    <cellStyle name="Normal 5 3 6 2 2 2 2" xfId="17078"/>
    <cellStyle name="Normal 5 3 6 2 2 3" xfId="12854"/>
    <cellStyle name="Normal 5 3 6 2 3" xfId="6518"/>
    <cellStyle name="Normal 5 3 6 2 3 2" xfId="14966"/>
    <cellStyle name="Normal 5 3 6 2 4" xfId="10742"/>
    <cellStyle name="Normal 5 3 6 3" xfId="3348"/>
    <cellStyle name="Normal 5 3 6 3 2" xfId="7574"/>
    <cellStyle name="Normal 5 3 6 3 2 2" xfId="16022"/>
    <cellStyle name="Normal 5 3 6 3 3" xfId="11798"/>
    <cellStyle name="Normal 5 3 6 4" xfId="5462"/>
    <cellStyle name="Normal 5 3 6 4 2" xfId="13910"/>
    <cellStyle name="Normal 5 3 6 5" xfId="9686"/>
    <cellStyle name="Normal 5 3 7" xfId="1412"/>
    <cellStyle name="Normal 5 3 7 2" xfId="2468"/>
    <cellStyle name="Normal 5 3 7 2 2" xfId="4580"/>
    <cellStyle name="Normal 5 3 7 2 2 2" xfId="8806"/>
    <cellStyle name="Normal 5 3 7 2 2 2 2" xfId="17254"/>
    <cellStyle name="Normal 5 3 7 2 2 3" xfId="13030"/>
    <cellStyle name="Normal 5 3 7 2 3" xfId="6694"/>
    <cellStyle name="Normal 5 3 7 2 3 2" xfId="15142"/>
    <cellStyle name="Normal 5 3 7 2 4" xfId="10918"/>
    <cellStyle name="Normal 5 3 7 3" xfId="3524"/>
    <cellStyle name="Normal 5 3 7 3 2" xfId="7750"/>
    <cellStyle name="Normal 5 3 7 3 2 2" xfId="16198"/>
    <cellStyle name="Normal 5 3 7 3 3" xfId="11974"/>
    <cellStyle name="Normal 5 3 7 4" xfId="5638"/>
    <cellStyle name="Normal 5 3 7 4 2" xfId="14086"/>
    <cellStyle name="Normal 5 3 7 5" xfId="9862"/>
    <cellStyle name="Normal 5 3 8" xfId="1588"/>
    <cellStyle name="Normal 5 3 8 2" xfId="3700"/>
    <cellStyle name="Normal 5 3 8 2 2" xfId="7926"/>
    <cellStyle name="Normal 5 3 8 2 2 2" xfId="16374"/>
    <cellStyle name="Normal 5 3 8 2 3" xfId="12150"/>
    <cellStyle name="Normal 5 3 8 3" xfId="5814"/>
    <cellStyle name="Normal 5 3 8 3 2" xfId="14262"/>
    <cellStyle name="Normal 5 3 8 4" xfId="10038"/>
    <cellStyle name="Normal 5 3 9" xfId="2644"/>
    <cellStyle name="Normal 5 3 9 2" xfId="6870"/>
    <cellStyle name="Normal 5 3 9 2 2" xfId="15318"/>
    <cellStyle name="Normal 5 3 9 3" xfId="11094"/>
    <cellStyle name="Normal 5 4" xfId="409"/>
    <cellStyle name="Normal 5 5" xfId="410"/>
    <cellStyle name="Normal 5 5 2" xfId="705"/>
    <cellStyle name="Normal 5 5 2 2" xfId="1057"/>
    <cellStyle name="Normal 5 5 2 2 2" xfId="2119"/>
    <cellStyle name="Normal 5 5 2 2 2 2" xfId="4231"/>
    <cellStyle name="Normal 5 5 2 2 2 2 2" xfId="8457"/>
    <cellStyle name="Normal 5 5 2 2 2 2 2 2" xfId="16905"/>
    <cellStyle name="Normal 5 5 2 2 2 2 3" xfId="12681"/>
    <cellStyle name="Normal 5 5 2 2 2 3" xfId="6345"/>
    <cellStyle name="Normal 5 5 2 2 2 3 2" xfId="14793"/>
    <cellStyle name="Normal 5 5 2 2 2 4" xfId="10569"/>
    <cellStyle name="Normal 5 5 2 2 3" xfId="3175"/>
    <cellStyle name="Normal 5 5 2 2 3 2" xfId="7401"/>
    <cellStyle name="Normal 5 5 2 2 3 2 2" xfId="15849"/>
    <cellStyle name="Normal 5 5 2 2 3 3" xfId="11625"/>
    <cellStyle name="Normal 5 5 2 2 4" xfId="5289"/>
    <cellStyle name="Normal 5 5 2 2 4 2" xfId="13737"/>
    <cellStyle name="Normal 5 5 2 2 5" xfId="9513"/>
    <cellStyle name="Normal 5 5 2 3" xfId="1767"/>
    <cellStyle name="Normal 5 5 2 3 2" xfId="3879"/>
    <cellStyle name="Normal 5 5 2 3 2 2" xfId="8105"/>
    <cellStyle name="Normal 5 5 2 3 2 2 2" xfId="16553"/>
    <cellStyle name="Normal 5 5 2 3 2 3" xfId="12329"/>
    <cellStyle name="Normal 5 5 2 3 3" xfId="5993"/>
    <cellStyle name="Normal 5 5 2 3 3 2" xfId="14441"/>
    <cellStyle name="Normal 5 5 2 3 4" xfId="10217"/>
    <cellStyle name="Normal 5 5 2 4" xfId="2823"/>
    <cellStyle name="Normal 5 5 2 4 2" xfId="7049"/>
    <cellStyle name="Normal 5 5 2 4 2 2" xfId="15497"/>
    <cellStyle name="Normal 5 5 2 4 3" xfId="11273"/>
    <cellStyle name="Normal 5 5 2 5" xfId="4937"/>
    <cellStyle name="Normal 5 5 2 5 2" xfId="13385"/>
    <cellStyle name="Normal 5 5 2 6" xfId="9161"/>
    <cellStyle name="Normal 5 5 3" xfId="881"/>
    <cellStyle name="Normal 5 5 3 2" xfId="1943"/>
    <cellStyle name="Normal 5 5 3 2 2" xfId="4055"/>
    <cellStyle name="Normal 5 5 3 2 2 2" xfId="8281"/>
    <cellStyle name="Normal 5 5 3 2 2 2 2" xfId="16729"/>
    <cellStyle name="Normal 5 5 3 2 2 3" xfId="12505"/>
    <cellStyle name="Normal 5 5 3 2 3" xfId="6169"/>
    <cellStyle name="Normal 5 5 3 2 3 2" xfId="14617"/>
    <cellStyle name="Normal 5 5 3 2 4" xfId="10393"/>
    <cellStyle name="Normal 5 5 3 3" xfId="2999"/>
    <cellStyle name="Normal 5 5 3 3 2" xfId="7225"/>
    <cellStyle name="Normal 5 5 3 3 2 2" xfId="15673"/>
    <cellStyle name="Normal 5 5 3 3 3" xfId="11449"/>
    <cellStyle name="Normal 5 5 3 4" xfId="5113"/>
    <cellStyle name="Normal 5 5 3 4 2" xfId="13561"/>
    <cellStyle name="Normal 5 5 3 5" xfId="9337"/>
    <cellStyle name="Normal 5 5 4" xfId="1233"/>
    <cellStyle name="Normal 5 5 4 2" xfId="2295"/>
    <cellStyle name="Normal 5 5 4 2 2" xfId="4407"/>
    <cellStyle name="Normal 5 5 4 2 2 2" xfId="8633"/>
    <cellStyle name="Normal 5 5 4 2 2 2 2" xfId="17081"/>
    <cellStyle name="Normal 5 5 4 2 2 3" xfId="12857"/>
    <cellStyle name="Normal 5 5 4 2 3" xfId="6521"/>
    <cellStyle name="Normal 5 5 4 2 3 2" xfId="14969"/>
    <cellStyle name="Normal 5 5 4 2 4" xfId="10745"/>
    <cellStyle name="Normal 5 5 4 3" xfId="3351"/>
    <cellStyle name="Normal 5 5 4 3 2" xfId="7577"/>
    <cellStyle name="Normal 5 5 4 3 2 2" xfId="16025"/>
    <cellStyle name="Normal 5 5 4 3 3" xfId="11801"/>
    <cellStyle name="Normal 5 5 4 4" xfId="5465"/>
    <cellStyle name="Normal 5 5 4 4 2" xfId="13913"/>
    <cellStyle name="Normal 5 5 4 5" xfId="9689"/>
    <cellStyle name="Normal 5 5 5" xfId="1415"/>
    <cellStyle name="Normal 5 5 5 2" xfId="2471"/>
    <cellStyle name="Normal 5 5 5 2 2" xfId="4583"/>
    <cellStyle name="Normal 5 5 5 2 2 2" xfId="8809"/>
    <cellStyle name="Normal 5 5 5 2 2 2 2" xfId="17257"/>
    <cellStyle name="Normal 5 5 5 2 2 3" xfId="13033"/>
    <cellStyle name="Normal 5 5 5 2 3" xfId="6697"/>
    <cellStyle name="Normal 5 5 5 2 3 2" xfId="15145"/>
    <cellStyle name="Normal 5 5 5 2 4" xfId="10921"/>
    <cellStyle name="Normal 5 5 5 3" xfId="3527"/>
    <cellStyle name="Normal 5 5 5 3 2" xfId="7753"/>
    <cellStyle name="Normal 5 5 5 3 2 2" xfId="16201"/>
    <cellStyle name="Normal 5 5 5 3 3" xfId="11977"/>
    <cellStyle name="Normal 5 5 5 4" xfId="5641"/>
    <cellStyle name="Normal 5 5 5 4 2" xfId="14089"/>
    <cellStyle name="Normal 5 5 5 5" xfId="9865"/>
    <cellStyle name="Normal 5 5 6" xfId="1591"/>
    <cellStyle name="Normal 5 5 6 2" xfId="3703"/>
    <cellStyle name="Normal 5 5 6 2 2" xfId="7929"/>
    <cellStyle name="Normal 5 5 6 2 2 2" xfId="16377"/>
    <cellStyle name="Normal 5 5 6 2 3" xfId="12153"/>
    <cellStyle name="Normal 5 5 6 3" xfId="5817"/>
    <cellStyle name="Normal 5 5 6 3 2" xfId="14265"/>
    <cellStyle name="Normal 5 5 6 4" xfId="10041"/>
    <cellStyle name="Normal 5 5 7" xfId="2647"/>
    <cellStyle name="Normal 5 5 7 2" xfId="6873"/>
    <cellStyle name="Normal 5 5 7 2 2" xfId="15321"/>
    <cellStyle name="Normal 5 5 7 3" xfId="11097"/>
    <cellStyle name="Normal 5 5 8" xfId="4760"/>
    <cellStyle name="Normal 5 5 8 2" xfId="13209"/>
    <cellStyle name="Normal 5 5 9" xfId="8985"/>
    <cellStyle name="Normal 5 6" xfId="411"/>
    <cellStyle name="Normal 5 6 2" xfId="706"/>
    <cellStyle name="Normal 5 6 2 2" xfId="1058"/>
    <cellStyle name="Normal 5 6 2 2 2" xfId="2120"/>
    <cellStyle name="Normal 5 6 2 2 2 2" xfId="4232"/>
    <cellStyle name="Normal 5 6 2 2 2 2 2" xfId="8458"/>
    <cellStyle name="Normal 5 6 2 2 2 2 2 2" xfId="16906"/>
    <cellStyle name="Normal 5 6 2 2 2 2 3" xfId="12682"/>
    <cellStyle name="Normal 5 6 2 2 2 3" xfId="6346"/>
    <cellStyle name="Normal 5 6 2 2 2 3 2" xfId="14794"/>
    <cellStyle name="Normal 5 6 2 2 2 4" xfId="10570"/>
    <cellStyle name="Normal 5 6 2 2 3" xfId="3176"/>
    <cellStyle name="Normal 5 6 2 2 3 2" xfId="7402"/>
    <cellStyle name="Normal 5 6 2 2 3 2 2" xfId="15850"/>
    <cellStyle name="Normal 5 6 2 2 3 3" xfId="11626"/>
    <cellStyle name="Normal 5 6 2 2 4" xfId="5290"/>
    <cellStyle name="Normal 5 6 2 2 4 2" xfId="13738"/>
    <cellStyle name="Normal 5 6 2 2 5" xfId="9514"/>
    <cellStyle name="Normal 5 6 2 3" xfId="1768"/>
    <cellStyle name="Normal 5 6 2 3 2" xfId="3880"/>
    <cellStyle name="Normal 5 6 2 3 2 2" xfId="8106"/>
    <cellStyle name="Normal 5 6 2 3 2 2 2" xfId="16554"/>
    <cellStyle name="Normal 5 6 2 3 2 3" xfId="12330"/>
    <cellStyle name="Normal 5 6 2 3 3" xfId="5994"/>
    <cellStyle name="Normal 5 6 2 3 3 2" xfId="14442"/>
    <cellStyle name="Normal 5 6 2 3 4" xfId="10218"/>
    <cellStyle name="Normal 5 6 2 4" xfId="2824"/>
    <cellStyle name="Normal 5 6 2 4 2" xfId="7050"/>
    <cellStyle name="Normal 5 6 2 4 2 2" xfId="15498"/>
    <cellStyle name="Normal 5 6 2 4 3" xfId="11274"/>
    <cellStyle name="Normal 5 6 2 5" xfId="4938"/>
    <cellStyle name="Normal 5 6 2 5 2" xfId="13386"/>
    <cellStyle name="Normal 5 6 2 6" xfId="9162"/>
    <cellStyle name="Normal 5 6 3" xfId="882"/>
    <cellStyle name="Normal 5 6 3 2" xfId="1944"/>
    <cellStyle name="Normal 5 6 3 2 2" xfId="4056"/>
    <cellStyle name="Normal 5 6 3 2 2 2" xfId="8282"/>
    <cellStyle name="Normal 5 6 3 2 2 2 2" xfId="16730"/>
    <cellStyle name="Normal 5 6 3 2 2 3" xfId="12506"/>
    <cellStyle name="Normal 5 6 3 2 3" xfId="6170"/>
    <cellStyle name="Normal 5 6 3 2 3 2" xfId="14618"/>
    <cellStyle name="Normal 5 6 3 2 4" xfId="10394"/>
    <cellStyle name="Normal 5 6 3 3" xfId="3000"/>
    <cellStyle name="Normal 5 6 3 3 2" xfId="7226"/>
    <cellStyle name="Normal 5 6 3 3 2 2" xfId="15674"/>
    <cellStyle name="Normal 5 6 3 3 3" xfId="11450"/>
    <cellStyle name="Normal 5 6 3 4" xfId="5114"/>
    <cellStyle name="Normal 5 6 3 4 2" xfId="13562"/>
    <cellStyle name="Normal 5 6 3 5" xfId="9338"/>
    <cellStyle name="Normal 5 6 4" xfId="1234"/>
    <cellStyle name="Normal 5 6 4 2" xfId="2296"/>
    <cellStyle name="Normal 5 6 4 2 2" xfId="4408"/>
    <cellStyle name="Normal 5 6 4 2 2 2" xfId="8634"/>
    <cellStyle name="Normal 5 6 4 2 2 2 2" xfId="17082"/>
    <cellStyle name="Normal 5 6 4 2 2 3" xfId="12858"/>
    <cellStyle name="Normal 5 6 4 2 3" xfId="6522"/>
    <cellStyle name="Normal 5 6 4 2 3 2" xfId="14970"/>
    <cellStyle name="Normal 5 6 4 2 4" xfId="10746"/>
    <cellStyle name="Normal 5 6 4 3" xfId="3352"/>
    <cellStyle name="Normal 5 6 4 3 2" xfId="7578"/>
    <cellStyle name="Normal 5 6 4 3 2 2" xfId="16026"/>
    <cellStyle name="Normal 5 6 4 3 3" xfId="11802"/>
    <cellStyle name="Normal 5 6 4 4" xfId="5466"/>
    <cellStyle name="Normal 5 6 4 4 2" xfId="13914"/>
    <cellStyle name="Normal 5 6 4 5" xfId="9690"/>
    <cellStyle name="Normal 5 6 5" xfId="1416"/>
    <cellStyle name="Normal 5 6 5 2" xfId="2472"/>
    <cellStyle name="Normal 5 6 5 2 2" xfId="4584"/>
    <cellStyle name="Normal 5 6 5 2 2 2" xfId="8810"/>
    <cellStyle name="Normal 5 6 5 2 2 2 2" xfId="17258"/>
    <cellStyle name="Normal 5 6 5 2 2 3" xfId="13034"/>
    <cellStyle name="Normal 5 6 5 2 3" xfId="6698"/>
    <cellStyle name="Normal 5 6 5 2 3 2" xfId="15146"/>
    <cellStyle name="Normal 5 6 5 2 4" xfId="10922"/>
    <cellStyle name="Normal 5 6 5 3" xfId="3528"/>
    <cellStyle name="Normal 5 6 5 3 2" xfId="7754"/>
    <cellStyle name="Normal 5 6 5 3 2 2" xfId="16202"/>
    <cellStyle name="Normal 5 6 5 3 3" xfId="11978"/>
    <cellStyle name="Normal 5 6 5 4" xfId="5642"/>
    <cellStyle name="Normal 5 6 5 4 2" xfId="14090"/>
    <cellStyle name="Normal 5 6 5 5" xfId="9866"/>
    <cellStyle name="Normal 5 6 6" xfId="1592"/>
    <cellStyle name="Normal 5 6 6 2" xfId="3704"/>
    <cellStyle name="Normal 5 6 6 2 2" xfId="7930"/>
    <cellStyle name="Normal 5 6 6 2 2 2" xfId="16378"/>
    <cellStyle name="Normal 5 6 6 2 3" xfId="12154"/>
    <cellStyle name="Normal 5 6 6 3" xfId="5818"/>
    <cellStyle name="Normal 5 6 6 3 2" xfId="14266"/>
    <cellStyle name="Normal 5 6 6 4" xfId="10042"/>
    <cellStyle name="Normal 5 6 7" xfId="2648"/>
    <cellStyle name="Normal 5 6 7 2" xfId="6874"/>
    <cellStyle name="Normal 5 6 7 2 2" xfId="15322"/>
    <cellStyle name="Normal 5 6 7 3" xfId="11098"/>
    <cellStyle name="Normal 5 6 8" xfId="4761"/>
    <cellStyle name="Normal 5 6 8 2" xfId="13210"/>
    <cellStyle name="Normal 5 6 9" xfId="8986"/>
    <cellStyle name="Normal 5 7" xfId="698"/>
    <cellStyle name="Normal 5 7 2" xfId="1050"/>
    <cellStyle name="Normal 5 7 2 2" xfId="2112"/>
    <cellStyle name="Normal 5 7 2 2 2" xfId="4224"/>
    <cellStyle name="Normal 5 7 2 2 2 2" xfId="8450"/>
    <cellStyle name="Normal 5 7 2 2 2 2 2" xfId="16898"/>
    <cellStyle name="Normal 5 7 2 2 2 3" xfId="12674"/>
    <cellStyle name="Normal 5 7 2 2 3" xfId="6338"/>
    <cellStyle name="Normal 5 7 2 2 3 2" xfId="14786"/>
    <cellStyle name="Normal 5 7 2 2 4" xfId="10562"/>
    <cellStyle name="Normal 5 7 2 3" xfId="3168"/>
    <cellStyle name="Normal 5 7 2 3 2" xfId="7394"/>
    <cellStyle name="Normal 5 7 2 3 2 2" xfId="15842"/>
    <cellStyle name="Normal 5 7 2 3 3" xfId="11618"/>
    <cellStyle name="Normal 5 7 2 4" xfId="5282"/>
    <cellStyle name="Normal 5 7 2 4 2" xfId="13730"/>
    <cellStyle name="Normal 5 7 2 5" xfId="9506"/>
    <cellStyle name="Normal 5 7 3" xfId="1760"/>
    <cellStyle name="Normal 5 7 3 2" xfId="3872"/>
    <cellStyle name="Normal 5 7 3 2 2" xfId="8098"/>
    <cellStyle name="Normal 5 7 3 2 2 2" xfId="16546"/>
    <cellStyle name="Normal 5 7 3 2 3" xfId="12322"/>
    <cellStyle name="Normal 5 7 3 3" xfId="5986"/>
    <cellStyle name="Normal 5 7 3 3 2" xfId="14434"/>
    <cellStyle name="Normal 5 7 3 4" xfId="10210"/>
    <cellStyle name="Normal 5 7 4" xfId="2816"/>
    <cellStyle name="Normal 5 7 4 2" xfId="7042"/>
    <cellStyle name="Normal 5 7 4 2 2" xfId="15490"/>
    <cellStyle name="Normal 5 7 4 3" xfId="11266"/>
    <cellStyle name="Normal 5 7 5" xfId="4930"/>
    <cellStyle name="Normal 5 7 5 2" xfId="13378"/>
    <cellStyle name="Normal 5 7 6" xfId="9154"/>
    <cellStyle name="Normal 5 8" xfId="874"/>
    <cellStyle name="Normal 5 8 2" xfId="1936"/>
    <cellStyle name="Normal 5 8 2 2" xfId="4048"/>
    <cellStyle name="Normal 5 8 2 2 2" xfId="8274"/>
    <cellStyle name="Normal 5 8 2 2 2 2" xfId="16722"/>
    <cellStyle name="Normal 5 8 2 2 3" xfId="12498"/>
    <cellStyle name="Normal 5 8 2 3" xfId="6162"/>
    <cellStyle name="Normal 5 8 2 3 2" xfId="14610"/>
    <cellStyle name="Normal 5 8 2 4" xfId="10386"/>
    <cellStyle name="Normal 5 8 3" xfId="2992"/>
    <cellStyle name="Normal 5 8 3 2" xfId="7218"/>
    <cellStyle name="Normal 5 8 3 2 2" xfId="15666"/>
    <cellStyle name="Normal 5 8 3 3" xfId="11442"/>
    <cellStyle name="Normal 5 8 4" xfId="5106"/>
    <cellStyle name="Normal 5 8 4 2" xfId="13554"/>
    <cellStyle name="Normal 5 8 5" xfId="9330"/>
    <cellStyle name="Normal 5 9" xfId="1226"/>
    <cellStyle name="Normal 5 9 2" xfId="2288"/>
    <cellStyle name="Normal 5 9 2 2" xfId="4400"/>
    <cellStyle name="Normal 5 9 2 2 2" xfId="8626"/>
    <cellStyle name="Normal 5 9 2 2 2 2" xfId="17074"/>
    <cellStyle name="Normal 5 9 2 2 3" xfId="12850"/>
    <cellStyle name="Normal 5 9 2 3" xfId="6514"/>
    <cellStyle name="Normal 5 9 2 3 2" xfId="14962"/>
    <cellStyle name="Normal 5 9 2 4" xfId="10738"/>
    <cellStyle name="Normal 5 9 3" xfId="3344"/>
    <cellStyle name="Normal 5 9 3 2" xfId="7570"/>
    <cellStyle name="Normal 5 9 3 2 2" xfId="16018"/>
    <cellStyle name="Normal 5 9 3 3" xfId="11794"/>
    <cellStyle name="Normal 5 9 4" xfId="5458"/>
    <cellStyle name="Normal 5 9 4 2" xfId="13906"/>
    <cellStyle name="Normal 5 9 5" xfId="9682"/>
    <cellStyle name="Normal 50" xfId="1297"/>
    <cellStyle name="Normal 50 2" xfId="17400"/>
    <cellStyle name="Normal 51" xfId="1298"/>
    <cellStyle name="Normal 51 2" xfId="17366"/>
    <cellStyle name="Normal 52" xfId="1296"/>
    <cellStyle name="Normal 53" xfId="1299"/>
    <cellStyle name="Normal 54" xfId="1300"/>
    <cellStyle name="Normal 55" xfId="4645"/>
    <cellStyle name="Normal 56" xfId="4822"/>
    <cellStyle name="Normal 57" xfId="35"/>
    <cellStyle name="Normal 58" xfId="17319"/>
    <cellStyle name="Normal 59" xfId="17339"/>
    <cellStyle name="Normal 6" xfId="412"/>
    <cellStyle name="Normal 6 10" xfId="1417"/>
    <cellStyle name="Normal 6 10 2" xfId="2473"/>
    <cellStyle name="Normal 6 10 2 2" xfId="4585"/>
    <cellStyle name="Normal 6 10 2 2 2" xfId="8811"/>
    <cellStyle name="Normal 6 10 2 2 2 2" xfId="17259"/>
    <cellStyle name="Normal 6 10 2 2 3" xfId="13035"/>
    <cellStyle name="Normal 6 10 2 3" xfId="6699"/>
    <cellStyle name="Normal 6 10 2 3 2" xfId="15147"/>
    <cellStyle name="Normal 6 10 2 4" xfId="10923"/>
    <cellStyle name="Normal 6 10 3" xfId="3529"/>
    <cellStyle name="Normal 6 10 3 2" xfId="7755"/>
    <cellStyle name="Normal 6 10 3 2 2" xfId="16203"/>
    <cellStyle name="Normal 6 10 3 3" xfId="11979"/>
    <cellStyle name="Normal 6 10 4" xfId="5643"/>
    <cellStyle name="Normal 6 10 4 2" xfId="14091"/>
    <cellStyle name="Normal 6 10 5" xfId="9867"/>
    <cellStyle name="Normal 6 11" xfId="1593"/>
    <cellStyle name="Normal 6 11 2" xfId="3705"/>
    <cellStyle name="Normal 6 11 2 2" xfId="7931"/>
    <cellStyle name="Normal 6 11 2 2 2" xfId="16379"/>
    <cellStyle name="Normal 6 11 2 3" xfId="12155"/>
    <cellStyle name="Normal 6 11 3" xfId="5819"/>
    <cellStyle name="Normal 6 11 3 2" xfId="14267"/>
    <cellStyle name="Normal 6 11 4" xfId="10043"/>
    <cellStyle name="Normal 6 12" xfId="2649"/>
    <cellStyle name="Normal 6 12 2" xfId="6875"/>
    <cellStyle name="Normal 6 12 2 2" xfId="15323"/>
    <cellStyle name="Normal 6 12 3" xfId="11099"/>
    <cellStyle name="Normal 6 13" xfId="4762"/>
    <cellStyle name="Normal 6 13 2" xfId="13211"/>
    <cellStyle name="Normal 6 14" xfId="8987"/>
    <cellStyle name="Normal 6 2" xfId="413"/>
    <cellStyle name="Normal 6 2 10" xfId="4763"/>
    <cellStyle name="Normal 6 2 10 2" xfId="13212"/>
    <cellStyle name="Normal 6 2 11" xfId="8988"/>
    <cellStyle name="Normal 6 2 2" xfId="414"/>
    <cellStyle name="Normal 6 2 2 2" xfId="709"/>
    <cellStyle name="Normal 6 2 2 2 2" xfId="1061"/>
    <cellStyle name="Normal 6 2 2 2 2 2" xfId="2123"/>
    <cellStyle name="Normal 6 2 2 2 2 2 2" xfId="4235"/>
    <cellStyle name="Normal 6 2 2 2 2 2 2 2" xfId="8461"/>
    <cellStyle name="Normal 6 2 2 2 2 2 2 2 2" xfId="16909"/>
    <cellStyle name="Normal 6 2 2 2 2 2 2 3" xfId="12685"/>
    <cellStyle name="Normal 6 2 2 2 2 2 3" xfId="6349"/>
    <cellStyle name="Normal 6 2 2 2 2 2 3 2" xfId="14797"/>
    <cellStyle name="Normal 6 2 2 2 2 2 4" xfId="10573"/>
    <cellStyle name="Normal 6 2 2 2 2 3" xfId="3179"/>
    <cellStyle name="Normal 6 2 2 2 2 3 2" xfId="7405"/>
    <cellStyle name="Normal 6 2 2 2 2 3 2 2" xfId="15853"/>
    <cellStyle name="Normal 6 2 2 2 2 3 3" xfId="11629"/>
    <cellStyle name="Normal 6 2 2 2 2 4" xfId="5293"/>
    <cellStyle name="Normal 6 2 2 2 2 4 2" xfId="13741"/>
    <cellStyle name="Normal 6 2 2 2 2 5" xfId="9517"/>
    <cellStyle name="Normal 6 2 2 2 3" xfId="1771"/>
    <cellStyle name="Normal 6 2 2 2 3 2" xfId="3883"/>
    <cellStyle name="Normal 6 2 2 2 3 2 2" xfId="8109"/>
    <cellStyle name="Normal 6 2 2 2 3 2 2 2" xfId="16557"/>
    <cellStyle name="Normal 6 2 2 2 3 2 3" xfId="12333"/>
    <cellStyle name="Normal 6 2 2 2 3 3" xfId="5997"/>
    <cellStyle name="Normal 6 2 2 2 3 3 2" xfId="14445"/>
    <cellStyle name="Normal 6 2 2 2 3 4" xfId="10221"/>
    <cellStyle name="Normal 6 2 2 2 4" xfId="2827"/>
    <cellStyle name="Normal 6 2 2 2 4 2" xfId="7053"/>
    <cellStyle name="Normal 6 2 2 2 4 2 2" xfId="15501"/>
    <cellStyle name="Normal 6 2 2 2 4 3" xfId="11277"/>
    <cellStyle name="Normal 6 2 2 2 5" xfId="4941"/>
    <cellStyle name="Normal 6 2 2 2 5 2" xfId="13389"/>
    <cellStyle name="Normal 6 2 2 2 6" xfId="9165"/>
    <cellStyle name="Normal 6 2 2 3" xfId="885"/>
    <cellStyle name="Normal 6 2 2 3 2" xfId="1947"/>
    <cellStyle name="Normal 6 2 2 3 2 2" xfId="4059"/>
    <cellStyle name="Normal 6 2 2 3 2 2 2" xfId="8285"/>
    <cellStyle name="Normal 6 2 2 3 2 2 2 2" xfId="16733"/>
    <cellStyle name="Normal 6 2 2 3 2 2 3" xfId="12509"/>
    <cellStyle name="Normal 6 2 2 3 2 3" xfId="6173"/>
    <cellStyle name="Normal 6 2 2 3 2 3 2" xfId="14621"/>
    <cellStyle name="Normal 6 2 2 3 2 4" xfId="10397"/>
    <cellStyle name="Normal 6 2 2 3 3" xfId="3003"/>
    <cellStyle name="Normal 6 2 2 3 3 2" xfId="7229"/>
    <cellStyle name="Normal 6 2 2 3 3 2 2" xfId="15677"/>
    <cellStyle name="Normal 6 2 2 3 3 3" xfId="11453"/>
    <cellStyle name="Normal 6 2 2 3 4" xfId="5117"/>
    <cellStyle name="Normal 6 2 2 3 4 2" xfId="13565"/>
    <cellStyle name="Normal 6 2 2 3 5" xfId="9341"/>
    <cellStyle name="Normal 6 2 2 4" xfId="1237"/>
    <cellStyle name="Normal 6 2 2 4 2" xfId="2299"/>
    <cellStyle name="Normal 6 2 2 4 2 2" xfId="4411"/>
    <cellStyle name="Normal 6 2 2 4 2 2 2" xfId="8637"/>
    <cellStyle name="Normal 6 2 2 4 2 2 2 2" xfId="17085"/>
    <cellStyle name="Normal 6 2 2 4 2 2 3" xfId="12861"/>
    <cellStyle name="Normal 6 2 2 4 2 3" xfId="6525"/>
    <cellStyle name="Normal 6 2 2 4 2 3 2" xfId="14973"/>
    <cellStyle name="Normal 6 2 2 4 2 4" xfId="10749"/>
    <cellStyle name="Normal 6 2 2 4 3" xfId="3355"/>
    <cellStyle name="Normal 6 2 2 4 3 2" xfId="7581"/>
    <cellStyle name="Normal 6 2 2 4 3 2 2" xfId="16029"/>
    <cellStyle name="Normal 6 2 2 4 3 3" xfId="11805"/>
    <cellStyle name="Normal 6 2 2 4 4" xfId="5469"/>
    <cellStyle name="Normal 6 2 2 4 4 2" xfId="13917"/>
    <cellStyle name="Normal 6 2 2 4 5" xfId="9693"/>
    <cellStyle name="Normal 6 2 2 5" xfId="1419"/>
    <cellStyle name="Normal 6 2 2 5 2" xfId="2475"/>
    <cellStyle name="Normal 6 2 2 5 2 2" xfId="4587"/>
    <cellStyle name="Normal 6 2 2 5 2 2 2" xfId="8813"/>
    <cellStyle name="Normal 6 2 2 5 2 2 2 2" xfId="17261"/>
    <cellStyle name="Normal 6 2 2 5 2 2 3" xfId="13037"/>
    <cellStyle name="Normal 6 2 2 5 2 3" xfId="6701"/>
    <cellStyle name="Normal 6 2 2 5 2 3 2" xfId="15149"/>
    <cellStyle name="Normal 6 2 2 5 2 4" xfId="10925"/>
    <cellStyle name="Normal 6 2 2 5 3" xfId="3531"/>
    <cellStyle name="Normal 6 2 2 5 3 2" xfId="7757"/>
    <cellStyle name="Normal 6 2 2 5 3 2 2" xfId="16205"/>
    <cellStyle name="Normal 6 2 2 5 3 3" xfId="11981"/>
    <cellStyle name="Normal 6 2 2 5 4" xfId="5645"/>
    <cellStyle name="Normal 6 2 2 5 4 2" xfId="14093"/>
    <cellStyle name="Normal 6 2 2 5 5" xfId="9869"/>
    <cellStyle name="Normal 6 2 2 6" xfId="1595"/>
    <cellStyle name="Normal 6 2 2 6 2" xfId="3707"/>
    <cellStyle name="Normal 6 2 2 6 2 2" xfId="7933"/>
    <cellStyle name="Normal 6 2 2 6 2 2 2" xfId="16381"/>
    <cellStyle name="Normal 6 2 2 6 2 3" xfId="12157"/>
    <cellStyle name="Normal 6 2 2 6 3" xfId="5821"/>
    <cellStyle name="Normal 6 2 2 6 3 2" xfId="14269"/>
    <cellStyle name="Normal 6 2 2 6 4" xfId="10045"/>
    <cellStyle name="Normal 6 2 2 7" xfId="2651"/>
    <cellStyle name="Normal 6 2 2 7 2" xfId="6877"/>
    <cellStyle name="Normal 6 2 2 7 2 2" xfId="15325"/>
    <cellStyle name="Normal 6 2 2 7 3" xfId="11101"/>
    <cellStyle name="Normal 6 2 2 8" xfId="4764"/>
    <cellStyle name="Normal 6 2 2 8 2" xfId="13213"/>
    <cellStyle name="Normal 6 2 2 9" xfId="8989"/>
    <cellStyle name="Normal 6 2 3" xfId="415"/>
    <cellStyle name="Normal 6 2 3 2" xfId="710"/>
    <cellStyle name="Normal 6 2 3 2 2" xfId="1062"/>
    <cellStyle name="Normal 6 2 3 2 2 2" xfId="2124"/>
    <cellStyle name="Normal 6 2 3 2 2 2 2" xfId="4236"/>
    <cellStyle name="Normal 6 2 3 2 2 2 2 2" xfId="8462"/>
    <cellStyle name="Normal 6 2 3 2 2 2 2 2 2" xfId="16910"/>
    <cellStyle name="Normal 6 2 3 2 2 2 2 3" xfId="12686"/>
    <cellStyle name="Normal 6 2 3 2 2 2 3" xfId="6350"/>
    <cellStyle name="Normal 6 2 3 2 2 2 3 2" xfId="14798"/>
    <cellStyle name="Normal 6 2 3 2 2 2 4" xfId="10574"/>
    <cellStyle name="Normal 6 2 3 2 2 3" xfId="3180"/>
    <cellStyle name="Normal 6 2 3 2 2 3 2" xfId="7406"/>
    <cellStyle name="Normal 6 2 3 2 2 3 2 2" xfId="15854"/>
    <cellStyle name="Normal 6 2 3 2 2 3 3" xfId="11630"/>
    <cellStyle name="Normal 6 2 3 2 2 4" xfId="5294"/>
    <cellStyle name="Normal 6 2 3 2 2 4 2" xfId="13742"/>
    <cellStyle name="Normal 6 2 3 2 2 5" xfId="9518"/>
    <cellStyle name="Normal 6 2 3 2 3" xfId="1772"/>
    <cellStyle name="Normal 6 2 3 2 3 2" xfId="3884"/>
    <cellStyle name="Normal 6 2 3 2 3 2 2" xfId="8110"/>
    <cellStyle name="Normal 6 2 3 2 3 2 2 2" xfId="16558"/>
    <cellStyle name="Normal 6 2 3 2 3 2 3" xfId="12334"/>
    <cellStyle name="Normal 6 2 3 2 3 3" xfId="5998"/>
    <cellStyle name="Normal 6 2 3 2 3 3 2" xfId="14446"/>
    <cellStyle name="Normal 6 2 3 2 3 4" xfId="10222"/>
    <cellStyle name="Normal 6 2 3 2 4" xfId="2828"/>
    <cellStyle name="Normal 6 2 3 2 4 2" xfId="7054"/>
    <cellStyle name="Normal 6 2 3 2 4 2 2" xfId="15502"/>
    <cellStyle name="Normal 6 2 3 2 4 3" xfId="11278"/>
    <cellStyle name="Normal 6 2 3 2 5" xfId="4942"/>
    <cellStyle name="Normal 6 2 3 2 5 2" xfId="13390"/>
    <cellStyle name="Normal 6 2 3 2 6" xfId="9166"/>
    <cellStyle name="Normal 6 2 3 3" xfId="886"/>
    <cellStyle name="Normal 6 2 3 3 2" xfId="1948"/>
    <cellStyle name="Normal 6 2 3 3 2 2" xfId="4060"/>
    <cellStyle name="Normal 6 2 3 3 2 2 2" xfId="8286"/>
    <cellStyle name="Normal 6 2 3 3 2 2 2 2" xfId="16734"/>
    <cellStyle name="Normal 6 2 3 3 2 2 3" xfId="12510"/>
    <cellStyle name="Normal 6 2 3 3 2 3" xfId="6174"/>
    <cellStyle name="Normal 6 2 3 3 2 3 2" xfId="14622"/>
    <cellStyle name="Normal 6 2 3 3 2 4" xfId="10398"/>
    <cellStyle name="Normal 6 2 3 3 3" xfId="3004"/>
    <cellStyle name="Normal 6 2 3 3 3 2" xfId="7230"/>
    <cellStyle name="Normal 6 2 3 3 3 2 2" xfId="15678"/>
    <cellStyle name="Normal 6 2 3 3 3 3" xfId="11454"/>
    <cellStyle name="Normal 6 2 3 3 4" xfId="5118"/>
    <cellStyle name="Normal 6 2 3 3 4 2" xfId="13566"/>
    <cellStyle name="Normal 6 2 3 3 5" xfId="9342"/>
    <cellStyle name="Normal 6 2 3 4" xfId="1238"/>
    <cellStyle name="Normal 6 2 3 4 2" xfId="2300"/>
    <cellStyle name="Normal 6 2 3 4 2 2" xfId="4412"/>
    <cellStyle name="Normal 6 2 3 4 2 2 2" xfId="8638"/>
    <cellStyle name="Normal 6 2 3 4 2 2 2 2" xfId="17086"/>
    <cellStyle name="Normal 6 2 3 4 2 2 3" xfId="12862"/>
    <cellStyle name="Normal 6 2 3 4 2 3" xfId="6526"/>
    <cellStyle name="Normal 6 2 3 4 2 3 2" xfId="14974"/>
    <cellStyle name="Normal 6 2 3 4 2 4" xfId="10750"/>
    <cellStyle name="Normal 6 2 3 4 3" xfId="3356"/>
    <cellStyle name="Normal 6 2 3 4 3 2" xfId="7582"/>
    <cellStyle name="Normal 6 2 3 4 3 2 2" xfId="16030"/>
    <cellStyle name="Normal 6 2 3 4 3 3" xfId="11806"/>
    <cellStyle name="Normal 6 2 3 4 4" xfId="5470"/>
    <cellStyle name="Normal 6 2 3 4 4 2" xfId="13918"/>
    <cellStyle name="Normal 6 2 3 4 5" xfId="9694"/>
    <cellStyle name="Normal 6 2 3 5" xfId="1420"/>
    <cellStyle name="Normal 6 2 3 5 2" xfId="2476"/>
    <cellStyle name="Normal 6 2 3 5 2 2" xfId="4588"/>
    <cellStyle name="Normal 6 2 3 5 2 2 2" xfId="8814"/>
    <cellStyle name="Normal 6 2 3 5 2 2 2 2" xfId="17262"/>
    <cellStyle name="Normal 6 2 3 5 2 2 3" xfId="13038"/>
    <cellStyle name="Normal 6 2 3 5 2 3" xfId="6702"/>
    <cellStyle name="Normal 6 2 3 5 2 3 2" xfId="15150"/>
    <cellStyle name="Normal 6 2 3 5 2 4" xfId="10926"/>
    <cellStyle name="Normal 6 2 3 5 3" xfId="3532"/>
    <cellStyle name="Normal 6 2 3 5 3 2" xfId="7758"/>
    <cellStyle name="Normal 6 2 3 5 3 2 2" xfId="16206"/>
    <cellStyle name="Normal 6 2 3 5 3 3" xfId="11982"/>
    <cellStyle name="Normal 6 2 3 5 4" xfId="5646"/>
    <cellStyle name="Normal 6 2 3 5 4 2" xfId="14094"/>
    <cellStyle name="Normal 6 2 3 5 5" xfId="9870"/>
    <cellStyle name="Normal 6 2 3 6" xfId="1596"/>
    <cellStyle name="Normal 6 2 3 6 2" xfId="3708"/>
    <cellStyle name="Normal 6 2 3 6 2 2" xfId="7934"/>
    <cellStyle name="Normal 6 2 3 6 2 2 2" xfId="16382"/>
    <cellStyle name="Normal 6 2 3 6 2 3" xfId="12158"/>
    <cellStyle name="Normal 6 2 3 6 3" xfId="5822"/>
    <cellStyle name="Normal 6 2 3 6 3 2" xfId="14270"/>
    <cellStyle name="Normal 6 2 3 6 4" xfId="10046"/>
    <cellStyle name="Normal 6 2 3 7" xfId="2652"/>
    <cellStyle name="Normal 6 2 3 7 2" xfId="6878"/>
    <cellStyle name="Normal 6 2 3 7 2 2" xfId="15326"/>
    <cellStyle name="Normal 6 2 3 7 3" xfId="11102"/>
    <cellStyle name="Normal 6 2 3 8" xfId="4765"/>
    <cellStyle name="Normal 6 2 3 8 2" xfId="13214"/>
    <cellStyle name="Normal 6 2 3 9" xfId="8990"/>
    <cellStyle name="Normal 6 2 4" xfId="708"/>
    <cellStyle name="Normal 6 2 4 2" xfId="1060"/>
    <cellStyle name="Normal 6 2 4 2 2" xfId="2122"/>
    <cellStyle name="Normal 6 2 4 2 2 2" xfId="4234"/>
    <cellStyle name="Normal 6 2 4 2 2 2 2" xfId="8460"/>
    <cellStyle name="Normal 6 2 4 2 2 2 2 2" xfId="16908"/>
    <cellStyle name="Normal 6 2 4 2 2 2 3" xfId="12684"/>
    <cellStyle name="Normal 6 2 4 2 2 3" xfId="6348"/>
    <cellStyle name="Normal 6 2 4 2 2 3 2" xfId="14796"/>
    <cellStyle name="Normal 6 2 4 2 2 4" xfId="10572"/>
    <cellStyle name="Normal 6 2 4 2 3" xfId="3178"/>
    <cellStyle name="Normal 6 2 4 2 3 2" xfId="7404"/>
    <cellStyle name="Normal 6 2 4 2 3 2 2" xfId="15852"/>
    <cellStyle name="Normal 6 2 4 2 3 3" xfId="11628"/>
    <cellStyle name="Normal 6 2 4 2 4" xfId="5292"/>
    <cellStyle name="Normal 6 2 4 2 4 2" xfId="13740"/>
    <cellStyle name="Normal 6 2 4 2 5" xfId="9516"/>
    <cellStyle name="Normal 6 2 4 3" xfId="1770"/>
    <cellStyle name="Normal 6 2 4 3 2" xfId="3882"/>
    <cellStyle name="Normal 6 2 4 3 2 2" xfId="8108"/>
    <cellStyle name="Normal 6 2 4 3 2 2 2" xfId="16556"/>
    <cellStyle name="Normal 6 2 4 3 2 3" xfId="12332"/>
    <cellStyle name="Normal 6 2 4 3 3" xfId="5996"/>
    <cellStyle name="Normal 6 2 4 3 3 2" xfId="14444"/>
    <cellStyle name="Normal 6 2 4 3 4" xfId="10220"/>
    <cellStyle name="Normal 6 2 4 4" xfId="2826"/>
    <cellStyle name="Normal 6 2 4 4 2" xfId="7052"/>
    <cellStyle name="Normal 6 2 4 4 2 2" xfId="15500"/>
    <cellStyle name="Normal 6 2 4 4 3" xfId="11276"/>
    <cellStyle name="Normal 6 2 4 5" xfId="4940"/>
    <cellStyle name="Normal 6 2 4 5 2" xfId="13388"/>
    <cellStyle name="Normal 6 2 4 6" xfId="9164"/>
    <cellStyle name="Normal 6 2 5" xfId="884"/>
    <cellStyle name="Normal 6 2 5 2" xfId="1946"/>
    <cellStyle name="Normal 6 2 5 2 2" xfId="4058"/>
    <cellStyle name="Normal 6 2 5 2 2 2" xfId="8284"/>
    <cellStyle name="Normal 6 2 5 2 2 2 2" xfId="16732"/>
    <cellStyle name="Normal 6 2 5 2 2 3" xfId="12508"/>
    <cellStyle name="Normal 6 2 5 2 3" xfId="6172"/>
    <cellStyle name="Normal 6 2 5 2 3 2" xfId="14620"/>
    <cellStyle name="Normal 6 2 5 2 4" xfId="10396"/>
    <cellStyle name="Normal 6 2 5 3" xfId="3002"/>
    <cellStyle name="Normal 6 2 5 3 2" xfId="7228"/>
    <cellStyle name="Normal 6 2 5 3 2 2" xfId="15676"/>
    <cellStyle name="Normal 6 2 5 3 3" xfId="11452"/>
    <cellStyle name="Normal 6 2 5 4" xfId="5116"/>
    <cellStyle name="Normal 6 2 5 4 2" xfId="13564"/>
    <cellStyle name="Normal 6 2 5 5" xfId="9340"/>
    <cellStyle name="Normal 6 2 6" xfId="1236"/>
    <cellStyle name="Normal 6 2 6 2" xfId="2298"/>
    <cellStyle name="Normal 6 2 6 2 2" xfId="4410"/>
    <cellStyle name="Normal 6 2 6 2 2 2" xfId="8636"/>
    <cellStyle name="Normal 6 2 6 2 2 2 2" xfId="17084"/>
    <cellStyle name="Normal 6 2 6 2 2 3" xfId="12860"/>
    <cellStyle name="Normal 6 2 6 2 3" xfId="6524"/>
    <cellStyle name="Normal 6 2 6 2 3 2" xfId="14972"/>
    <cellStyle name="Normal 6 2 6 2 4" xfId="10748"/>
    <cellStyle name="Normal 6 2 6 3" xfId="3354"/>
    <cellStyle name="Normal 6 2 6 3 2" xfId="7580"/>
    <cellStyle name="Normal 6 2 6 3 2 2" xfId="16028"/>
    <cellStyle name="Normal 6 2 6 3 3" xfId="11804"/>
    <cellStyle name="Normal 6 2 6 4" xfId="5468"/>
    <cellStyle name="Normal 6 2 6 4 2" xfId="13916"/>
    <cellStyle name="Normal 6 2 6 5" xfId="9692"/>
    <cellStyle name="Normal 6 2 7" xfId="1418"/>
    <cellStyle name="Normal 6 2 7 2" xfId="2474"/>
    <cellStyle name="Normal 6 2 7 2 2" xfId="4586"/>
    <cellStyle name="Normal 6 2 7 2 2 2" xfId="8812"/>
    <cellStyle name="Normal 6 2 7 2 2 2 2" xfId="17260"/>
    <cellStyle name="Normal 6 2 7 2 2 3" xfId="13036"/>
    <cellStyle name="Normal 6 2 7 2 3" xfId="6700"/>
    <cellStyle name="Normal 6 2 7 2 3 2" xfId="15148"/>
    <cellStyle name="Normal 6 2 7 2 4" xfId="10924"/>
    <cellStyle name="Normal 6 2 7 3" xfId="3530"/>
    <cellStyle name="Normal 6 2 7 3 2" xfId="7756"/>
    <cellStyle name="Normal 6 2 7 3 2 2" xfId="16204"/>
    <cellStyle name="Normal 6 2 7 3 3" xfId="11980"/>
    <cellStyle name="Normal 6 2 7 4" xfId="5644"/>
    <cellStyle name="Normal 6 2 7 4 2" xfId="14092"/>
    <cellStyle name="Normal 6 2 7 5" xfId="9868"/>
    <cellStyle name="Normal 6 2 8" xfId="1594"/>
    <cellStyle name="Normal 6 2 8 2" xfId="3706"/>
    <cellStyle name="Normal 6 2 8 2 2" xfId="7932"/>
    <cellStyle name="Normal 6 2 8 2 2 2" xfId="16380"/>
    <cellStyle name="Normal 6 2 8 2 3" xfId="12156"/>
    <cellStyle name="Normal 6 2 8 3" xfId="5820"/>
    <cellStyle name="Normal 6 2 8 3 2" xfId="14268"/>
    <cellStyle name="Normal 6 2 8 4" xfId="10044"/>
    <cellStyle name="Normal 6 2 9" xfId="2650"/>
    <cellStyle name="Normal 6 2 9 2" xfId="6876"/>
    <cellStyle name="Normal 6 2 9 2 2" xfId="15324"/>
    <cellStyle name="Normal 6 2 9 3" xfId="11100"/>
    <cellStyle name="Normal 6 3" xfId="416"/>
    <cellStyle name="Normal 6 3 10" xfId="4766"/>
    <cellStyle name="Normal 6 3 10 2" xfId="13215"/>
    <cellStyle name="Normal 6 3 11" xfId="8991"/>
    <cellStyle name="Normal 6 3 2" xfId="417"/>
    <cellStyle name="Normal 6 3 2 2" xfId="712"/>
    <cellStyle name="Normal 6 3 2 2 2" xfId="1064"/>
    <cellStyle name="Normal 6 3 2 2 2 2" xfId="2126"/>
    <cellStyle name="Normal 6 3 2 2 2 2 2" xfId="4238"/>
    <cellStyle name="Normal 6 3 2 2 2 2 2 2" xfId="8464"/>
    <cellStyle name="Normal 6 3 2 2 2 2 2 2 2" xfId="16912"/>
    <cellStyle name="Normal 6 3 2 2 2 2 2 3" xfId="12688"/>
    <cellStyle name="Normal 6 3 2 2 2 2 3" xfId="6352"/>
    <cellStyle name="Normal 6 3 2 2 2 2 3 2" xfId="14800"/>
    <cellStyle name="Normal 6 3 2 2 2 2 4" xfId="10576"/>
    <cellStyle name="Normal 6 3 2 2 2 3" xfId="3182"/>
    <cellStyle name="Normal 6 3 2 2 2 3 2" xfId="7408"/>
    <cellStyle name="Normal 6 3 2 2 2 3 2 2" xfId="15856"/>
    <cellStyle name="Normal 6 3 2 2 2 3 3" xfId="11632"/>
    <cellStyle name="Normal 6 3 2 2 2 4" xfId="5296"/>
    <cellStyle name="Normal 6 3 2 2 2 4 2" xfId="13744"/>
    <cellStyle name="Normal 6 3 2 2 2 5" xfId="9520"/>
    <cellStyle name="Normal 6 3 2 2 3" xfId="1774"/>
    <cellStyle name="Normal 6 3 2 2 3 2" xfId="3886"/>
    <cellStyle name="Normal 6 3 2 2 3 2 2" xfId="8112"/>
    <cellStyle name="Normal 6 3 2 2 3 2 2 2" xfId="16560"/>
    <cellStyle name="Normal 6 3 2 2 3 2 3" xfId="12336"/>
    <cellStyle name="Normal 6 3 2 2 3 3" xfId="6000"/>
    <cellStyle name="Normal 6 3 2 2 3 3 2" xfId="14448"/>
    <cellStyle name="Normal 6 3 2 2 3 4" xfId="10224"/>
    <cellStyle name="Normal 6 3 2 2 4" xfId="2830"/>
    <cellStyle name="Normal 6 3 2 2 4 2" xfId="7056"/>
    <cellStyle name="Normal 6 3 2 2 4 2 2" xfId="15504"/>
    <cellStyle name="Normal 6 3 2 2 4 3" xfId="11280"/>
    <cellStyle name="Normal 6 3 2 2 5" xfId="4944"/>
    <cellStyle name="Normal 6 3 2 2 5 2" xfId="13392"/>
    <cellStyle name="Normal 6 3 2 2 6" xfId="9168"/>
    <cellStyle name="Normal 6 3 2 3" xfId="888"/>
    <cellStyle name="Normal 6 3 2 3 2" xfId="1950"/>
    <cellStyle name="Normal 6 3 2 3 2 2" xfId="4062"/>
    <cellStyle name="Normal 6 3 2 3 2 2 2" xfId="8288"/>
    <cellStyle name="Normal 6 3 2 3 2 2 2 2" xfId="16736"/>
    <cellStyle name="Normal 6 3 2 3 2 2 3" xfId="12512"/>
    <cellStyle name="Normal 6 3 2 3 2 3" xfId="6176"/>
    <cellStyle name="Normal 6 3 2 3 2 3 2" xfId="14624"/>
    <cellStyle name="Normal 6 3 2 3 2 4" xfId="10400"/>
    <cellStyle name="Normal 6 3 2 3 3" xfId="3006"/>
    <cellStyle name="Normal 6 3 2 3 3 2" xfId="7232"/>
    <cellStyle name="Normal 6 3 2 3 3 2 2" xfId="15680"/>
    <cellStyle name="Normal 6 3 2 3 3 3" xfId="11456"/>
    <cellStyle name="Normal 6 3 2 3 4" xfId="5120"/>
    <cellStyle name="Normal 6 3 2 3 4 2" xfId="13568"/>
    <cellStyle name="Normal 6 3 2 3 5" xfId="9344"/>
    <cellStyle name="Normal 6 3 2 4" xfId="1240"/>
    <cellStyle name="Normal 6 3 2 4 2" xfId="2302"/>
    <cellStyle name="Normal 6 3 2 4 2 2" xfId="4414"/>
    <cellStyle name="Normal 6 3 2 4 2 2 2" xfId="8640"/>
    <cellStyle name="Normal 6 3 2 4 2 2 2 2" xfId="17088"/>
    <cellStyle name="Normal 6 3 2 4 2 2 3" xfId="12864"/>
    <cellStyle name="Normal 6 3 2 4 2 3" xfId="6528"/>
    <cellStyle name="Normal 6 3 2 4 2 3 2" xfId="14976"/>
    <cellStyle name="Normal 6 3 2 4 2 4" xfId="10752"/>
    <cellStyle name="Normal 6 3 2 4 3" xfId="3358"/>
    <cellStyle name="Normal 6 3 2 4 3 2" xfId="7584"/>
    <cellStyle name="Normal 6 3 2 4 3 2 2" xfId="16032"/>
    <cellStyle name="Normal 6 3 2 4 3 3" xfId="11808"/>
    <cellStyle name="Normal 6 3 2 4 4" xfId="5472"/>
    <cellStyle name="Normal 6 3 2 4 4 2" xfId="13920"/>
    <cellStyle name="Normal 6 3 2 4 5" xfId="9696"/>
    <cellStyle name="Normal 6 3 2 5" xfId="1422"/>
    <cellStyle name="Normal 6 3 2 5 2" xfId="2478"/>
    <cellStyle name="Normal 6 3 2 5 2 2" xfId="4590"/>
    <cellStyle name="Normal 6 3 2 5 2 2 2" xfId="8816"/>
    <cellStyle name="Normal 6 3 2 5 2 2 2 2" xfId="17264"/>
    <cellStyle name="Normal 6 3 2 5 2 2 3" xfId="13040"/>
    <cellStyle name="Normal 6 3 2 5 2 3" xfId="6704"/>
    <cellStyle name="Normal 6 3 2 5 2 3 2" xfId="15152"/>
    <cellStyle name="Normal 6 3 2 5 2 4" xfId="10928"/>
    <cellStyle name="Normal 6 3 2 5 3" xfId="3534"/>
    <cellStyle name="Normal 6 3 2 5 3 2" xfId="7760"/>
    <cellStyle name="Normal 6 3 2 5 3 2 2" xfId="16208"/>
    <cellStyle name="Normal 6 3 2 5 3 3" xfId="11984"/>
    <cellStyle name="Normal 6 3 2 5 4" xfId="5648"/>
    <cellStyle name="Normal 6 3 2 5 4 2" xfId="14096"/>
    <cellStyle name="Normal 6 3 2 5 5" xfId="9872"/>
    <cellStyle name="Normal 6 3 2 6" xfId="1598"/>
    <cellStyle name="Normal 6 3 2 6 2" xfId="3710"/>
    <cellStyle name="Normal 6 3 2 6 2 2" xfId="7936"/>
    <cellStyle name="Normal 6 3 2 6 2 2 2" xfId="16384"/>
    <cellStyle name="Normal 6 3 2 6 2 3" xfId="12160"/>
    <cellStyle name="Normal 6 3 2 6 3" xfId="5824"/>
    <cellStyle name="Normal 6 3 2 6 3 2" xfId="14272"/>
    <cellStyle name="Normal 6 3 2 6 4" xfId="10048"/>
    <cellStyle name="Normal 6 3 2 7" xfId="2654"/>
    <cellStyle name="Normal 6 3 2 7 2" xfId="6880"/>
    <cellStyle name="Normal 6 3 2 7 2 2" xfId="15328"/>
    <cellStyle name="Normal 6 3 2 7 3" xfId="11104"/>
    <cellStyle name="Normal 6 3 2 8" xfId="4767"/>
    <cellStyle name="Normal 6 3 2 8 2" xfId="13216"/>
    <cellStyle name="Normal 6 3 2 9" xfId="8992"/>
    <cellStyle name="Normal 6 3 3" xfId="418"/>
    <cellStyle name="Normal 6 3 3 2" xfId="713"/>
    <cellStyle name="Normal 6 3 3 2 2" xfId="1065"/>
    <cellStyle name="Normal 6 3 3 2 2 2" xfId="2127"/>
    <cellStyle name="Normal 6 3 3 2 2 2 2" xfId="4239"/>
    <cellStyle name="Normal 6 3 3 2 2 2 2 2" xfId="8465"/>
    <cellStyle name="Normal 6 3 3 2 2 2 2 2 2" xfId="16913"/>
    <cellStyle name="Normal 6 3 3 2 2 2 2 3" xfId="12689"/>
    <cellStyle name="Normal 6 3 3 2 2 2 3" xfId="6353"/>
    <cellStyle name="Normal 6 3 3 2 2 2 3 2" xfId="14801"/>
    <cellStyle name="Normal 6 3 3 2 2 2 4" xfId="10577"/>
    <cellStyle name="Normal 6 3 3 2 2 3" xfId="3183"/>
    <cellStyle name="Normal 6 3 3 2 2 3 2" xfId="7409"/>
    <cellStyle name="Normal 6 3 3 2 2 3 2 2" xfId="15857"/>
    <cellStyle name="Normal 6 3 3 2 2 3 3" xfId="11633"/>
    <cellStyle name="Normal 6 3 3 2 2 4" xfId="5297"/>
    <cellStyle name="Normal 6 3 3 2 2 4 2" xfId="13745"/>
    <cellStyle name="Normal 6 3 3 2 2 5" xfId="9521"/>
    <cellStyle name="Normal 6 3 3 2 3" xfId="1775"/>
    <cellStyle name="Normal 6 3 3 2 3 2" xfId="3887"/>
    <cellStyle name="Normal 6 3 3 2 3 2 2" xfId="8113"/>
    <cellStyle name="Normal 6 3 3 2 3 2 2 2" xfId="16561"/>
    <cellStyle name="Normal 6 3 3 2 3 2 3" xfId="12337"/>
    <cellStyle name="Normal 6 3 3 2 3 3" xfId="6001"/>
    <cellStyle name="Normal 6 3 3 2 3 3 2" xfId="14449"/>
    <cellStyle name="Normal 6 3 3 2 3 4" xfId="10225"/>
    <cellStyle name="Normal 6 3 3 2 4" xfId="2831"/>
    <cellStyle name="Normal 6 3 3 2 4 2" xfId="7057"/>
    <cellStyle name="Normal 6 3 3 2 4 2 2" xfId="15505"/>
    <cellStyle name="Normal 6 3 3 2 4 3" xfId="11281"/>
    <cellStyle name="Normal 6 3 3 2 5" xfId="4945"/>
    <cellStyle name="Normal 6 3 3 2 5 2" xfId="13393"/>
    <cellStyle name="Normal 6 3 3 2 6" xfId="9169"/>
    <cellStyle name="Normal 6 3 3 3" xfId="889"/>
    <cellStyle name="Normal 6 3 3 3 2" xfId="1951"/>
    <cellStyle name="Normal 6 3 3 3 2 2" xfId="4063"/>
    <cellStyle name="Normal 6 3 3 3 2 2 2" xfId="8289"/>
    <cellStyle name="Normal 6 3 3 3 2 2 2 2" xfId="16737"/>
    <cellStyle name="Normal 6 3 3 3 2 2 3" xfId="12513"/>
    <cellStyle name="Normal 6 3 3 3 2 3" xfId="6177"/>
    <cellStyle name="Normal 6 3 3 3 2 3 2" xfId="14625"/>
    <cellStyle name="Normal 6 3 3 3 2 4" xfId="10401"/>
    <cellStyle name="Normal 6 3 3 3 3" xfId="3007"/>
    <cellStyle name="Normal 6 3 3 3 3 2" xfId="7233"/>
    <cellStyle name="Normal 6 3 3 3 3 2 2" xfId="15681"/>
    <cellStyle name="Normal 6 3 3 3 3 3" xfId="11457"/>
    <cellStyle name="Normal 6 3 3 3 4" xfId="5121"/>
    <cellStyle name="Normal 6 3 3 3 4 2" xfId="13569"/>
    <cellStyle name="Normal 6 3 3 3 5" xfId="9345"/>
    <cellStyle name="Normal 6 3 3 4" xfId="1241"/>
    <cellStyle name="Normal 6 3 3 4 2" xfId="2303"/>
    <cellStyle name="Normal 6 3 3 4 2 2" xfId="4415"/>
    <cellStyle name="Normal 6 3 3 4 2 2 2" xfId="8641"/>
    <cellStyle name="Normal 6 3 3 4 2 2 2 2" xfId="17089"/>
    <cellStyle name="Normal 6 3 3 4 2 2 3" xfId="12865"/>
    <cellStyle name="Normal 6 3 3 4 2 3" xfId="6529"/>
    <cellStyle name="Normal 6 3 3 4 2 3 2" xfId="14977"/>
    <cellStyle name="Normal 6 3 3 4 2 4" xfId="10753"/>
    <cellStyle name="Normal 6 3 3 4 3" xfId="3359"/>
    <cellStyle name="Normal 6 3 3 4 3 2" xfId="7585"/>
    <cellStyle name="Normal 6 3 3 4 3 2 2" xfId="16033"/>
    <cellStyle name="Normal 6 3 3 4 3 3" xfId="11809"/>
    <cellStyle name="Normal 6 3 3 4 4" xfId="5473"/>
    <cellStyle name="Normal 6 3 3 4 4 2" xfId="13921"/>
    <cellStyle name="Normal 6 3 3 4 5" xfId="9697"/>
    <cellStyle name="Normal 6 3 3 5" xfId="1423"/>
    <cellStyle name="Normal 6 3 3 5 2" xfId="2479"/>
    <cellStyle name="Normal 6 3 3 5 2 2" xfId="4591"/>
    <cellStyle name="Normal 6 3 3 5 2 2 2" xfId="8817"/>
    <cellStyle name="Normal 6 3 3 5 2 2 2 2" xfId="17265"/>
    <cellStyle name="Normal 6 3 3 5 2 2 3" xfId="13041"/>
    <cellStyle name="Normal 6 3 3 5 2 3" xfId="6705"/>
    <cellStyle name="Normal 6 3 3 5 2 3 2" xfId="15153"/>
    <cellStyle name="Normal 6 3 3 5 2 4" xfId="10929"/>
    <cellStyle name="Normal 6 3 3 5 3" xfId="3535"/>
    <cellStyle name="Normal 6 3 3 5 3 2" xfId="7761"/>
    <cellStyle name="Normal 6 3 3 5 3 2 2" xfId="16209"/>
    <cellStyle name="Normal 6 3 3 5 3 3" xfId="11985"/>
    <cellStyle name="Normal 6 3 3 5 4" xfId="5649"/>
    <cellStyle name="Normal 6 3 3 5 4 2" xfId="14097"/>
    <cellStyle name="Normal 6 3 3 5 5" xfId="9873"/>
    <cellStyle name="Normal 6 3 3 6" xfId="1599"/>
    <cellStyle name="Normal 6 3 3 6 2" xfId="3711"/>
    <cellStyle name="Normal 6 3 3 6 2 2" xfId="7937"/>
    <cellStyle name="Normal 6 3 3 6 2 2 2" xfId="16385"/>
    <cellStyle name="Normal 6 3 3 6 2 3" xfId="12161"/>
    <cellStyle name="Normal 6 3 3 6 3" xfId="5825"/>
    <cellStyle name="Normal 6 3 3 6 3 2" xfId="14273"/>
    <cellStyle name="Normal 6 3 3 6 4" xfId="10049"/>
    <cellStyle name="Normal 6 3 3 7" xfId="2655"/>
    <cellStyle name="Normal 6 3 3 7 2" xfId="6881"/>
    <cellStyle name="Normal 6 3 3 7 2 2" xfId="15329"/>
    <cellStyle name="Normal 6 3 3 7 3" xfId="11105"/>
    <cellStyle name="Normal 6 3 3 8" xfId="4768"/>
    <cellStyle name="Normal 6 3 3 8 2" xfId="13217"/>
    <cellStyle name="Normal 6 3 3 9" xfId="8993"/>
    <cellStyle name="Normal 6 3 4" xfId="711"/>
    <cellStyle name="Normal 6 3 4 2" xfId="1063"/>
    <cellStyle name="Normal 6 3 4 2 2" xfId="2125"/>
    <cellStyle name="Normal 6 3 4 2 2 2" xfId="4237"/>
    <cellStyle name="Normal 6 3 4 2 2 2 2" xfId="8463"/>
    <cellStyle name="Normal 6 3 4 2 2 2 2 2" xfId="16911"/>
    <cellStyle name="Normal 6 3 4 2 2 2 3" xfId="12687"/>
    <cellStyle name="Normal 6 3 4 2 2 3" xfId="6351"/>
    <cellStyle name="Normal 6 3 4 2 2 3 2" xfId="14799"/>
    <cellStyle name="Normal 6 3 4 2 2 4" xfId="10575"/>
    <cellStyle name="Normal 6 3 4 2 3" xfId="3181"/>
    <cellStyle name="Normal 6 3 4 2 3 2" xfId="7407"/>
    <cellStyle name="Normal 6 3 4 2 3 2 2" xfId="15855"/>
    <cellStyle name="Normal 6 3 4 2 3 3" xfId="11631"/>
    <cellStyle name="Normal 6 3 4 2 4" xfId="5295"/>
    <cellStyle name="Normal 6 3 4 2 4 2" xfId="13743"/>
    <cellStyle name="Normal 6 3 4 2 5" xfId="9519"/>
    <cellStyle name="Normal 6 3 4 3" xfId="1773"/>
    <cellStyle name="Normal 6 3 4 3 2" xfId="3885"/>
    <cellStyle name="Normal 6 3 4 3 2 2" xfId="8111"/>
    <cellStyle name="Normal 6 3 4 3 2 2 2" xfId="16559"/>
    <cellStyle name="Normal 6 3 4 3 2 3" xfId="12335"/>
    <cellStyle name="Normal 6 3 4 3 3" xfId="5999"/>
    <cellStyle name="Normal 6 3 4 3 3 2" xfId="14447"/>
    <cellStyle name="Normal 6 3 4 3 4" xfId="10223"/>
    <cellStyle name="Normal 6 3 4 4" xfId="2829"/>
    <cellStyle name="Normal 6 3 4 4 2" xfId="7055"/>
    <cellStyle name="Normal 6 3 4 4 2 2" xfId="15503"/>
    <cellStyle name="Normal 6 3 4 4 3" xfId="11279"/>
    <cellStyle name="Normal 6 3 4 5" xfId="4943"/>
    <cellStyle name="Normal 6 3 4 5 2" xfId="13391"/>
    <cellStyle name="Normal 6 3 4 6" xfId="9167"/>
    <cellStyle name="Normal 6 3 5" xfId="887"/>
    <cellStyle name="Normal 6 3 5 2" xfId="1949"/>
    <cellStyle name="Normal 6 3 5 2 2" xfId="4061"/>
    <cellStyle name="Normal 6 3 5 2 2 2" xfId="8287"/>
    <cellStyle name="Normal 6 3 5 2 2 2 2" xfId="16735"/>
    <cellStyle name="Normal 6 3 5 2 2 3" xfId="12511"/>
    <cellStyle name="Normal 6 3 5 2 3" xfId="6175"/>
    <cellStyle name="Normal 6 3 5 2 3 2" xfId="14623"/>
    <cellStyle name="Normal 6 3 5 2 4" xfId="10399"/>
    <cellStyle name="Normal 6 3 5 3" xfId="3005"/>
    <cellStyle name="Normal 6 3 5 3 2" xfId="7231"/>
    <cellStyle name="Normal 6 3 5 3 2 2" xfId="15679"/>
    <cellStyle name="Normal 6 3 5 3 3" xfId="11455"/>
    <cellStyle name="Normal 6 3 5 4" xfId="5119"/>
    <cellStyle name="Normal 6 3 5 4 2" xfId="13567"/>
    <cellStyle name="Normal 6 3 5 5" xfId="9343"/>
    <cellStyle name="Normal 6 3 6" xfId="1239"/>
    <cellStyle name="Normal 6 3 6 2" xfId="2301"/>
    <cellStyle name="Normal 6 3 6 2 2" xfId="4413"/>
    <cellStyle name="Normal 6 3 6 2 2 2" xfId="8639"/>
    <cellStyle name="Normal 6 3 6 2 2 2 2" xfId="17087"/>
    <cellStyle name="Normal 6 3 6 2 2 3" xfId="12863"/>
    <cellStyle name="Normal 6 3 6 2 3" xfId="6527"/>
    <cellStyle name="Normal 6 3 6 2 3 2" xfId="14975"/>
    <cellStyle name="Normal 6 3 6 2 4" xfId="10751"/>
    <cellStyle name="Normal 6 3 6 3" xfId="3357"/>
    <cellStyle name="Normal 6 3 6 3 2" xfId="7583"/>
    <cellStyle name="Normal 6 3 6 3 2 2" xfId="16031"/>
    <cellStyle name="Normal 6 3 6 3 3" xfId="11807"/>
    <cellStyle name="Normal 6 3 6 4" xfId="5471"/>
    <cellStyle name="Normal 6 3 6 4 2" xfId="13919"/>
    <cellStyle name="Normal 6 3 6 5" xfId="9695"/>
    <cellStyle name="Normal 6 3 7" xfId="1421"/>
    <cellStyle name="Normal 6 3 7 2" xfId="2477"/>
    <cellStyle name="Normal 6 3 7 2 2" xfId="4589"/>
    <cellStyle name="Normal 6 3 7 2 2 2" xfId="8815"/>
    <cellStyle name="Normal 6 3 7 2 2 2 2" xfId="17263"/>
    <cellStyle name="Normal 6 3 7 2 2 3" xfId="13039"/>
    <cellStyle name="Normal 6 3 7 2 3" xfId="6703"/>
    <cellStyle name="Normal 6 3 7 2 3 2" xfId="15151"/>
    <cellStyle name="Normal 6 3 7 2 4" xfId="10927"/>
    <cellStyle name="Normal 6 3 7 3" xfId="3533"/>
    <cellStyle name="Normal 6 3 7 3 2" xfId="7759"/>
    <cellStyle name="Normal 6 3 7 3 2 2" xfId="16207"/>
    <cellStyle name="Normal 6 3 7 3 3" xfId="11983"/>
    <cellStyle name="Normal 6 3 7 4" xfId="5647"/>
    <cellStyle name="Normal 6 3 7 4 2" xfId="14095"/>
    <cellStyle name="Normal 6 3 7 5" xfId="9871"/>
    <cellStyle name="Normal 6 3 8" xfId="1597"/>
    <cellStyle name="Normal 6 3 8 2" xfId="3709"/>
    <cellStyle name="Normal 6 3 8 2 2" xfId="7935"/>
    <cellStyle name="Normal 6 3 8 2 2 2" xfId="16383"/>
    <cellStyle name="Normal 6 3 8 2 3" xfId="12159"/>
    <cellStyle name="Normal 6 3 8 3" xfId="5823"/>
    <cellStyle name="Normal 6 3 8 3 2" xfId="14271"/>
    <cellStyle name="Normal 6 3 8 4" xfId="10047"/>
    <cellStyle name="Normal 6 3 9" xfId="2653"/>
    <cellStyle name="Normal 6 3 9 2" xfId="6879"/>
    <cellStyle name="Normal 6 3 9 2 2" xfId="15327"/>
    <cellStyle name="Normal 6 3 9 3" xfId="11103"/>
    <cellStyle name="Normal 6 4" xfId="419"/>
    <cellStyle name="Normal 6 5" xfId="420"/>
    <cellStyle name="Normal 6 5 2" xfId="714"/>
    <cellStyle name="Normal 6 5 2 2" xfId="1066"/>
    <cellStyle name="Normal 6 5 2 2 2" xfId="2128"/>
    <cellStyle name="Normal 6 5 2 2 2 2" xfId="4240"/>
    <cellStyle name="Normal 6 5 2 2 2 2 2" xfId="8466"/>
    <cellStyle name="Normal 6 5 2 2 2 2 2 2" xfId="16914"/>
    <cellStyle name="Normal 6 5 2 2 2 2 3" xfId="12690"/>
    <cellStyle name="Normal 6 5 2 2 2 3" xfId="6354"/>
    <cellStyle name="Normal 6 5 2 2 2 3 2" xfId="14802"/>
    <cellStyle name="Normal 6 5 2 2 2 4" xfId="10578"/>
    <cellStyle name="Normal 6 5 2 2 3" xfId="3184"/>
    <cellStyle name="Normal 6 5 2 2 3 2" xfId="7410"/>
    <cellStyle name="Normal 6 5 2 2 3 2 2" xfId="15858"/>
    <cellStyle name="Normal 6 5 2 2 3 3" xfId="11634"/>
    <cellStyle name="Normal 6 5 2 2 4" xfId="5298"/>
    <cellStyle name="Normal 6 5 2 2 4 2" xfId="13746"/>
    <cellStyle name="Normal 6 5 2 2 5" xfId="9522"/>
    <cellStyle name="Normal 6 5 2 3" xfId="1776"/>
    <cellStyle name="Normal 6 5 2 3 2" xfId="3888"/>
    <cellStyle name="Normal 6 5 2 3 2 2" xfId="8114"/>
    <cellStyle name="Normal 6 5 2 3 2 2 2" xfId="16562"/>
    <cellStyle name="Normal 6 5 2 3 2 3" xfId="12338"/>
    <cellStyle name="Normal 6 5 2 3 3" xfId="6002"/>
    <cellStyle name="Normal 6 5 2 3 3 2" xfId="14450"/>
    <cellStyle name="Normal 6 5 2 3 4" xfId="10226"/>
    <cellStyle name="Normal 6 5 2 4" xfId="2832"/>
    <cellStyle name="Normal 6 5 2 4 2" xfId="7058"/>
    <cellStyle name="Normal 6 5 2 4 2 2" xfId="15506"/>
    <cellStyle name="Normal 6 5 2 4 3" xfId="11282"/>
    <cellStyle name="Normal 6 5 2 5" xfId="4946"/>
    <cellStyle name="Normal 6 5 2 5 2" xfId="13394"/>
    <cellStyle name="Normal 6 5 2 6" xfId="9170"/>
    <cellStyle name="Normal 6 5 3" xfId="890"/>
    <cellStyle name="Normal 6 5 3 2" xfId="1952"/>
    <cellStyle name="Normal 6 5 3 2 2" xfId="4064"/>
    <cellStyle name="Normal 6 5 3 2 2 2" xfId="8290"/>
    <cellStyle name="Normal 6 5 3 2 2 2 2" xfId="16738"/>
    <cellStyle name="Normal 6 5 3 2 2 3" xfId="12514"/>
    <cellStyle name="Normal 6 5 3 2 3" xfId="6178"/>
    <cellStyle name="Normal 6 5 3 2 3 2" xfId="14626"/>
    <cellStyle name="Normal 6 5 3 2 4" xfId="10402"/>
    <cellStyle name="Normal 6 5 3 3" xfId="3008"/>
    <cellStyle name="Normal 6 5 3 3 2" xfId="7234"/>
    <cellStyle name="Normal 6 5 3 3 2 2" xfId="15682"/>
    <cellStyle name="Normal 6 5 3 3 3" xfId="11458"/>
    <cellStyle name="Normal 6 5 3 4" xfId="5122"/>
    <cellStyle name="Normal 6 5 3 4 2" xfId="13570"/>
    <cellStyle name="Normal 6 5 3 5" xfId="9346"/>
    <cellStyle name="Normal 6 5 4" xfId="1242"/>
    <cellStyle name="Normal 6 5 4 2" xfId="2304"/>
    <cellStyle name="Normal 6 5 4 2 2" xfId="4416"/>
    <cellStyle name="Normal 6 5 4 2 2 2" xfId="8642"/>
    <cellStyle name="Normal 6 5 4 2 2 2 2" xfId="17090"/>
    <cellStyle name="Normal 6 5 4 2 2 3" xfId="12866"/>
    <cellStyle name="Normal 6 5 4 2 3" xfId="6530"/>
    <cellStyle name="Normal 6 5 4 2 3 2" xfId="14978"/>
    <cellStyle name="Normal 6 5 4 2 4" xfId="10754"/>
    <cellStyle name="Normal 6 5 4 3" xfId="3360"/>
    <cellStyle name="Normal 6 5 4 3 2" xfId="7586"/>
    <cellStyle name="Normal 6 5 4 3 2 2" xfId="16034"/>
    <cellStyle name="Normal 6 5 4 3 3" xfId="11810"/>
    <cellStyle name="Normal 6 5 4 4" xfId="5474"/>
    <cellStyle name="Normal 6 5 4 4 2" xfId="13922"/>
    <cellStyle name="Normal 6 5 4 5" xfId="9698"/>
    <cellStyle name="Normal 6 5 5" xfId="1424"/>
    <cellStyle name="Normal 6 5 5 2" xfId="2480"/>
    <cellStyle name="Normal 6 5 5 2 2" xfId="4592"/>
    <cellStyle name="Normal 6 5 5 2 2 2" xfId="8818"/>
    <cellStyle name="Normal 6 5 5 2 2 2 2" xfId="17266"/>
    <cellStyle name="Normal 6 5 5 2 2 3" xfId="13042"/>
    <cellStyle name="Normal 6 5 5 2 3" xfId="6706"/>
    <cellStyle name="Normal 6 5 5 2 3 2" xfId="15154"/>
    <cellStyle name="Normal 6 5 5 2 4" xfId="10930"/>
    <cellStyle name="Normal 6 5 5 3" xfId="3536"/>
    <cellStyle name="Normal 6 5 5 3 2" xfId="7762"/>
    <cellStyle name="Normal 6 5 5 3 2 2" xfId="16210"/>
    <cellStyle name="Normal 6 5 5 3 3" xfId="11986"/>
    <cellStyle name="Normal 6 5 5 4" xfId="5650"/>
    <cellStyle name="Normal 6 5 5 4 2" xfId="14098"/>
    <cellStyle name="Normal 6 5 5 5" xfId="9874"/>
    <cellStyle name="Normal 6 5 6" xfId="1600"/>
    <cellStyle name="Normal 6 5 6 2" xfId="3712"/>
    <cellStyle name="Normal 6 5 6 2 2" xfId="7938"/>
    <cellStyle name="Normal 6 5 6 2 2 2" xfId="16386"/>
    <cellStyle name="Normal 6 5 6 2 3" xfId="12162"/>
    <cellStyle name="Normal 6 5 6 3" xfId="5826"/>
    <cellStyle name="Normal 6 5 6 3 2" xfId="14274"/>
    <cellStyle name="Normal 6 5 6 4" xfId="10050"/>
    <cellStyle name="Normal 6 5 7" xfId="2656"/>
    <cellStyle name="Normal 6 5 7 2" xfId="6882"/>
    <cellStyle name="Normal 6 5 7 2 2" xfId="15330"/>
    <cellStyle name="Normal 6 5 7 3" xfId="11106"/>
    <cellStyle name="Normal 6 5 8" xfId="4769"/>
    <cellStyle name="Normal 6 5 8 2" xfId="13218"/>
    <cellStyle name="Normal 6 5 9" xfId="8994"/>
    <cellStyle name="Normal 6 6" xfId="421"/>
    <cellStyle name="Normal 6 6 2" xfId="715"/>
    <cellStyle name="Normal 6 6 2 2" xfId="1067"/>
    <cellStyle name="Normal 6 6 2 2 2" xfId="2129"/>
    <cellStyle name="Normal 6 6 2 2 2 2" xfId="4241"/>
    <cellStyle name="Normal 6 6 2 2 2 2 2" xfId="8467"/>
    <cellStyle name="Normal 6 6 2 2 2 2 2 2" xfId="16915"/>
    <cellStyle name="Normal 6 6 2 2 2 2 3" xfId="12691"/>
    <cellStyle name="Normal 6 6 2 2 2 3" xfId="6355"/>
    <cellStyle name="Normal 6 6 2 2 2 3 2" xfId="14803"/>
    <cellStyle name="Normal 6 6 2 2 2 4" xfId="10579"/>
    <cellStyle name="Normal 6 6 2 2 3" xfId="3185"/>
    <cellStyle name="Normal 6 6 2 2 3 2" xfId="7411"/>
    <cellStyle name="Normal 6 6 2 2 3 2 2" xfId="15859"/>
    <cellStyle name="Normal 6 6 2 2 3 3" xfId="11635"/>
    <cellStyle name="Normal 6 6 2 2 4" xfId="5299"/>
    <cellStyle name="Normal 6 6 2 2 4 2" xfId="13747"/>
    <cellStyle name="Normal 6 6 2 2 5" xfId="9523"/>
    <cellStyle name="Normal 6 6 2 3" xfId="1777"/>
    <cellStyle name="Normal 6 6 2 3 2" xfId="3889"/>
    <cellStyle name="Normal 6 6 2 3 2 2" xfId="8115"/>
    <cellStyle name="Normal 6 6 2 3 2 2 2" xfId="16563"/>
    <cellStyle name="Normal 6 6 2 3 2 3" xfId="12339"/>
    <cellStyle name="Normal 6 6 2 3 3" xfId="6003"/>
    <cellStyle name="Normal 6 6 2 3 3 2" xfId="14451"/>
    <cellStyle name="Normal 6 6 2 3 4" xfId="10227"/>
    <cellStyle name="Normal 6 6 2 4" xfId="2833"/>
    <cellStyle name="Normal 6 6 2 4 2" xfId="7059"/>
    <cellStyle name="Normal 6 6 2 4 2 2" xfId="15507"/>
    <cellStyle name="Normal 6 6 2 4 3" xfId="11283"/>
    <cellStyle name="Normal 6 6 2 5" xfId="4947"/>
    <cellStyle name="Normal 6 6 2 5 2" xfId="13395"/>
    <cellStyle name="Normal 6 6 2 6" xfId="9171"/>
    <cellStyle name="Normal 6 6 3" xfId="891"/>
    <cellStyle name="Normal 6 6 3 2" xfId="1953"/>
    <cellStyle name="Normal 6 6 3 2 2" xfId="4065"/>
    <cellStyle name="Normal 6 6 3 2 2 2" xfId="8291"/>
    <cellStyle name="Normal 6 6 3 2 2 2 2" xfId="16739"/>
    <cellStyle name="Normal 6 6 3 2 2 3" xfId="12515"/>
    <cellStyle name="Normal 6 6 3 2 3" xfId="6179"/>
    <cellStyle name="Normal 6 6 3 2 3 2" xfId="14627"/>
    <cellStyle name="Normal 6 6 3 2 4" xfId="10403"/>
    <cellStyle name="Normal 6 6 3 3" xfId="3009"/>
    <cellStyle name="Normal 6 6 3 3 2" xfId="7235"/>
    <cellStyle name="Normal 6 6 3 3 2 2" xfId="15683"/>
    <cellStyle name="Normal 6 6 3 3 3" xfId="11459"/>
    <cellStyle name="Normal 6 6 3 4" xfId="5123"/>
    <cellStyle name="Normal 6 6 3 4 2" xfId="13571"/>
    <cellStyle name="Normal 6 6 3 5" xfId="9347"/>
    <cellStyle name="Normal 6 6 4" xfId="1243"/>
    <cellStyle name="Normal 6 6 4 2" xfId="2305"/>
    <cellStyle name="Normal 6 6 4 2 2" xfId="4417"/>
    <cellStyle name="Normal 6 6 4 2 2 2" xfId="8643"/>
    <cellStyle name="Normal 6 6 4 2 2 2 2" xfId="17091"/>
    <cellStyle name="Normal 6 6 4 2 2 3" xfId="12867"/>
    <cellStyle name="Normal 6 6 4 2 3" xfId="6531"/>
    <cellStyle name="Normal 6 6 4 2 3 2" xfId="14979"/>
    <cellStyle name="Normal 6 6 4 2 4" xfId="10755"/>
    <cellStyle name="Normal 6 6 4 3" xfId="3361"/>
    <cellStyle name="Normal 6 6 4 3 2" xfId="7587"/>
    <cellStyle name="Normal 6 6 4 3 2 2" xfId="16035"/>
    <cellStyle name="Normal 6 6 4 3 3" xfId="11811"/>
    <cellStyle name="Normal 6 6 4 4" xfId="5475"/>
    <cellStyle name="Normal 6 6 4 4 2" xfId="13923"/>
    <cellStyle name="Normal 6 6 4 5" xfId="9699"/>
    <cellStyle name="Normal 6 6 5" xfId="1425"/>
    <cellStyle name="Normal 6 6 5 2" xfId="2481"/>
    <cellStyle name="Normal 6 6 5 2 2" xfId="4593"/>
    <cellStyle name="Normal 6 6 5 2 2 2" xfId="8819"/>
    <cellStyle name="Normal 6 6 5 2 2 2 2" xfId="17267"/>
    <cellStyle name="Normal 6 6 5 2 2 3" xfId="13043"/>
    <cellStyle name="Normal 6 6 5 2 3" xfId="6707"/>
    <cellStyle name="Normal 6 6 5 2 3 2" xfId="15155"/>
    <cellStyle name="Normal 6 6 5 2 4" xfId="10931"/>
    <cellStyle name="Normal 6 6 5 3" xfId="3537"/>
    <cellStyle name="Normal 6 6 5 3 2" xfId="7763"/>
    <cellStyle name="Normal 6 6 5 3 2 2" xfId="16211"/>
    <cellStyle name="Normal 6 6 5 3 3" xfId="11987"/>
    <cellStyle name="Normal 6 6 5 4" xfId="5651"/>
    <cellStyle name="Normal 6 6 5 4 2" xfId="14099"/>
    <cellStyle name="Normal 6 6 5 5" xfId="9875"/>
    <cellStyle name="Normal 6 6 6" xfId="1601"/>
    <cellStyle name="Normal 6 6 6 2" xfId="3713"/>
    <cellStyle name="Normal 6 6 6 2 2" xfId="7939"/>
    <cellStyle name="Normal 6 6 6 2 2 2" xfId="16387"/>
    <cellStyle name="Normal 6 6 6 2 3" xfId="12163"/>
    <cellStyle name="Normal 6 6 6 3" xfId="5827"/>
    <cellStyle name="Normal 6 6 6 3 2" xfId="14275"/>
    <cellStyle name="Normal 6 6 6 4" xfId="10051"/>
    <cellStyle name="Normal 6 6 7" xfId="2657"/>
    <cellStyle name="Normal 6 6 7 2" xfId="6883"/>
    <cellStyle name="Normal 6 6 7 2 2" xfId="15331"/>
    <cellStyle name="Normal 6 6 7 3" xfId="11107"/>
    <cellStyle name="Normal 6 6 8" xfId="4770"/>
    <cellStyle name="Normal 6 6 8 2" xfId="13219"/>
    <cellStyle name="Normal 6 6 9" xfId="8995"/>
    <cellStyle name="Normal 6 7" xfId="707"/>
    <cellStyle name="Normal 6 7 2" xfId="1059"/>
    <cellStyle name="Normal 6 7 2 2" xfId="2121"/>
    <cellStyle name="Normal 6 7 2 2 2" xfId="4233"/>
    <cellStyle name="Normal 6 7 2 2 2 2" xfId="8459"/>
    <cellStyle name="Normal 6 7 2 2 2 2 2" xfId="16907"/>
    <cellStyle name="Normal 6 7 2 2 2 3" xfId="12683"/>
    <cellStyle name="Normal 6 7 2 2 3" xfId="6347"/>
    <cellStyle name="Normal 6 7 2 2 3 2" xfId="14795"/>
    <cellStyle name="Normal 6 7 2 2 4" xfId="10571"/>
    <cellStyle name="Normal 6 7 2 3" xfId="3177"/>
    <cellStyle name="Normal 6 7 2 3 2" xfId="7403"/>
    <cellStyle name="Normal 6 7 2 3 2 2" xfId="15851"/>
    <cellStyle name="Normal 6 7 2 3 3" xfId="11627"/>
    <cellStyle name="Normal 6 7 2 4" xfId="5291"/>
    <cellStyle name="Normal 6 7 2 4 2" xfId="13739"/>
    <cellStyle name="Normal 6 7 2 5" xfId="9515"/>
    <cellStyle name="Normal 6 7 3" xfId="1769"/>
    <cellStyle name="Normal 6 7 3 2" xfId="3881"/>
    <cellStyle name="Normal 6 7 3 2 2" xfId="8107"/>
    <cellStyle name="Normal 6 7 3 2 2 2" xfId="16555"/>
    <cellStyle name="Normal 6 7 3 2 3" xfId="12331"/>
    <cellStyle name="Normal 6 7 3 3" xfId="5995"/>
    <cellStyle name="Normal 6 7 3 3 2" xfId="14443"/>
    <cellStyle name="Normal 6 7 3 4" xfId="10219"/>
    <cellStyle name="Normal 6 7 4" xfId="2825"/>
    <cellStyle name="Normal 6 7 4 2" xfId="7051"/>
    <cellStyle name="Normal 6 7 4 2 2" xfId="15499"/>
    <cellStyle name="Normal 6 7 4 3" xfId="11275"/>
    <cellStyle name="Normal 6 7 5" xfId="4939"/>
    <cellStyle name="Normal 6 7 5 2" xfId="13387"/>
    <cellStyle name="Normal 6 7 6" xfId="9163"/>
    <cellStyle name="Normal 6 8" xfId="883"/>
    <cellStyle name="Normal 6 8 2" xfId="1945"/>
    <cellStyle name="Normal 6 8 2 2" xfId="4057"/>
    <cellStyle name="Normal 6 8 2 2 2" xfId="8283"/>
    <cellStyle name="Normal 6 8 2 2 2 2" xfId="16731"/>
    <cellStyle name="Normal 6 8 2 2 3" xfId="12507"/>
    <cellStyle name="Normal 6 8 2 3" xfId="6171"/>
    <cellStyle name="Normal 6 8 2 3 2" xfId="14619"/>
    <cellStyle name="Normal 6 8 2 4" xfId="10395"/>
    <cellStyle name="Normal 6 8 3" xfId="3001"/>
    <cellStyle name="Normal 6 8 3 2" xfId="7227"/>
    <cellStyle name="Normal 6 8 3 2 2" xfId="15675"/>
    <cellStyle name="Normal 6 8 3 3" xfId="11451"/>
    <cellStyle name="Normal 6 8 4" xfId="5115"/>
    <cellStyle name="Normal 6 8 4 2" xfId="13563"/>
    <cellStyle name="Normal 6 8 5" xfId="9339"/>
    <cellStyle name="Normal 6 9" xfId="1235"/>
    <cellStyle name="Normal 6 9 2" xfId="2297"/>
    <cellStyle name="Normal 6 9 2 2" xfId="4409"/>
    <cellStyle name="Normal 6 9 2 2 2" xfId="8635"/>
    <cellStyle name="Normal 6 9 2 2 2 2" xfId="17083"/>
    <cellStyle name="Normal 6 9 2 2 3" xfId="12859"/>
    <cellStyle name="Normal 6 9 2 3" xfId="6523"/>
    <cellStyle name="Normal 6 9 2 3 2" xfId="14971"/>
    <cellStyle name="Normal 6 9 2 4" xfId="10747"/>
    <cellStyle name="Normal 6 9 3" xfId="3353"/>
    <cellStyle name="Normal 6 9 3 2" xfId="7579"/>
    <cellStyle name="Normal 6 9 3 2 2" xfId="16027"/>
    <cellStyle name="Normal 6 9 3 3" xfId="11803"/>
    <cellStyle name="Normal 6 9 4" xfId="5467"/>
    <cellStyle name="Normal 6 9 4 2" xfId="13915"/>
    <cellStyle name="Normal 6 9 5" xfId="9691"/>
    <cellStyle name="Normal 60" xfId="17402"/>
    <cellStyle name="Normal 7" xfId="422"/>
    <cellStyle name="Normal 7 2" xfId="423"/>
    <cellStyle name="Normal 7 2 2" xfId="17421"/>
    <cellStyle name="Normal 7 2 2 2" xfId="17449"/>
    <cellStyle name="Normal 7 2 3" xfId="17389"/>
    <cellStyle name="Normal 7 2 4" xfId="17375"/>
    <cellStyle name="Normal 7 3" xfId="424"/>
    <cellStyle name="Normal 7 3 10" xfId="4771"/>
    <cellStyle name="Normal 7 3 10 2" xfId="13220"/>
    <cellStyle name="Normal 7 3 11" xfId="8996"/>
    <cellStyle name="Normal 7 3 2" xfId="425"/>
    <cellStyle name="Normal 7 3 2 2" xfId="717"/>
    <cellStyle name="Normal 7 3 2 2 2" xfId="1069"/>
    <cellStyle name="Normal 7 3 2 2 2 2" xfId="2131"/>
    <cellStyle name="Normal 7 3 2 2 2 2 2" xfId="4243"/>
    <cellStyle name="Normal 7 3 2 2 2 2 2 2" xfId="8469"/>
    <cellStyle name="Normal 7 3 2 2 2 2 2 2 2" xfId="16917"/>
    <cellStyle name="Normal 7 3 2 2 2 2 2 3" xfId="12693"/>
    <cellStyle name="Normal 7 3 2 2 2 2 3" xfId="6357"/>
    <cellStyle name="Normal 7 3 2 2 2 2 3 2" xfId="14805"/>
    <cellStyle name="Normal 7 3 2 2 2 2 4" xfId="10581"/>
    <cellStyle name="Normal 7 3 2 2 2 3" xfId="3187"/>
    <cellStyle name="Normal 7 3 2 2 2 3 2" xfId="7413"/>
    <cellStyle name="Normal 7 3 2 2 2 3 2 2" xfId="15861"/>
    <cellStyle name="Normal 7 3 2 2 2 3 3" xfId="11637"/>
    <cellStyle name="Normal 7 3 2 2 2 4" xfId="5301"/>
    <cellStyle name="Normal 7 3 2 2 2 4 2" xfId="13749"/>
    <cellStyle name="Normal 7 3 2 2 2 5" xfId="9525"/>
    <cellStyle name="Normal 7 3 2 2 3" xfId="1779"/>
    <cellStyle name="Normal 7 3 2 2 3 2" xfId="3891"/>
    <cellStyle name="Normal 7 3 2 2 3 2 2" xfId="8117"/>
    <cellStyle name="Normal 7 3 2 2 3 2 2 2" xfId="16565"/>
    <cellStyle name="Normal 7 3 2 2 3 2 3" xfId="12341"/>
    <cellStyle name="Normal 7 3 2 2 3 3" xfId="6005"/>
    <cellStyle name="Normal 7 3 2 2 3 3 2" xfId="14453"/>
    <cellStyle name="Normal 7 3 2 2 3 4" xfId="10229"/>
    <cellStyle name="Normal 7 3 2 2 4" xfId="2835"/>
    <cellStyle name="Normal 7 3 2 2 4 2" xfId="7061"/>
    <cellStyle name="Normal 7 3 2 2 4 2 2" xfId="15509"/>
    <cellStyle name="Normal 7 3 2 2 4 3" xfId="11285"/>
    <cellStyle name="Normal 7 3 2 2 5" xfId="4949"/>
    <cellStyle name="Normal 7 3 2 2 5 2" xfId="13397"/>
    <cellStyle name="Normal 7 3 2 2 6" xfId="9173"/>
    <cellStyle name="Normal 7 3 2 3" xfId="893"/>
    <cellStyle name="Normal 7 3 2 3 2" xfId="1955"/>
    <cellStyle name="Normal 7 3 2 3 2 2" xfId="4067"/>
    <cellStyle name="Normal 7 3 2 3 2 2 2" xfId="8293"/>
    <cellStyle name="Normal 7 3 2 3 2 2 2 2" xfId="16741"/>
    <cellStyle name="Normal 7 3 2 3 2 2 3" xfId="12517"/>
    <cellStyle name="Normal 7 3 2 3 2 3" xfId="6181"/>
    <cellStyle name="Normal 7 3 2 3 2 3 2" xfId="14629"/>
    <cellStyle name="Normal 7 3 2 3 2 4" xfId="10405"/>
    <cellStyle name="Normal 7 3 2 3 3" xfId="3011"/>
    <cellStyle name="Normal 7 3 2 3 3 2" xfId="7237"/>
    <cellStyle name="Normal 7 3 2 3 3 2 2" xfId="15685"/>
    <cellStyle name="Normal 7 3 2 3 3 3" xfId="11461"/>
    <cellStyle name="Normal 7 3 2 3 4" xfId="5125"/>
    <cellStyle name="Normal 7 3 2 3 4 2" xfId="13573"/>
    <cellStyle name="Normal 7 3 2 3 5" xfId="9349"/>
    <cellStyle name="Normal 7 3 2 4" xfId="1245"/>
    <cellStyle name="Normal 7 3 2 4 2" xfId="2307"/>
    <cellStyle name="Normal 7 3 2 4 2 2" xfId="4419"/>
    <cellStyle name="Normal 7 3 2 4 2 2 2" xfId="8645"/>
    <cellStyle name="Normal 7 3 2 4 2 2 2 2" xfId="17093"/>
    <cellStyle name="Normal 7 3 2 4 2 2 3" xfId="12869"/>
    <cellStyle name="Normal 7 3 2 4 2 3" xfId="6533"/>
    <cellStyle name="Normal 7 3 2 4 2 3 2" xfId="14981"/>
    <cellStyle name="Normal 7 3 2 4 2 4" xfId="10757"/>
    <cellStyle name="Normal 7 3 2 4 3" xfId="3363"/>
    <cellStyle name="Normal 7 3 2 4 3 2" xfId="7589"/>
    <cellStyle name="Normal 7 3 2 4 3 2 2" xfId="16037"/>
    <cellStyle name="Normal 7 3 2 4 3 3" xfId="11813"/>
    <cellStyle name="Normal 7 3 2 4 4" xfId="5477"/>
    <cellStyle name="Normal 7 3 2 4 4 2" xfId="13925"/>
    <cellStyle name="Normal 7 3 2 4 5" xfId="9701"/>
    <cellStyle name="Normal 7 3 2 5" xfId="1427"/>
    <cellStyle name="Normal 7 3 2 5 2" xfId="2483"/>
    <cellStyle name="Normal 7 3 2 5 2 2" xfId="4595"/>
    <cellStyle name="Normal 7 3 2 5 2 2 2" xfId="8821"/>
    <cellStyle name="Normal 7 3 2 5 2 2 2 2" xfId="17269"/>
    <cellStyle name="Normal 7 3 2 5 2 2 3" xfId="13045"/>
    <cellStyle name="Normal 7 3 2 5 2 3" xfId="6709"/>
    <cellStyle name="Normal 7 3 2 5 2 3 2" xfId="15157"/>
    <cellStyle name="Normal 7 3 2 5 2 4" xfId="10933"/>
    <cellStyle name="Normal 7 3 2 5 3" xfId="3539"/>
    <cellStyle name="Normal 7 3 2 5 3 2" xfId="7765"/>
    <cellStyle name="Normal 7 3 2 5 3 2 2" xfId="16213"/>
    <cellStyle name="Normal 7 3 2 5 3 3" xfId="11989"/>
    <cellStyle name="Normal 7 3 2 5 4" xfId="5653"/>
    <cellStyle name="Normal 7 3 2 5 4 2" xfId="14101"/>
    <cellStyle name="Normal 7 3 2 5 5" xfId="9877"/>
    <cellStyle name="Normal 7 3 2 6" xfId="1603"/>
    <cellStyle name="Normal 7 3 2 6 2" xfId="3715"/>
    <cellStyle name="Normal 7 3 2 6 2 2" xfId="7941"/>
    <cellStyle name="Normal 7 3 2 6 2 2 2" xfId="16389"/>
    <cellStyle name="Normal 7 3 2 6 2 3" xfId="12165"/>
    <cellStyle name="Normal 7 3 2 6 3" xfId="5829"/>
    <cellStyle name="Normal 7 3 2 6 3 2" xfId="14277"/>
    <cellStyle name="Normal 7 3 2 6 4" xfId="10053"/>
    <cellStyle name="Normal 7 3 2 7" xfId="2659"/>
    <cellStyle name="Normal 7 3 2 7 2" xfId="6885"/>
    <cellStyle name="Normal 7 3 2 7 2 2" xfId="15333"/>
    <cellStyle name="Normal 7 3 2 7 3" xfId="11109"/>
    <cellStyle name="Normal 7 3 2 8" xfId="4772"/>
    <cellStyle name="Normal 7 3 2 8 2" xfId="13221"/>
    <cellStyle name="Normal 7 3 2 9" xfId="8997"/>
    <cellStyle name="Normal 7 3 3" xfId="426"/>
    <cellStyle name="Normal 7 3 3 2" xfId="718"/>
    <cellStyle name="Normal 7 3 3 2 2" xfId="1070"/>
    <cellStyle name="Normal 7 3 3 2 2 2" xfId="2132"/>
    <cellStyle name="Normal 7 3 3 2 2 2 2" xfId="4244"/>
    <cellStyle name="Normal 7 3 3 2 2 2 2 2" xfId="8470"/>
    <cellStyle name="Normal 7 3 3 2 2 2 2 2 2" xfId="16918"/>
    <cellStyle name="Normal 7 3 3 2 2 2 2 3" xfId="12694"/>
    <cellStyle name="Normal 7 3 3 2 2 2 3" xfId="6358"/>
    <cellStyle name="Normal 7 3 3 2 2 2 3 2" xfId="14806"/>
    <cellStyle name="Normal 7 3 3 2 2 2 4" xfId="10582"/>
    <cellStyle name="Normal 7 3 3 2 2 3" xfId="3188"/>
    <cellStyle name="Normal 7 3 3 2 2 3 2" xfId="7414"/>
    <cellStyle name="Normal 7 3 3 2 2 3 2 2" xfId="15862"/>
    <cellStyle name="Normal 7 3 3 2 2 3 3" xfId="11638"/>
    <cellStyle name="Normal 7 3 3 2 2 4" xfId="5302"/>
    <cellStyle name="Normal 7 3 3 2 2 4 2" xfId="13750"/>
    <cellStyle name="Normal 7 3 3 2 2 5" xfId="9526"/>
    <cellStyle name="Normal 7 3 3 2 3" xfId="1780"/>
    <cellStyle name="Normal 7 3 3 2 3 2" xfId="3892"/>
    <cellStyle name="Normal 7 3 3 2 3 2 2" xfId="8118"/>
    <cellStyle name="Normal 7 3 3 2 3 2 2 2" xfId="16566"/>
    <cellStyle name="Normal 7 3 3 2 3 2 3" xfId="12342"/>
    <cellStyle name="Normal 7 3 3 2 3 3" xfId="6006"/>
    <cellStyle name="Normal 7 3 3 2 3 3 2" xfId="14454"/>
    <cellStyle name="Normal 7 3 3 2 3 4" xfId="10230"/>
    <cellStyle name="Normal 7 3 3 2 4" xfId="2836"/>
    <cellStyle name="Normal 7 3 3 2 4 2" xfId="7062"/>
    <cellStyle name="Normal 7 3 3 2 4 2 2" xfId="15510"/>
    <cellStyle name="Normal 7 3 3 2 4 3" xfId="11286"/>
    <cellStyle name="Normal 7 3 3 2 5" xfId="4950"/>
    <cellStyle name="Normal 7 3 3 2 5 2" xfId="13398"/>
    <cellStyle name="Normal 7 3 3 2 6" xfId="9174"/>
    <cellStyle name="Normal 7 3 3 3" xfId="894"/>
    <cellStyle name="Normal 7 3 3 3 2" xfId="1956"/>
    <cellStyle name="Normal 7 3 3 3 2 2" xfId="4068"/>
    <cellStyle name="Normal 7 3 3 3 2 2 2" xfId="8294"/>
    <cellStyle name="Normal 7 3 3 3 2 2 2 2" xfId="16742"/>
    <cellStyle name="Normal 7 3 3 3 2 2 3" xfId="12518"/>
    <cellStyle name="Normal 7 3 3 3 2 3" xfId="6182"/>
    <cellStyle name="Normal 7 3 3 3 2 3 2" xfId="14630"/>
    <cellStyle name="Normal 7 3 3 3 2 4" xfId="10406"/>
    <cellStyle name="Normal 7 3 3 3 3" xfId="3012"/>
    <cellStyle name="Normal 7 3 3 3 3 2" xfId="7238"/>
    <cellStyle name="Normal 7 3 3 3 3 2 2" xfId="15686"/>
    <cellStyle name="Normal 7 3 3 3 3 3" xfId="11462"/>
    <cellStyle name="Normal 7 3 3 3 4" xfId="5126"/>
    <cellStyle name="Normal 7 3 3 3 4 2" xfId="13574"/>
    <cellStyle name="Normal 7 3 3 3 5" xfId="9350"/>
    <cellStyle name="Normal 7 3 3 4" xfId="1246"/>
    <cellStyle name="Normal 7 3 3 4 2" xfId="2308"/>
    <cellStyle name="Normal 7 3 3 4 2 2" xfId="4420"/>
    <cellStyle name="Normal 7 3 3 4 2 2 2" xfId="8646"/>
    <cellStyle name="Normal 7 3 3 4 2 2 2 2" xfId="17094"/>
    <cellStyle name="Normal 7 3 3 4 2 2 3" xfId="12870"/>
    <cellStyle name="Normal 7 3 3 4 2 3" xfId="6534"/>
    <cellStyle name="Normal 7 3 3 4 2 3 2" xfId="14982"/>
    <cellStyle name="Normal 7 3 3 4 2 4" xfId="10758"/>
    <cellStyle name="Normal 7 3 3 4 3" xfId="3364"/>
    <cellStyle name="Normal 7 3 3 4 3 2" xfId="7590"/>
    <cellStyle name="Normal 7 3 3 4 3 2 2" xfId="16038"/>
    <cellStyle name="Normal 7 3 3 4 3 3" xfId="11814"/>
    <cellStyle name="Normal 7 3 3 4 4" xfId="5478"/>
    <cellStyle name="Normal 7 3 3 4 4 2" xfId="13926"/>
    <cellStyle name="Normal 7 3 3 4 5" xfId="9702"/>
    <cellStyle name="Normal 7 3 3 5" xfId="1428"/>
    <cellStyle name="Normal 7 3 3 5 2" xfId="2484"/>
    <cellStyle name="Normal 7 3 3 5 2 2" xfId="4596"/>
    <cellStyle name="Normal 7 3 3 5 2 2 2" xfId="8822"/>
    <cellStyle name="Normal 7 3 3 5 2 2 2 2" xfId="17270"/>
    <cellStyle name="Normal 7 3 3 5 2 2 3" xfId="13046"/>
    <cellStyle name="Normal 7 3 3 5 2 3" xfId="6710"/>
    <cellStyle name="Normal 7 3 3 5 2 3 2" xfId="15158"/>
    <cellStyle name="Normal 7 3 3 5 2 4" xfId="10934"/>
    <cellStyle name="Normal 7 3 3 5 3" xfId="3540"/>
    <cellStyle name="Normal 7 3 3 5 3 2" xfId="7766"/>
    <cellStyle name="Normal 7 3 3 5 3 2 2" xfId="16214"/>
    <cellStyle name="Normal 7 3 3 5 3 3" xfId="11990"/>
    <cellStyle name="Normal 7 3 3 5 4" xfId="5654"/>
    <cellStyle name="Normal 7 3 3 5 4 2" xfId="14102"/>
    <cellStyle name="Normal 7 3 3 5 5" xfId="9878"/>
    <cellStyle name="Normal 7 3 3 6" xfId="1604"/>
    <cellStyle name="Normal 7 3 3 6 2" xfId="3716"/>
    <cellStyle name="Normal 7 3 3 6 2 2" xfId="7942"/>
    <cellStyle name="Normal 7 3 3 6 2 2 2" xfId="16390"/>
    <cellStyle name="Normal 7 3 3 6 2 3" xfId="12166"/>
    <cellStyle name="Normal 7 3 3 6 3" xfId="5830"/>
    <cellStyle name="Normal 7 3 3 6 3 2" xfId="14278"/>
    <cellStyle name="Normal 7 3 3 6 4" xfId="10054"/>
    <cellStyle name="Normal 7 3 3 7" xfId="2660"/>
    <cellStyle name="Normal 7 3 3 7 2" xfId="6886"/>
    <cellStyle name="Normal 7 3 3 7 2 2" xfId="15334"/>
    <cellStyle name="Normal 7 3 3 7 3" xfId="11110"/>
    <cellStyle name="Normal 7 3 3 8" xfId="4773"/>
    <cellStyle name="Normal 7 3 3 8 2" xfId="13222"/>
    <cellStyle name="Normal 7 3 3 9" xfId="8998"/>
    <cellStyle name="Normal 7 3 4" xfId="716"/>
    <cellStyle name="Normal 7 3 4 2" xfId="1068"/>
    <cellStyle name="Normal 7 3 4 2 2" xfId="2130"/>
    <cellStyle name="Normal 7 3 4 2 2 2" xfId="4242"/>
    <cellStyle name="Normal 7 3 4 2 2 2 2" xfId="8468"/>
    <cellStyle name="Normal 7 3 4 2 2 2 2 2" xfId="16916"/>
    <cellStyle name="Normal 7 3 4 2 2 2 3" xfId="12692"/>
    <cellStyle name="Normal 7 3 4 2 2 3" xfId="6356"/>
    <cellStyle name="Normal 7 3 4 2 2 3 2" xfId="14804"/>
    <cellStyle name="Normal 7 3 4 2 2 4" xfId="10580"/>
    <cellStyle name="Normal 7 3 4 2 3" xfId="3186"/>
    <cellStyle name="Normal 7 3 4 2 3 2" xfId="7412"/>
    <cellStyle name="Normal 7 3 4 2 3 2 2" xfId="15860"/>
    <cellStyle name="Normal 7 3 4 2 3 3" xfId="11636"/>
    <cellStyle name="Normal 7 3 4 2 4" xfId="5300"/>
    <cellStyle name="Normal 7 3 4 2 4 2" xfId="13748"/>
    <cellStyle name="Normal 7 3 4 2 5" xfId="9524"/>
    <cellStyle name="Normal 7 3 4 3" xfId="1778"/>
    <cellStyle name="Normal 7 3 4 3 2" xfId="3890"/>
    <cellStyle name="Normal 7 3 4 3 2 2" xfId="8116"/>
    <cellStyle name="Normal 7 3 4 3 2 2 2" xfId="16564"/>
    <cellStyle name="Normal 7 3 4 3 2 3" xfId="12340"/>
    <cellStyle name="Normal 7 3 4 3 3" xfId="6004"/>
    <cellStyle name="Normal 7 3 4 3 3 2" xfId="14452"/>
    <cellStyle name="Normal 7 3 4 3 4" xfId="10228"/>
    <cellStyle name="Normal 7 3 4 4" xfId="2834"/>
    <cellStyle name="Normal 7 3 4 4 2" xfId="7060"/>
    <cellStyle name="Normal 7 3 4 4 2 2" xfId="15508"/>
    <cellStyle name="Normal 7 3 4 4 3" xfId="11284"/>
    <cellStyle name="Normal 7 3 4 5" xfId="4948"/>
    <cellStyle name="Normal 7 3 4 5 2" xfId="13396"/>
    <cellStyle name="Normal 7 3 4 6" xfId="9172"/>
    <cellStyle name="Normal 7 3 5" xfId="892"/>
    <cellStyle name="Normal 7 3 5 2" xfId="1954"/>
    <cellStyle name="Normal 7 3 5 2 2" xfId="4066"/>
    <cellStyle name="Normal 7 3 5 2 2 2" xfId="8292"/>
    <cellStyle name="Normal 7 3 5 2 2 2 2" xfId="16740"/>
    <cellStyle name="Normal 7 3 5 2 2 3" xfId="12516"/>
    <cellStyle name="Normal 7 3 5 2 3" xfId="6180"/>
    <cellStyle name="Normal 7 3 5 2 3 2" xfId="14628"/>
    <cellStyle name="Normal 7 3 5 2 4" xfId="10404"/>
    <cellStyle name="Normal 7 3 5 3" xfId="3010"/>
    <cellStyle name="Normal 7 3 5 3 2" xfId="7236"/>
    <cellStyle name="Normal 7 3 5 3 2 2" xfId="15684"/>
    <cellStyle name="Normal 7 3 5 3 3" xfId="11460"/>
    <cellStyle name="Normal 7 3 5 4" xfId="5124"/>
    <cellStyle name="Normal 7 3 5 4 2" xfId="13572"/>
    <cellStyle name="Normal 7 3 5 5" xfId="9348"/>
    <cellStyle name="Normal 7 3 6" xfId="1244"/>
    <cellStyle name="Normal 7 3 6 2" xfId="2306"/>
    <cellStyle name="Normal 7 3 6 2 2" xfId="4418"/>
    <cellStyle name="Normal 7 3 6 2 2 2" xfId="8644"/>
    <cellStyle name="Normal 7 3 6 2 2 2 2" xfId="17092"/>
    <cellStyle name="Normal 7 3 6 2 2 3" xfId="12868"/>
    <cellStyle name="Normal 7 3 6 2 3" xfId="6532"/>
    <cellStyle name="Normal 7 3 6 2 3 2" xfId="14980"/>
    <cellStyle name="Normal 7 3 6 2 4" xfId="10756"/>
    <cellStyle name="Normal 7 3 6 3" xfId="3362"/>
    <cellStyle name="Normal 7 3 6 3 2" xfId="7588"/>
    <cellStyle name="Normal 7 3 6 3 2 2" xfId="16036"/>
    <cellStyle name="Normal 7 3 6 3 3" xfId="11812"/>
    <cellStyle name="Normal 7 3 6 4" xfId="5476"/>
    <cellStyle name="Normal 7 3 6 4 2" xfId="13924"/>
    <cellStyle name="Normal 7 3 6 5" xfId="9700"/>
    <cellStyle name="Normal 7 3 7" xfId="1426"/>
    <cellStyle name="Normal 7 3 7 2" xfId="2482"/>
    <cellStyle name="Normal 7 3 7 2 2" xfId="4594"/>
    <cellStyle name="Normal 7 3 7 2 2 2" xfId="8820"/>
    <cellStyle name="Normal 7 3 7 2 2 2 2" xfId="17268"/>
    <cellStyle name="Normal 7 3 7 2 2 3" xfId="13044"/>
    <cellStyle name="Normal 7 3 7 2 3" xfId="6708"/>
    <cellStyle name="Normal 7 3 7 2 3 2" xfId="15156"/>
    <cellStyle name="Normal 7 3 7 2 4" xfId="10932"/>
    <cellStyle name="Normal 7 3 7 3" xfId="3538"/>
    <cellStyle name="Normal 7 3 7 3 2" xfId="7764"/>
    <cellStyle name="Normal 7 3 7 3 2 2" xfId="16212"/>
    <cellStyle name="Normal 7 3 7 3 3" xfId="11988"/>
    <cellStyle name="Normal 7 3 7 4" xfId="5652"/>
    <cellStyle name="Normal 7 3 7 4 2" xfId="14100"/>
    <cellStyle name="Normal 7 3 7 5" xfId="9876"/>
    <cellStyle name="Normal 7 3 8" xfId="1602"/>
    <cellStyle name="Normal 7 3 8 2" xfId="3714"/>
    <cellStyle name="Normal 7 3 8 2 2" xfId="7940"/>
    <cellStyle name="Normal 7 3 8 2 2 2" xfId="16388"/>
    <cellStyle name="Normal 7 3 8 2 3" xfId="12164"/>
    <cellStyle name="Normal 7 3 8 3" xfId="5828"/>
    <cellStyle name="Normal 7 3 8 3 2" xfId="14276"/>
    <cellStyle name="Normal 7 3 8 4" xfId="10052"/>
    <cellStyle name="Normal 7 3 9" xfId="2658"/>
    <cellStyle name="Normal 7 3 9 2" xfId="6884"/>
    <cellStyle name="Normal 7 3 9 2 2" xfId="15332"/>
    <cellStyle name="Normal 7 3 9 3" xfId="11108"/>
    <cellStyle name="Normal 7 4" xfId="17433"/>
    <cellStyle name="Normal 8" xfId="427"/>
    <cellStyle name="Normal 8 10" xfId="1429"/>
    <cellStyle name="Normal 8 10 2" xfId="2485"/>
    <cellStyle name="Normal 8 10 2 2" xfId="4597"/>
    <cellStyle name="Normal 8 10 2 2 2" xfId="8823"/>
    <cellStyle name="Normal 8 10 2 2 2 2" xfId="17271"/>
    <cellStyle name="Normal 8 10 2 2 3" xfId="13047"/>
    <cellStyle name="Normal 8 10 2 3" xfId="6711"/>
    <cellStyle name="Normal 8 10 2 3 2" xfId="15159"/>
    <cellStyle name="Normal 8 10 2 4" xfId="10935"/>
    <cellStyle name="Normal 8 10 3" xfId="3541"/>
    <cellStyle name="Normal 8 10 3 2" xfId="7767"/>
    <cellStyle name="Normal 8 10 3 2 2" xfId="16215"/>
    <cellStyle name="Normal 8 10 3 3" xfId="11991"/>
    <cellStyle name="Normal 8 10 4" xfId="5655"/>
    <cellStyle name="Normal 8 10 4 2" xfId="14103"/>
    <cellStyle name="Normal 8 10 5" xfId="9879"/>
    <cellStyle name="Normal 8 11" xfId="1605"/>
    <cellStyle name="Normal 8 11 2" xfId="3717"/>
    <cellStyle name="Normal 8 11 2 2" xfId="7943"/>
    <cellStyle name="Normal 8 11 2 2 2" xfId="16391"/>
    <cellStyle name="Normal 8 11 2 3" xfId="12167"/>
    <cellStyle name="Normal 8 11 3" xfId="5831"/>
    <cellStyle name="Normal 8 11 3 2" xfId="14279"/>
    <cellStyle name="Normal 8 11 4" xfId="10055"/>
    <cellStyle name="Normal 8 12" xfId="2661"/>
    <cellStyle name="Normal 8 12 2" xfId="6887"/>
    <cellStyle name="Normal 8 12 2 2" xfId="15335"/>
    <cellStyle name="Normal 8 12 3" xfId="11111"/>
    <cellStyle name="Normal 8 13" xfId="4774"/>
    <cellStyle name="Normal 8 13 2" xfId="13223"/>
    <cellStyle name="Normal 8 14" xfId="8999"/>
    <cellStyle name="Normal 8 2" xfId="428"/>
    <cellStyle name="Normal 8 2 10" xfId="4775"/>
    <cellStyle name="Normal 8 2 10 2" xfId="13224"/>
    <cellStyle name="Normal 8 2 11" xfId="9000"/>
    <cellStyle name="Normal 8 2 2" xfId="429"/>
    <cellStyle name="Normal 8 2 2 2" xfId="721"/>
    <cellStyle name="Normal 8 2 2 2 2" xfId="1073"/>
    <cellStyle name="Normal 8 2 2 2 2 2" xfId="2135"/>
    <cellStyle name="Normal 8 2 2 2 2 2 2" xfId="4247"/>
    <cellStyle name="Normal 8 2 2 2 2 2 2 2" xfId="8473"/>
    <cellStyle name="Normal 8 2 2 2 2 2 2 2 2" xfId="16921"/>
    <cellStyle name="Normal 8 2 2 2 2 2 2 3" xfId="12697"/>
    <cellStyle name="Normal 8 2 2 2 2 2 3" xfId="6361"/>
    <cellStyle name="Normal 8 2 2 2 2 2 3 2" xfId="14809"/>
    <cellStyle name="Normal 8 2 2 2 2 2 4" xfId="10585"/>
    <cellStyle name="Normal 8 2 2 2 2 3" xfId="3191"/>
    <cellStyle name="Normal 8 2 2 2 2 3 2" xfId="7417"/>
    <cellStyle name="Normal 8 2 2 2 2 3 2 2" xfId="15865"/>
    <cellStyle name="Normal 8 2 2 2 2 3 3" xfId="11641"/>
    <cellStyle name="Normal 8 2 2 2 2 4" xfId="5305"/>
    <cellStyle name="Normal 8 2 2 2 2 4 2" xfId="13753"/>
    <cellStyle name="Normal 8 2 2 2 2 5" xfId="9529"/>
    <cellStyle name="Normal 8 2 2 2 3" xfId="1783"/>
    <cellStyle name="Normal 8 2 2 2 3 2" xfId="3895"/>
    <cellStyle name="Normal 8 2 2 2 3 2 2" xfId="8121"/>
    <cellStyle name="Normal 8 2 2 2 3 2 2 2" xfId="16569"/>
    <cellStyle name="Normal 8 2 2 2 3 2 3" xfId="12345"/>
    <cellStyle name="Normal 8 2 2 2 3 3" xfId="6009"/>
    <cellStyle name="Normal 8 2 2 2 3 3 2" xfId="14457"/>
    <cellStyle name="Normal 8 2 2 2 3 4" xfId="10233"/>
    <cellStyle name="Normal 8 2 2 2 4" xfId="2839"/>
    <cellStyle name="Normal 8 2 2 2 4 2" xfId="7065"/>
    <cellStyle name="Normal 8 2 2 2 4 2 2" xfId="15513"/>
    <cellStyle name="Normal 8 2 2 2 4 3" xfId="11289"/>
    <cellStyle name="Normal 8 2 2 2 5" xfId="4953"/>
    <cellStyle name="Normal 8 2 2 2 5 2" xfId="13401"/>
    <cellStyle name="Normal 8 2 2 2 6" xfId="9177"/>
    <cellStyle name="Normal 8 2 2 3" xfId="897"/>
    <cellStyle name="Normal 8 2 2 3 2" xfId="1959"/>
    <cellStyle name="Normal 8 2 2 3 2 2" xfId="4071"/>
    <cellStyle name="Normal 8 2 2 3 2 2 2" xfId="8297"/>
    <cellStyle name="Normal 8 2 2 3 2 2 2 2" xfId="16745"/>
    <cellStyle name="Normal 8 2 2 3 2 2 3" xfId="12521"/>
    <cellStyle name="Normal 8 2 2 3 2 3" xfId="6185"/>
    <cellStyle name="Normal 8 2 2 3 2 3 2" xfId="14633"/>
    <cellStyle name="Normal 8 2 2 3 2 4" xfId="10409"/>
    <cellStyle name="Normal 8 2 2 3 3" xfId="3015"/>
    <cellStyle name="Normal 8 2 2 3 3 2" xfId="7241"/>
    <cellStyle name="Normal 8 2 2 3 3 2 2" xfId="15689"/>
    <cellStyle name="Normal 8 2 2 3 3 3" xfId="11465"/>
    <cellStyle name="Normal 8 2 2 3 4" xfId="5129"/>
    <cellStyle name="Normal 8 2 2 3 4 2" xfId="13577"/>
    <cellStyle name="Normal 8 2 2 3 5" xfId="9353"/>
    <cellStyle name="Normal 8 2 2 4" xfId="1249"/>
    <cellStyle name="Normal 8 2 2 4 2" xfId="2311"/>
    <cellStyle name="Normal 8 2 2 4 2 2" xfId="4423"/>
    <cellStyle name="Normal 8 2 2 4 2 2 2" xfId="8649"/>
    <cellStyle name="Normal 8 2 2 4 2 2 2 2" xfId="17097"/>
    <cellStyle name="Normal 8 2 2 4 2 2 3" xfId="12873"/>
    <cellStyle name="Normal 8 2 2 4 2 3" xfId="6537"/>
    <cellStyle name="Normal 8 2 2 4 2 3 2" xfId="14985"/>
    <cellStyle name="Normal 8 2 2 4 2 4" xfId="10761"/>
    <cellStyle name="Normal 8 2 2 4 3" xfId="3367"/>
    <cellStyle name="Normal 8 2 2 4 3 2" xfId="7593"/>
    <cellStyle name="Normal 8 2 2 4 3 2 2" xfId="16041"/>
    <cellStyle name="Normal 8 2 2 4 3 3" xfId="11817"/>
    <cellStyle name="Normal 8 2 2 4 4" xfId="5481"/>
    <cellStyle name="Normal 8 2 2 4 4 2" xfId="13929"/>
    <cellStyle name="Normal 8 2 2 4 5" xfId="9705"/>
    <cellStyle name="Normal 8 2 2 5" xfId="1431"/>
    <cellStyle name="Normal 8 2 2 5 2" xfId="2487"/>
    <cellStyle name="Normal 8 2 2 5 2 2" xfId="4599"/>
    <cellStyle name="Normal 8 2 2 5 2 2 2" xfId="8825"/>
    <cellStyle name="Normal 8 2 2 5 2 2 2 2" xfId="17273"/>
    <cellStyle name="Normal 8 2 2 5 2 2 3" xfId="13049"/>
    <cellStyle name="Normal 8 2 2 5 2 3" xfId="6713"/>
    <cellStyle name="Normal 8 2 2 5 2 3 2" xfId="15161"/>
    <cellStyle name="Normal 8 2 2 5 2 4" xfId="10937"/>
    <cellStyle name="Normal 8 2 2 5 3" xfId="3543"/>
    <cellStyle name="Normal 8 2 2 5 3 2" xfId="7769"/>
    <cellStyle name="Normal 8 2 2 5 3 2 2" xfId="16217"/>
    <cellStyle name="Normal 8 2 2 5 3 3" xfId="11993"/>
    <cellStyle name="Normal 8 2 2 5 4" xfId="5657"/>
    <cellStyle name="Normal 8 2 2 5 4 2" xfId="14105"/>
    <cellStyle name="Normal 8 2 2 5 5" xfId="9881"/>
    <cellStyle name="Normal 8 2 2 6" xfId="1607"/>
    <cellStyle name="Normal 8 2 2 6 2" xfId="3719"/>
    <cellStyle name="Normal 8 2 2 6 2 2" xfId="7945"/>
    <cellStyle name="Normal 8 2 2 6 2 2 2" xfId="16393"/>
    <cellStyle name="Normal 8 2 2 6 2 3" xfId="12169"/>
    <cellStyle name="Normal 8 2 2 6 3" xfId="5833"/>
    <cellStyle name="Normal 8 2 2 6 3 2" xfId="14281"/>
    <cellStyle name="Normal 8 2 2 6 4" xfId="10057"/>
    <cellStyle name="Normal 8 2 2 7" xfId="2663"/>
    <cellStyle name="Normal 8 2 2 7 2" xfId="6889"/>
    <cellStyle name="Normal 8 2 2 7 2 2" xfId="15337"/>
    <cellStyle name="Normal 8 2 2 7 3" xfId="11113"/>
    <cellStyle name="Normal 8 2 2 8" xfId="4776"/>
    <cellStyle name="Normal 8 2 2 8 2" xfId="13225"/>
    <cellStyle name="Normal 8 2 2 9" xfId="9001"/>
    <cellStyle name="Normal 8 2 3" xfId="430"/>
    <cellStyle name="Normal 8 2 3 2" xfId="722"/>
    <cellStyle name="Normal 8 2 3 2 2" xfId="1074"/>
    <cellStyle name="Normal 8 2 3 2 2 2" xfId="2136"/>
    <cellStyle name="Normal 8 2 3 2 2 2 2" xfId="4248"/>
    <cellStyle name="Normal 8 2 3 2 2 2 2 2" xfId="8474"/>
    <cellStyle name="Normal 8 2 3 2 2 2 2 2 2" xfId="16922"/>
    <cellStyle name="Normal 8 2 3 2 2 2 2 3" xfId="12698"/>
    <cellStyle name="Normal 8 2 3 2 2 2 3" xfId="6362"/>
    <cellStyle name="Normal 8 2 3 2 2 2 3 2" xfId="14810"/>
    <cellStyle name="Normal 8 2 3 2 2 2 4" xfId="10586"/>
    <cellStyle name="Normal 8 2 3 2 2 3" xfId="3192"/>
    <cellStyle name="Normal 8 2 3 2 2 3 2" xfId="7418"/>
    <cellStyle name="Normal 8 2 3 2 2 3 2 2" xfId="15866"/>
    <cellStyle name="Normal 8 2 3 2 2 3 3" xfId="11642"/>
    <cellStyle name="Normal 8 2 3 2 2 4" xfId="5306"/>
    <cellStyle name="Normal 8 2 3 2 2 4 2" xfId="13754"/>
    <cellStyle name="Normal 8 2 3 2 2 5" xfId="9530"/>
    <cellStyle name="Normal 8 2 3 2 3" xfId="1784"/>
    <cellStyle name="Normal 8 2 3 2 3 2" xfId="3896"/>
    <cellStyle name="Normal 8 2 3 2 3 2 2" xfId="8122"/>
    <cellStyle name="Normal 8 2 3 2 3 2 2 2" xfId="16570"/>
    <cellStyle name="Normal 8 2 3 2 3 2 3" xfId="12346"/>
    <cellStyle name="Normal 8 2 3 2 3 3" xfId="6010"/>
    <cellStyle name="Normal 8 2 3 2 3 3 2" xfId="14458"/>
    <cellStyle name="Normal 8 2 3 2 3 4" xfId="10234"/>
    <cellStyle name="Normal 8 2 3 2 4" xfId="2840"/>
    <cellStyle name="Normal 8 2 3 2 4 2" xfId="7066"/>
    <cellStyle name="Normal 8 2 3 2 4 2 2" xfId="15514"/>
    <cellStyle name="Normal 8 2 3 2 4 3" xfId="11290"/>
    <cellStyle name="Normal 8 2 3 2 5" xfId="4954"/>
    <cellStyle name="Normal 8 2 3 2 5 2" xfId="13402"/>
    <cellStyle name="Normal 8 2 3 2 6" xfId="9178"/>
    <cellStyle name="Normal 8 2 3 3" xfId="898"/>
    <cellStyle name="Normal 8 2 3 3 2" xfId="1960"/>
    <cellStyle name="Normal 8 2 3 3 2 2" xfId="4072"/>
    <cellStyle name="Normal 8 2 3 3 2 2 2" xfId="8298"/>
    <cellStyle name="Normal 8 2 3 3 2 2 2 2" xfId="16746"/>
    <cellStyle name="Normal 8 2 3 3 2 2 3" xfId="12522"/>
    <cellStyle name="Normal 8 2 3 3 2 3" xfId="6186"/>
    <cellStyle name="Normal 8 2 3 3 2 3 2" xfId="14634"/>
    <cellStyle name="Normal 8 2 3 3 2 4" xfId="10410"/>
    <cellStyle name="Normal 8 2 3 3 3" xfId="3016"/>
    <cellStyle name="Normal 8 2 3 3 3 2" xfId="7242"/>
    <cellStyle name="Normal 8 2 3 3 3 2 2" xfId="15690"/>
    <cellStyle name="Normal 8 2 3 3 3 3" xfId="11466"/>
    <cellStyle name="Normal 8 2 3 3 4" xfId="5130"/>
    <cellStyle name="Normal 8 2 3 3 4 2" xfId="13578"/>
    <cellStyle name="Normal 8 2 3 3 5" xfId="9354"/>
    <cellStyle name="Normal 8 2 3 4" xfId="1250"/>
    <cellStyle name="Normal 8 2 3 4 2" xfId="2312"/>
    <cellStyle name="Normal 8 2 3 4 2 2" xfId="4424"/>
    <cellStyle name="Normal 8 2 3 4 2 2 2" xfId="8650"/>
    <cellStyle name="Normal 8 2 3 4 2 2 2 2" xfId="17098"/>
    <cellStyle name="Normal 8 2 3 4 2 2 3" xfId="12874"/>
    <cellStyle name="Normal 8 2 3 4 2 3" xfId="6538"/>
    <cellStyle name="Normal 8 2 3 4 2 3 2" xfId="14986"/>
    <cellStyle name="Normal 8 2 3 4 2 4" xfId="10762"/>
    <cellStyle name="Normal 8 2 3 4 3" xfId="3368"/>
    <cellStyle name="Normal 8 2 3 4 3 2" xfId="7594"/>
    <cellStyle name="Normal 8 2 3 4 3 2 2" xfId="16042"/>
    <cellStyle name="Normal 8 2 3 4 3 3" xfId="11818"/>
    <cellStyle name="Normal 8 2 3 4 4" xfId="5482"/>
    <cellStyle name="Normal 8 2 3 4 4 2" xfId="13930"/>
    <cellStyle name="Normal 8 2 3 4 5" xfId="9706"/>
    <cellStyle name="Normal 8 2 3 5" xfId="1432"/>
    <cellStyle name="Normal 8 2 3 5 2" xfId="2488"/>
    <cellStyle name="Normal 8 2 3 5 2 2" xfId="4600"/>
    <cellStyle name="Normal 8 2 3 5 2 2 2" xfId="8826"/>
    <cellStyle name="Normal 8 2 3 5 2 2 2 2" xfId="17274"/>
    <cellStyle name="Normal 8 2 3 5 2 2 3" xfId="13050"/>
    <cellStyle name="Normal 8 2 3 5 2 3" xfId="6714"/>
    <cellStyle name="Normal 8 2 3 5 2 3 2" xfId="15162"/>
    <cellStyle name="Normal 8 2 3 5 2 4" xfId="10938"/>
    <cellStyle name="Normal 8 2 3 5 3" xfId="3544"/>
    <cellStyle name="Normal 8 2 3 5 3 2" xfId="7770"/>
    <cellStyle name="Normal 8 2 3 5 3 2 2" xfId="16218"/>
    <cellStyle name="Normal 8 2 3 5 3 3" xfId="11994"/>
    <cellStyle name="Normal 8 2 3 5 4" xfId="5658"/>
    <cellStyle name="Normal 8 2 3 5 4 2" xfId="14106"/>
    <cellStyle name="Normal 8 2 3 5 5" xfId="9882"/>
    <cellStyle name="Normal 8 2 3 6" xfId="1608"/>
    <cellStyle name="Normal 8 2 3 6 2" xfId="3720"/>
    <cellStyle name="Normal 8 2 3 6 2 2" xfId="7946"/>
    <cellStyle name="Normal 8 2 3 6 2 2 2" xfId="16394"/>
    <cellStyle name="Normal 8 2 3 6 2 3" xfId="12170"/>
    <cellStyle name="Normal 8 2 3 6 3" xfId="5834"/>
    <cellStyle name="Normal 8 2 3 6 3 2" xfId="14282"/>
    <cellStyle name="Normal 8 2 3 6 4" xfId="10058"/>
    <cellStyle name="Normal 8 2 3 7" xfId="2664"/>
    <cellStyle name="Normal 8 2 3 7 2" xfId="6890"/>
    <cellStyle name="Normal 8 2 3 7 2 2" xfId="15338"/>
    <cellStyle name="Normal 8 2 3 7 3" xfId="11114"/>
    <cellStyle name="Normal 8 2 3 8" xfId="4777"/>
    <cellStyle name="Normal 8 2 3 8 2" xfId="13226"/>
    <cellStyle name="Normal 8 2 3 9" xfId="9002"/>
    <cellStyle name="Normal 8 2 4" xfId="720"/>
    <cellStyle name="Normal 8 2 4 2" xfId="1072"/>
    <cellStyle name="Normal 8 2 4 2 2" xfId="2134"/>
    <cellStyle name="Normal 8 2 4 2 2 2" xfId="4246"/>
    <cellStyle name="Normal 8 2 4 2 2 2 2" xfId="8472"/>
    <cellStyle name="Normal 8 2 4 2 2 2 2 2" xfId="16920"/>
    <cellStyle name="Normal 8 2 4 2 2 2 3" xfId="12696"/>
    <cellStyle name="Normal 8 2 4 2 2 3" xfId="6360"/>
    <cellStyle name="Normal 8 2 4 2 2 3 2" xfId="14808"/>
    <cellStyle name="Normal 8 2 4 2 2 4" xfId="10584"/>
    <cellStyle name="Normal 8 2 4 2 3" xfId="3190"/>
    <cellStyle name="Normal 8 2 4 2 3 2" xfId="7416"/>
    <cellStyle name="Normal 8 2 4 2 3 2 2" xfId="15864"/>
    <cellStyle name="Normal 8 2 4 2 3 3" xfId="11640"/>
    <cellStyle name="Normal 8 2 4 2 4" xfId="5304"/>
    <cellStyle name="Normal 8 2 4 2 4 2" xfId="13752"/>
    <cellStyle name="Normal 8 2 4 2 5" xfId="9528"/>
    <cellStyle name="Normal 8 2 4 3" xfId="1782"/>
    <cellStyle name="Normal 8 2 4 3 2" xfId="3894"/>
    <cellStyle name="Normal 8 2 4 3 2 2" xfId="8120"/>
    <cellStyle name="Normal 8 2 4 3 2 2 2" xfId="16568"/>
    <cellStyle name="Normal 8 2 4 3 2 3" xfId="12344"/>
    <cellStyle name="Normal 8 2 4 3 3" xfId="6008"/>
    <cellStyle name="Normal 8 2 4 3 3 2" xfId="14456"/>
    <cellStyle name="Normal 8 2 4 3 4" xfId="10232"/>
    <cellStyle name="Normal 8 2 4 4" xfId="2838"/>
    <cellStyle name="Normal 8 2 4 4 2" xfId="7064"/>
    <cellStyle name="Normal 8 2 4 4 2 2" xfId="15512"/>
    <cellStyle name="Normal 8 2 4 4 3" xfId="11288"/>
    <cellStyle name="Normal 8 2 4 5" xfId="4952"/>
    <cellStyle name="Normal 8 2 4 5 2" xfId="13400"/>
    <cellStyle name="Normal 8 2 4 6" xfId="9176"/>
    <cellStyle name="Normal 8 2 5" xfId="896"/>
    <cellStyle name="Normal 8 2 5 2" xfId="1958"/>
    <cellStyle name="Normal 8 2 5 2 2" xfId="4070"/>
    <cellStyle name="Normal 8 2 5 2 2 2" xfId="8296"/>
    <cellStyle name="Normal 8 2 5 2 2 2 2" xfId="16744"/>
    <cellStyle name="Normal 8 2 5 2 2 3" xfId="12520"/>
    <cellStyle name="Normal 8 2 5 2 3" xfId="6184"/>
    <cellStyle name="Normal 8 2 5 2 3 2" xfId="14632"/>
    <cellStyle name="Normal 8 2 5 2 4" xfId="10408"/>
    <cellStyle name="Normal 8 2 5 3" xfId="3014"/>
    <cellStyle name="Normal 8 2 5 3 2" xfId="7240"/>
    <cellStyle name="Normal 8 2 5 3 2 2" xfId="15688"/>
    <cellStyle name="Normal 8 2 5 3 3" xfId="11464"/>
    <cellStyle name="Normal 8 2 5 4" xfId="5128"/>
    <cellStyle name="Normal 8 2 5 4 2" xfId="13576"/>
    <cellStyle name="Normal 8 2 5 5" xfId="9352"/>
    <cellStyle name="Normal 8 2 6" xfId="1248"/>
    <cellStyle name="Normal 8 2 6 2" xfId="2310"/>
    <cellStyle name="Normal 8 2 6 2 2" xfId="4422"/>
    <cellStyle name="Normal 8 2 6 2 2 2" xfId="8648"/>
    <cellStyle name="Normal 8 2 6 2 2 2 2" xfId="17096"/>
    <cellStyle name="Normal 8 2 6 2 2 3" xfId="12872"/>
    <cellStyle name="Normal 8 2 6 2 3" xfId="6536"/>
    <cellStyle name="Normal 8 2 6 2 3 2" xfId="14984"/>
    <cellStyle name="Normal 8 2 6 2 4" xfId="10760"/>
    <cellStyle name="Normal 8 2 6 3" xfId="3366"/>
    <cellStyle name="Normal 8 2 6 3 2" xfId="7592"/>
    <cellStyle name="Normal 8 2 6 3 2 2" xfId="16040"/>
    <cellStyle name="Normal 8 2 6 3 3" xfId="11816"/>
    <cellStyle name="Normal 8 2 6 4" xfId="5480"/>
    <cellStyle name="Normal 8 2 6 4 2" xfId="13928"/>
    <cellStyle name="Normal 8 2 6 5" xfId="9704"/>
    <cellStyle name="Normal 8 2 7" xfId="1430"/>
    <cellStyle name="Normal 8 2 7 2" xfId="2486"/>
    <cellStyle name="Normal 8 2 7 2 2" xfId="4598"/>
    <cellStyle name="Normal 8 2 7 2 2 2" xfId="8824"/>
    <cellStyle name="Normal 8 2 7 2 2 2 2" xfId="17272"/>
    <cellStyle name="Normal 8 2 7 2 2 3" xfId="13048"/>
    <cellStyle name="Normal 8 2 7 2 3" xfId="6712"/>
    <cellStyle name="Normal 8 2 7 2 3 2" xfId="15160"/>
    <cellStyle name="Normal 8 2 7 2 4" xfId="10936"/>
    <cellStyle name="Normal 8 2 7 3" xfId="3542"/>
    <cellStyle name="Normal 8 2 7 3 2" xfId="7768"/>
    <cellStyle name="Normal 8 2 7 3 2 2" xfId="16216"/>
    <cellStyle name="Normal 8 2 7 3 3" xfId="11992"/>
    <cellStyle name="Normal 8 2 7 4" xfId="5656"/>
    <cellStyle name="Normal 8 2 7 4 2" xfId="14104"/>
    <cellStyle name="Normal 8 2 7 5" xfId="9880"/>
    <cellStyle name="Normal 8 2 8" xfId="1606"/>
    <cellStyle name="Normal 8 2 8 2" xfId="3718"/>
    <cellStyle name="Normal 8 2 8 2 2" xfId="7944"/>
    <cellStyle name="Normal 8 2 8 2 2 2" xfId="16392"/>
    <cellStyle name="Normal 8 2 8 2 3" xfId="12168"/>
    <cellStyle name="Normal 8 2 8 3" xfId="5832"/>
    <cellStyle name="Normal 8 2 8 3 2" xfId="14280"/>
    <cellStyle name="Normal 8 2 8 4" xfId="10056"/>
    <cellStyle name="Normal 8 2 9" xfId="2662"/>
    <cellStyle name="Normal 8 2 9 2" xfId="6888"/>
    <cellStyle name="Normal 8 2 9 2 2" xfId="15336"/>
    <cellStyle name="Normal 8 2 9 3" xfId="11112"/>
    <cellStyle name="Normal 8 3" xfId="431"/>
    <cellStyle name="Normal 8 3 10" xfId="4778"/>
    <cellStyle name="Normal 8 3 10 2" xfId="13227"/>
    <cellStyle name="Normal 8 3 11" xfId="9003"/>
    <cellStyle name="Normal 8 3 2" xfId="432"/>
    <cellStyle name="Normal 8 3 2 2" xfId="724"/>
    <cellStyle name="Normal 8 3 2 2 2" xfId="1076"/>
    <cellStyle name="Normal 8 3 2 2 2 2" xfId="2138"/>
    <cellStyle name="Normal 8 3 2 2 2 2 2" xfId="4250"/>
    <cellStyle name="Normal 8 3 2 2 2 2 2 2" xfId="8476"/>
    <cellStyle name="Normal 8 3 2 2 2 2 2 2 2" xfId="16924"/>
    <cellStyle name="Normal 8 3 2 2 2 2 2 3" xfId="12700"/>
    <cellStyle name="Normal 8 3 2 2 2 2 3" xfId="6364"/>
    <cellStyle name="Normal 8 3 2 2 2 2 3 2" xfId="14812"/>
    <cellStyle name="Normal 8 3 2 2 2 2 4" xfId="10588"/>
    <cellStyle name="Normal 8 3 2 2 2 3" xfId="3194"/>
    <cellStyle name="Normal 8 3 2 2 2 3 2" xfId="7420"/>
    <cellStyle name="Normal 8 3 2 2 2 3 2 2" xfId="15868"/>
    <cellStyle name="Normal 8 3 2 2 2 3 3" xfId="11644"/>
    <cellStyle name="Normal 8 3 2 2 2 4" xfId="5308"/>
    <cellStyle name="Normal 8 3 2 2 2 4 2" xfId="13756"/>
    <cellStyle name="Normal 8 3 2 2 2 5" xfId="9532"/>
    <cellStyle name="Normal 8 3 2 2 3" xfId="1786"/>
    <cellStyle name="Normal 8 3 2 2 3 2" xfId="3898"/>
    <cellStyle name="Normal 8 3 2 2 3 2 2" xfId="8124"/>
    <cellStyle name="Normal 8 3 2 2 3 2 2 2" xfId="16572"/>
    <cellStyle name="Normal 8 3 2 2 3 2 3" xfId="12348"/>
    <cellStyle name="Normal 8 3 2 2 3 3" xfId="6012"/>
    <cellStyle name="Normal 8 3 2 2 3 3 2" xfId="14460"/>
    <cellStyle name="Normal 8 3 2 2 3 4" xfId="10236"/>
    <cellStyle name="Normal 8 3 2 2 4" xfId="2842"/>
    <cellStyle name="Normal 8 3 2 2 4 2" xfId="7068"/>
    <cellStyle name="Normal 8 3 2 2 4 2 2" xfId="15516"/>
    <cellStyle name="Normal 8 3 2 2 4 3" xfId="11292"/>
    <cellStyle name="Normal 8 3 2 2 5" xfId="4956"/>
    <cellStyle name="Normal 8 3 2 2 5 2" xfId="13404"/>
    <cellStyle name="Normal 8 3 2 2 6" xfId="9180"/>
    <cellStyle name="Normal 8 3 2 3" xfId="900"/>
    <cellStyle name="Normal 8 3 2 3 2" xfId="1962"/>
    <cellStyle name="Normal 8 3 2 3 2 2" xfId="4074"/>
    <cellStyle name="Normal 8 3 2 3 2 2 2" xfId="8300"/>
    <cellStyle name="Normal 8 3 2 3 2 2 2 2" xfId="16748"/>
    <cellStyle name="Normal 8 3 2 3 2 2 3" xfId="12524"/>
    <cellStyle name="Normal 8 3 2 3 2 3" xfId="6188"/>
    <cellStyle name="Normal 8 3 2 3 2 3 2" xfId="14636"/>
    <cellStyle name="Normal 8 3 2 3 2 4" xfId="10412"/>
    <cellStyle name="Normal 8 3 2 3 3" xfId="3018"/>
    <cellStyle name="Normal 8 3 2 3 3 2" xfId="7244"/>
    <cellStyle name="Normal 8 3 2 3 3 2 2" xfId="15692"/>
    <cellStyle name="Normal 8 3 2 3 3 3" xfId="11468"/>
    <cellStyle name="Normal 8 3 2 3 4" xfId="5132"/>
    <cellStyle name="Normal 8 3 2 3 4 2" xfId="13580"/>
    <cellStyle name="Normal 8 3 2 3 5" xfId="9356"/>
    <cellStyle name="Normal 8 3 2 4" xfId="1252"/>
    <cellStyle name="Normal 8 3 2 4 2" xfId="2314"/>
    <cellStyle name="Normal 8 3 2 4 2 2" xfId="4426"/>
    <cellStyle name="Normal 8 3 2 4 2 2 2" xfId="8652"/>
    <cellStyle name="Normal 8 3 2 4 2 2 2 2" xfId="17100"/>
    <cellStyle name="Normal 8 3 2 4 2 2 3" xfId="12876"/>
    <cellStyle name="Normal 8 3 2 4 2 3" xfId="6540"/>
    <cellStyle name="Normal 8 3 2 4 2 3 2" xfId="14988"/>
    <cellStyle name="Normal 8 3 2 4 2 4" xfId="10764"/>
    <cellStyle name="Normal 8 3 2 4 3" xfId="3370"/>
    <cellStyle name="Normal 8 3 2 4 3 2" xfId="7596"/>
    <cellStyle name="Normal 8 3 2 4 3 2 2" xfId="16044"/>
    <cellStyle name="Normal 8 3 2 4 3 3" xfId="11820"/>
    <cellStyle name="Normal 8 3 2 4 4" xfId="5484"/>
    <cellStyle name="Normal 8 3 2 4 4 2" xfId="13932"/>
    <cellStyle name="Normal 8 3 2 4 5" xfId="9708"/>
    <cellStyle name="Normal 8 3 2 5" xfId="1434"/>
    <cellStyle name="Normal 8 3 2 5 2" xfId="2490"/>
    <cellStyle name="Normal 8 3 2 5 2 2" xfId="4602"/>
    <cellStyle name="Normal 8 3 2 5 2 2 2" xfId="8828"/>
    <cellStyle name="Normal 8 3 2 5 2 2 2 2" xfId="17276"/>
    <cellStyle name="Normal 8 3 2 5 2 2 3" xfId="13052"/>
    <cellStyle name="Normal 8 3 2 5 2 3" xfId="6716"/>
    <cellStyle name="Normal 8 3 2 5 2 3 2" xfId="15164"/>
    <cellStyle name="Normal 8 3 2 5 2 4" xfId="10940"/>
    <cellStyle name="Normal 8 3 2 5 3" xfId="3546"/>
    <cellStyle name="Normal 8 3 2 5 3 2" xfId="7772"/>
    <cellStyle name="Normal 8 3 2 5 3 2 2" xfId="16220"/>
    <cellStyle name="Normal 8 3 2 5 3 3" xfId="11996"/>
    <cellStyle name="Normal 8 3 2 5 4" xfId="5660"/>
    <cellStyle name="Normal 8 3 2 5 4 2" xfId="14108"/>
    <cellStyle name="Normal 8 3 2 5 5" xfId="9884"/>
    <cellStyle name="Normal 8 3 2 6" xfId="1610"/>
    <cellStyle name="Normal 8 3 2 6 2" xfId="3722"/>
    <cellStyle name="Normal 8 3 2 6 2 2" xfId="7948"/>
    <cellStyle name="Normal 8 3 2 6 2 2 2" xfId="16396"/>
    <cellStyle name="Normal 8 3 2 6 2 3" xfId="12172"/>
    <cellStyle name="Normal 8 3 2 6 3" xfId="5836"/>
    <cellStyle name="Normal 8 3 2 6 3 2" xfId="14284"/>
    <cellStyle name="Normal 8 3 2 6 4" xfId="10060"/>
    <cellStyle name="Normal 8 3 2 7" xfId="2666"/>
    <cellStyle name="Normal 8 3 2 7 2" xfId="6892"/>
    <cellStyle name="Normal 8 3 2 7 2 2" xfId="15340"/>
    <cellStyle name="Normal 8 3 2 7 3" xfId="11116"/>
    <cellStyle name="Normal 8 3 2 8" xfId="4779"/>
    <cellStyle name="Normal 8 3 2 8 2" xfId="13228"/>
    <cellStyle name="Normal 8 3 2 9" xfId="9004"/>
    <cellStyle name="Normal 8 3 3" xfId="433"/>
    <cellStyle name="Normal 8 3 3 2" xfId="725"/>
    <cellStyle name="Normal 8 3 3 2 2" xfId="1077"/>
    <cellStyle name="Normal 8 3 3 2 2 2" xfId="2139"/>
    <cellStyle name="Normal 8 3 3 2 2 2 2" xfId="4251"/>
    <cellStyle name="Normal 8 3 3 2 2 2 2 2" xfId="8477"/>
    <cellStyle name="Normal 8 3 3 2 2 2 2 2 2" xfId="16925"/>
    <cellStyle name="Normal 8 3 3 2 2 2 2 3" xfId="12701"/>
    <cellStyle name="Normal 8 3 3 2 2 2 3" xfId="6365"/>
    <cellStyle name="Normal 8 3 3 2 2 2 3 2" xfId="14813"/>
    <cellStyle name="Normal 8 3 3 2 2 2 4" xfId="10589"/>
    <cellStyle name="Normal 8 3 3 2 2 3" xfId="3195"/>
    <cellStyle name="Normal 8 3 3 2 2 3 2" xfId="7421"/>
    <cellStyle name="Normal 8 3 3 2 2 3 2 2" xfId="15869"/>
    <cellStyle name="Normal 8 3 3 2 2 3 3" xfId="11645"/>
    <cellStyle name="Normal 8 3 3 2 2 4" xfId="5309"/>
    <cellStyle name="Normal 8 3 3 2 2 4 2" xfId="13757"/>
    <cellStyle name="Normal 8 3 3 2 2 5" xfId="9533"/>
    <cellStyle name="Normal 8 3 3 2 3" xfId="1787"/>
    <cellStyle name="Normal 8 3 3 2 3 2" xfId="3899"/>
    <cellStyle name="Normal 8 3 3 2 3 2 2" xfId="8125"/>
    <cellStyle name="Normal 8 3 3 2 3 2 2 2" xfId="16573"/>
    <cellStyle name="Normal 8 3 3 2 3 2 3" xfId="12349"/>
    <cellStyle name="Normal 8 3 3 2 3 3" xfId="6013"/>
    <cellStyle name="Normal 8 3 3 2 3 3 2" xfId="14461"/>
    <cellStyle name="Normal 8 3 3 2 3 4" xfId="10237"/>
    <cellStyle name="Normal 8 3 3 2 4" xfId="2843"/>
    <cellStyle name="Normal 8 3 3 2 4 2" xfId="7069"/>
    <cellStyle name="Normal 8 3 3 2 4 2 2" xfId="15517"/>
    <cellStyle name="Normal 8 3 3 2 4 3" xfId="11293"/>
    <cellStyle name="Normal 8 3 3 2 5" xfId="4957"/>
    <cellStyle name="Normal 8 3 3 2 5 2" xfId="13405"/>
    <cellStyle name="Normal 8 3 3 2 6" xfId="9181"/>
    <cellStyle name="Normal 8 3 3 3" xfId="901"/>
    <cellStyle name="Normal 8 3 3 3 2" xfId="1963"/>
    <cellStyle name="Normal 8 3 3 3 2 2" xfId="4075"/>
    <cellStyle name="Normal 8 3 3 3 2 2 2" xfId="8301"/>
    <cellStyle name="Normal 8 3 3 3 2 2 2 2" xfId="16749"/>
    <cellStyle name="Normal 8 3 3 3 2 2 3" xfId="12525"/>
    <cellStyle name="Normal 8 3 3 3 2 3" xfId="6189"/>
    <cellStyle name="Normal 8 3 3 3 2 3 2" xfId="14637"/>
    <cellStyle name="Normal 8 3 3 3 2 4" xfId="10413"/>
    <cellStyle name="Normal 8 3 3 3 3" xfId="3019"/>
    <cellStyle name="Normal 8 3 3 3 3 2" xfId="7245"/>
    <cellStyle name="Normal 8 3 3 3 3 2 2" xfId="15693"/>
    <cellStyle name="Normal 8 3 3 3 3 3" xfId="11469"/>
    <cellStyle name="Normal 8 3 3 3 4" xfId="5133"/>
    <cellStyle name="Normal 8 3 3 3 4 2" xfId="13581"/>
    <cellStyle name="Normal 8 3 3 3 5" xfId="9357"/>
    <cellStyle name="Normal 8 3 3 4" xfId="1253"/>
    <cellStyle name="Normal 8 3 3 4 2" xfId="2315"/>
    <cellStyle name="Normal 8 3 3 4 2 2" xfId="4427"/>
    <cellStyle name="Normal 8 3 3 4 2 2 2" xfId="8653"/>
    <cellStyle name="Normal 8 3 3 4 2 2 2 2" xfId="17101"/>
    <cellStyle name="Normal 8 3 3 4 2 2 3" xfId="12877"/>
    <cellStyle name="Normal 8 3 3 4 2 3" xfId="6541"/>
    <cellStyle name="Normal 8 3 3 4 2 3 2" xfId="14989"/>
    <cellStyle name="Normal 8 3 3 4 2 4" xfId="10765"/>
    <cellStyle name="Normal 8 3 3 4 3" xfId="3371"/>
    <cellStyle name="Normal 8 3 3 4 3 2" xfId="7597"/>
    <cellStyle name="Normal 8 3 3 4 3 2 2" xfId="16045"/>
    <cellStyle name="Normal 8 3 3 4 3 3" xfId="11821"/>
    <cellStyle name="Normal 8 3 3 4 4" xfId="5485"/>
    <cellStyle name="Normal 8 3 3 4 4 2" xfId="13933"/>
    <cellStyle name="Normal 8 3 3 4 5" xfId="9709"/>
    <cellStyle name="Normal 8 3 3 5" xfId="1435"/>
    <cellStyle name="Normal 8 3 3 5 2" xfId="2491"/>
    <cellStyle name="Normal 8 3 3 5 2 2" xfId="4603"/>
    <cellStyle name="Normal 8 3 3 5 2 2 2" xfId="8829"/>
    <cellStyle name="Normal 8 3 3 5 2 2 2 2" xfId="17277"/>
    <cellStyle name="Normal 8 3 3 5 2 2 3" xfId="13053"/>
    <cellStyle name="Normal 8 3 3 5 2 3" xfId="6717"/>
    <cellStyle name="Normal 8 3 3 5 2 3 2" xfId="15165"/>
    <cellStyle name="Normal 8 3 3 5 2 4" xfId="10941"/>
    <cellStyle name="Normal 8 3 3 5 3" xfId="3547"/>
    <cellStyle name="Normal 8 3 3 5 3 2" xfId="7773"/>
    <cellStyle name="Normal 8 3 3 5 3 2 2" xfId="16221"/>
    <cellStyle name="Normal 8 3 3 5 3 3" xfId="11997"/>
    <cellStyle name="Normal 8 3 3 5 4" xfId="5661"/>
    <cellStyle name="Normal 8 3 3 5 4 2" xfId="14109"/>
    <cellStyle name="Normal 8 3 3 5 5" xfId="9885"/>
    <cellStyle name="Normal 8 3 3 6" xfId="1611"/>
    <cellStyle name="Normal 8 3 3 6 2" xfId="3723"/>
    <cellStyle name="Normal 8 3 3 6 2 2" xfId="7949"/>
    <cellStyle name="Normal 8 3 3 6 2 2 2" xfId="16397"/>
    <cellStyle name="Normal 8 3 3 6 2 3" xfId="12173"/>
    <cellStyle name="Normal 8 3 3 6 3" xfId="5837"/>
    <cellStyle name="Normal 8 3 3 6 3 2" xfId="14285"/>
    <cellStyle name="Normal 8 3 3 6 4" xfId="10061"/>
    <cellStyle name="Normal 8 3 3 7" xfId="2667"/>
    <cellStyle name="Normal 8 3 3 7 2" xfId="6893"/>
    <cellStyle name="Normal 8 3 3 7 2 2" xfId="15341"/>
    <cellStyle name="Normal 8 3 3 7 3" xfId="11117"/>
    <cellStyle name="Normal 8 3 3 8" xfId="4780"/>
    <cellStyle name="Normal 8 3 3 8 2" xfId="13229"/>
    <cellStyle name="Normal 8 3 3 9" xfId="9005"/>
    <cellStyle name="Normal 8 3 4" xfId="723"/>
    <cellStyle name="Normal 8 3 4 2" xfId="1075"/>
    <cellStyle name="Normal 8 3 4 2 2" xfId="2137"/>
    <cellStyle name="Normal 8 3 4 2 2 2" xfId="4249"/>
    <cellStyle name="Normal 8 3 4 2 2 2 2" xfId="8475"/>
    <cellStyle name="Normal 8 3 4 2 2 2 2 2" xfId="16923"/>
    <cellStyle name="Normal 8 3 4 2 2 2 3" xfId="12699"/>
    <cellStyle name="Normal 8 3 4 2 2 3" xfId="6363"/>
    <cellStyle name="Normal 8 3 4 2 2 3 2" xfId="14811"/>
    <cellStyle name="Normal 8 3 4 2 2 4" xfId="10587"/>
    <cellStyle name="Normal 8 3 4 2 3" xfId="3193"/>
    <cellStyle name="Normal 8 3 4 2 3 2" xfId="7419"/>
    <cellStyle name="Normal 8 3 4 2 3 2 2" xfId="15867"/>
    <cellStyle name="Normal 8 3 4 2 3 3" xfId="11643"/>
    <cellStyle name="Normal 8 3 4 2 4" xfId="5307"/>
    <cellStyle name="Normal 8 3 4 2 4 2" xfId="13755"/>
    <cellStyle name="Normal 8 3 4 2 5" xfId="9531"/>
    <cellStyle name="Normal 8 3 4 3" xfId="1785"/>
    <cellStyle name="Normal 8 3 4 3 2" xfId="3897"/>
    <cellStyle name="Normal 8 3 4 3 2 2" xfId="8123"/>
    <cellStyle name="Normal 8 3 4 3 2 2 2" xfId="16571"/>
    <cellStyle name="Normal 8 3 4 3 2 3" xfId="12347"/>
    <cellStyle name="Normal 8 3 4 3 3" xfId="6011"/>
    <cellStyle name="Normal 8 3 4 3 3 2" xfId="14459"/>
    <cellStyle name="Normal 8 3 4 3 4" xfId="10235"/>
    <cellStyle name="Normal 8 3 4 4" xfId="2841"/>
    <cellStyle name="Normal 8 3 4 4 2" xfId="7067"/>
    <cellStyle name="Normal 8 3 4 4 2 2" xfId="15515"/>
    <cellStyle name="Normal 8 3 4 4 3" xfId="11291"/>
    <cellStyle name="Normal 8 3 4 5" xfId="4955"/>
    <cellStyle name="Normal 8 3 4 5 2" xfId="13403"/>
    <cellStyle name="Normal 8 3 4 6" xfId="9179"/>
    <cellStyle name="Normal 8 3 5" xfId="899"/>
    <cellStyle name="Normal 8 3 5 2" xfId="1961"/>
    <cellStyle name="Normal 8 3 5 2 2" xfId="4073"/>
    <cellStyle name="Normal 8 3 5 2 2 2" xfId="8299"/>
    <cellStyle name="Normal 8 3 5 2 2 2 2" xfId="16747"/>
    <cellStyle name="Normal 8 3 5 2 2 3" xfId="12523"/>
    <cellStyle name="Normal 8 3 5 2 3" xfId="6187"/>
    <cellStyle name="Normal 8 3 5 2 3 2" xfId="14635"/>
    <cellStyle name="Normal 8 3 5 2 4" xfId="10411"/>
    <cellStyle name="Normal 8 3 5 3" xfId="3017"/>
    <cellStyle name="Normal 8 3 5 3 2" xfId="7243"/>
    <cellStyle name="Normal 8 3 5 3 2 2" xfId="15691"/>
    <cellStyle name="Normal 8 3 5 3 3" xfId="11467"/>
    <cellStyle name="Normal 8 3 5 4" xfId="5131"/>
    <cellStyle name="Normal 8 3 5 4 2" xfId="13579"/>
    <cellStyle name="Normal 8 3 5 5" xfId="9355"/>
    <cellStyle name="Normal 8 3 6" xfId="1251"/>
    <cellStyle name="Normal 8 3 6 2" xfId="2313"/>
    <cellStyle name="Normal 8 3 6 2 2" xfId="4425"/>
    <cellStyle name="Normal 8 3 6 2 2 2" xfId="8651"/>
    <cellStyle name="Normal 8 3 6 2 2 2 2" xfId="17099"/>
    <cellStyle name="Normal 8 3 6 2 2 3" xfId="12875"/>
    <cellStyle name="Normal 8 3 6 2 3" xfId="6539"/>
    <cellStyle name="Normal 8 3 6 2 3 2" xfId="14987"/>
    <cellStyle name="Normal 8 3 6 2 4" xfId="10763"/>
    <cellStyle name="Normal 8 3 6 3" xfId="3369"/>
    <cellStyle name="Normal 8 3 6 3 2" xfId="7595"/>
    <cellStyle name="Normal 8 3 6 3 2 2" xfId="16043"/>
    <cellStyle name="Normal 8 3 6 3 3" xfId="11819"/>
    <cellStyle name="Normal 8 3 6 4" xfId="5483"/>
    <cellStyle name="Normal 8 3 6 4 2" xfId="13931"/>
    <cellStyle name="Normal 8 3 6 5" xfId="9707"/>
    <cellStyle name="Normal 8 3 7" xfId="1433"/>
    <cellStyle name="Normal 8 3 7 2" xfId="2489"/>
    <cellStyle name="Normal 8 3 7 2 2" xfId="4601"/>
    <cellStyle name="Normal 8 3 7 2 2 2" xfId="8827"/>
    <cellStyle name="Normal 8 3 7 2 2 2 2" xfId="17275"/>
    <cellStyle name="Normal 8 3 7 2 2 3" xfId="13051"/>
    <cellStyle name="Normal 8 3 7 2 3" xfId="6715"/>
    <cellStyle name="Normal 8 3 7 2 3 2" xfId="15163"/>
    <cellStyle name="Normal 8 3 7 2 4" xfId="10939"/>
    <cellStyle name="Normal 8 3 7 3" xfId="3545"/>
    <cellStyle name="Normal 8 3 7 3 2" xfId="7771"/>
    <cellStyle name="Normal 8 3 7 3 2 2" xfId="16219"/>
    <cellStyle name="Normal 8 3 7 3 3" xfId="11995"/>
    <cellStyle name="Normal 8 3 7 4" xfId="5659"/>
    <cellStyle name="Normal 8 3 7 4 2" xfId="14107"/>
    <cellStyle name="Normal 8 3 7 5" xfId="9883"/>
    <cellStyle name="Normal 8 3 8" xfId="1609"/>
    <cellStyle name="Normal 8 3 8 2" xfId="3721"/>
    <cellStyle name="Normal 8 3 8 2 2" xfId="7947"/>
    <cellStyle name="Normal 8 3 8 2 2 2" xfId="16395"/>
    <cellStyle name="Normal 8 3 8 2 3" xfId="12171"/>
    <cellStyle name="Normal 8 3 8 3" xfId="5835"/>
    <cellStyle name="Normal 8 3 8 3 2" xfId="14283"/>
    <cellStyle name="Normal 8 3 8 4" xfId="10059"/>
    <cellStyle name="Normal 8 3 9" xfId="2665"/>
    <cellStyle name="Normal 8 3 9 2" xfId="6891"/>
    <cellStyle name="Normal 8 3 9 2 2" xfId="15339"/>
    <cellStyle name="Normal 8 3 9 3" xfId="11115"/>
    <cellStyle name="Normal 8 4" xfId="434"/>
    <cellStyle name="Normal 8 5" xfId="435"/>
    <cellStyle name="Normal 8 5 2" xfId="726"/>
    <cellStyle name="Normal 8 5 2 2" xfId="1078"/>
    <cellStyle name="Normal 8 5 2 2 2" xfId="2140"/>
    <cellStyle name="Normal 8 5 2 2 2 2" xfId="4252"/>
    <cellStyle name="Normal 8 5 2 2 2 2 2" xfId="8478"/>
    <cellStyle name="Normal 8 5 2 2 2 2 2 2" xfId="16926"/>
    <cellStyle name="Normal 8 5 2 2 2 2 3" xfId="12702"/>
    <cellStyle name="Normal 8 5 2 2 2 3" xfId="6366"/>
    <cellStyle name="Normal 8 5 2 2 2 3 2" xfId="14814"/>
    <cellStyle name="Normal 8 5 2 2 2 4" xfId="10590"/>
    <cellStyle name="Normal 8 5 2 2 3" xfId="3196"/>
    <cellStyle name="Normal 8 5 2 2 3 2" xfId="7422"/>
    <cellStyle name="Normal 8 5 2 2 3 2 2" xfId="15870"/>
    <cellStyle name="Normal 8 5 2 2 3 3" xfId="11646"/>
    <cellStyle name="Normal 8 5 2 2 4" xfId="5310"/>
    <cellStyle name="Normal 8 5 2 2 4 2" xfId="13758"/>
    <cellStyle name="Normal 8 5 2 2 5" xfId="9534"/>
    <cellStyle name="Normal 8 5 2 3" xfId="1788"/>
    <cellStyle name="Normal 8 5 2 3 2" xfId="3900"/>
    <cellStyle name="Normal 8 5 2 3 2 2" xfId="8126"/>
    <cellStyle name="Normal 8 5 2 3 2 2 2" xfId="16574"/>
    <cellStyle name="Normal 8 5 2 3 2 3" xfId="12350"/>
    <cellStyle name="Normal 8 5 2 3 3" xfId="6014"/>
    <cellStyle name="Normal 8 5 2 3 3 2" xfId="14462"/>
    <cellStyle name="Normal 8 5 2 3 4" xfId="10238"/>
    <cellStyle name="Normal 8 5 2 4" xfId="2844"/>
    <cellStyle name="Normal 8 5 2 4 2" xfId="7070"/>
    <cellStyle name="Normal 8 5 2 4 2 2" xfId="15518"/>
    <cellStyle name="Normal 8 5 2 4 3" xfId="11294"/>
    <cellStyle name="Normal 8 5 2 5" xfId="4958"/>
    <cellStyle name="Normal 8 5 2 5 2" xfId="13406"/>
    <cellStyle name="Normal 8 5 2 6" xfId="9182"/>
    <cellStyle name="Normal 8 5 3" xfId="902"/>
    <cellStyle name="Normal 8 5 3 2" xfId="1964"/>
    <cellStyle name="Normal 8 5 3 2 2" xfId="4076"/>
    <cellStyle name="Normal 8 5 3 2 2 2" xfId="8302"/>
    <cellStyle name="Normal 8 5 3 2 2 2 2" xfId="16750"/>
    <cellStyle name="Normal 8 5 3 2 2 3" xfId="12526"/>
    <cellStyle name="Normal 8 5 3 2 3" xfId="6190"/>
    <cellStyle name="Normal 8 5 3 2 3 2" xfId="14638"/>
    <cellStyle name="Normal 8 5 3 2 4" xfId="10414"/>
    <cellStyle name="Normal 8 5 3 3" xfId="3020"/>
    <cellStyle name="Normal 8 5 3 3 2" xfId="7246"/>
    <cellStyle name="Normal 8 5 3 3 2 2" xfId="15694"/>
    <cellStyle name="Normal 8 5 3 3 3" xfId="11470"/>
    <cellStyle name="Normal 8 5 3 4" xfId="5134"/>
    <cellStyle name="Normal 8 5 3 4 2" xfId="13582"/>
    <cellStyle name="Normal 8 5 3 5" xfId="9358"/>
    <cellStyle name="Normal 8 5 4" xfId="1254"/>
    <cellStyle name="Normal 8 5 4 2" xfId="2316"/>
    <cellStyle name="Normal 8 5 4 2 2" xfId="4428"/>
    <cellStyle name="Normal 8 5 4 2 2 2" xfId="8654"/>
    <cellStyle name="Normal 8 5 4 2 2 2 2" xfId="17102"/>
    <cellStyle name="Normal 8 5 4 2 2 3" xfId="12878"/>
    <cellStyle name="Normal 8 5 4 2 3" xfId="6542"/>
    <cellStyle name="Normal 8 5 4 2 3 2" xfId="14990"/>
    <cellStyle name="Normal 8 5 4 2 4" xfId="10766"/>
    <cellStyle name="Normal 8 5 4 3" xfId="3372"/>
    <cellStyle name="Normal 8 5 4 3 2" xfId="7598"/>
    <cellStyle name="Normal 8 5 4 3 2 2" xfId="16046"/>
    <cellStyle name="Normal 8 5 4 3 3" xfId="11822"/>
    <cellStyle name="Normal 8 5 4 4" xfId="5486"/>
    <cellStyle name="Normal 8 5 4 4 2" xfId="13934"/>
    <cellStyle name="Normal 8 5 4 5" xfId="9710"/>
    <cellStyle name="Normal 8 5 5" xfId="1436"/>
    <cellStyle name="Normal 8 5 5 2" xfId="2492"/>
    <cellStyle name="Normal 8 5 5 2 2" xfId="4604"/>
    <cellStyle name="Normal 8 5 5 2 2 2" xfId="8830"/>
    <cellStyle name="Normal 8 5 5 2 2 2 2" xfId="17278"/>
    <cellStyle name="Normal 8 5 5 2 2 3" xfId="13054"/>
    <cellStyle name="Normal 8 5 5 2 3" xfId="6718"/>
    <cellStyle name="Normal 8 5 5 2 3 2" xfId="15166"/>
    <cellStyle name="Normal 8 5 5 2 4" xfId="10942"/>
    <cellStyle name="Normal 8 5 5 3" xfId="3548"/>
    <cellStyle name="Normal 8 5 5 3 2" xfId="7774"/>
    <cellStyle name="Normal 8 5 5 3 2 2" xfId="16222"/>
    <cellStyle name="Normal 8 5 5 3 3" xfId="11998"/>
    <cellStyle name="Normal 8 5 5 4" xfId="5662"/>
    <cellStyle name="Normal 8 5 5 4 2" xfId="14110"/>
    <cellStyle name="Normal 8 5 5 5" xfId="9886"/>
    <cellStyle name="Normal 8 5 6" xfId="1612"/>
    <cellStyle name="Normal 8 5 6 2" xfId="3724"/>
    <cellStyle name="Normal 8 5 6 2 2" xfId="7950"/>
    <cellStyle name="Normal 8 5 6 2 2 2" xfId="16398"/>
    <cellStyle name="Normal 8 5 6 2 3" xfId="12174"/>
    <cellStyle name="Normal 8 5 6 3" xfId="5838"/>
    <cellStyle name="Normal 8 5 6 3 2" xfId="14286"/>
    <cellStyle name="Normal 8 5 6 4" xfId="10062"/>
    <cellStyle name="Normal 8 5 7" xfId="2668"/>
    <cellStyle name="Normal 8 5 7 2" xfId="6894"/>
    <cellStyle name="Normal 8 5 7 2 2" xfId="15342"/>
    <cellStyle name="Normal 8 5 7 3" xfId="11118"/>
    <cellStyle name="Normal 8 5 8" xfId="4781"/>
    <cellStyle name="Normal 8 5 8 2" xfId="13230"/>
    <cellStyle name="Normal 8 5 9" xfId="9006"/>
    <cellStyle name="Normal 8 6" xfId="436"/>
    <cellStyle name="Normal 8 6 2" xfId="727"/>
    <cellStyle name="Normal 8 6 2 2" xfId="1079"/>
    <cellStyle name="Normal 8 6 2 2 2" xfId="2141"/>
    <cellStyle name="Normal 8 6 2 2 2 2" xfId="4253"/>
    <cellStyle name="Normal 8 6 2 2 2 2 2" xfId="8479"/>
    <cellStyle name="Normal 8 6 2 2 2 2 2 2" xfId="16927"/>
    <cellStyle name="Normal 8 6 2 2 2 2 3" xfId="12703"/>
    <cellStyle name="Normal 8 6 2 2 2 3" xfId="6367"/>
    <cellStyle name="Normal 8 6 2 2 2 3 2" xfId="14815"/>
    <cellStyle name="Normal 8 6 2 2 2 4" xfId="10591"/>
    <cellStyle name="Normal 8 6 2 2 3" xfId="3197"/>
    <cellStyle name="Normal 8 6 2 2 3 2" xfId="7423"/>
    <cellStyle name="Normal 8 6 2 2 3 2 2" xfId="15871"/>
    <cellStyle name="Normal 8 6 2 2 3 3" xfId="11647"/>
    <cellStyle name="Normal 8 6 2 2 4" xfId="5311"/>
    <cellStyle name="Normal 8 6 2 2 4 2" xfId="13759"/>
    <cellStyle name="Normal 8 6 2 2 5" xfId="9535"/>
    <cellStyle name="Normal 8 6 2 3" xfId="1789"/>
    <cellStyle name="Normal 8 6 2 3 2" xfId="3901"/>
    <cellStyle name="Normal 8 6 2 3 2 2" xfId="8127"/>
    <cellStyle name="Normal 8 6 2 3 2 2 2" xfId="16575"/>
    <cellStyle name="Normal 8 6 2 3 2 3" xfId="12351"/>
    <cellStyle name="Normal 8 6 2 3 3" xfId="6015"/>
    <cellStyle name="Normal 8 6 2 3 3 2" xfId="14463"/>
    <cellStyle name="Normal 8 6 2 3 4" xfId="10239"/>
    <cellStyle name="Normal 8 6 2 4" xfId="2845"/>
    <cellStyle name="Normal 8 6 2 4 2" xfId="7071"/>
    <cellStyle name="Normal 8 6 2 4 2 2" xfId="15519"/>
    <cellStyle name="Normal 8 6 2 4 3" xfId="11295"/>
    <cellStyle name="Normal 8 6 2 5" xfId="4959"/>
    <cellStyle name="Normal 8 6 2 5 2" xfId="13407"/>
    <cellStyle name="Normal 8 6 2 6" xfId="9183"/>
    <cellStyle name="Normal 8 6 3" xfId="903"/>
    <cellStyle name="Normal 8 6 3 2" xfId="1965"/>
    <cellStyle name="Normal 8 6 3 2 2" xfId="4077"/>
    <cellStyle name="Normal 8 6 3 2 2 2" xfId="8303"/>
    <cellStyle name="Normal 8 6 3 2 2 2 2" xfId="16751"/>
    <cellStyle name="Normal 8 6 3 2 2 3" xfId="12527"/>
    <cellStyle name="Normal 8 6 3 2 3" xfId="6191"/>
    <cellStyle name="Normal 8 6 3 2 3 2" xfId="14639"/>
    <cellStyle name="Normal 8 6 3 2 4" xfId="10415"/>
    <cellStyle name="Normal 8 6 3 3" xfId="3021"/>
    <cellStyle name="Normal 8 6 3 3 2" xfId="7247"/>
    <cellStyle name="Normal 8 6 3 3 2 2" xfId="15695"/>
    <cellStyle name="Normal 8 6 3 3 3" xfId="11471"/>
    <cellStyle name="Normal 8 6 3 4" xfId="5135"/>
    <cellStyle name="Normal 8 6 3 4 2" xfId="13583"/>
    <cellStyle name="Normal 8 6 3 5" xfId="9359"/>
    <cellStyle name="Normal 8 6 4" xfId="1255"/>
    <cellStyle name="Normal 8 6 4 2" xfId="2317"/>
    <cellStyle name="Normal 8 6 4 2 2" xfId="4429"/>
    <cellStyle name="Normal 8 6 4 2 2 2" xfId="8655"/>
    <cellStyle name="Normal 8 6 4 2 2 2 2" xfId="17103"/>
    <cellStyle name="Normal 8 6 4 2 2 3" xfId="12879"/>
    <cellStyle name="Normal 8 6 4 2 3" xfId="6543"/>
    <cellStyle name="Normal 8 6 4 2 3 2" xfId="14991"/>
    <cellStyle name="Normal 8 6 4 2 4" xfId="10767"/>
    <cellStyle name="Normal 8 6 4 3" xfId="3373"/>
    <cellStyle name="Normal 8 6 4 3 2" xfId="7599"/>
    <cellStyle name="Normal 8 6 4 3 2 2" xfId="16047"/>
    <cellStyle name="Normal 8 6 4 3 3" xfId="11823"/>
    <cellStyle name="Normal 8 6 4 4" xfId="5487"/>
    <cellStyle name="Normal 8 6 4 4 2" xfId="13935"/>
    <cellStyle name="Normal 8 6 4 5" xfId="9711"/>
    <cellStyle name="Normal 8 6 5" xfId="1437"/>
    <cellStyle name="Normal 8 6 5 2" xfId="2493"/>
    <cellStyle name="Normal 8 6 5 2 2" xfId="4605"/>
    <cellStyle name="Normal 8 6 5 2 2 2" xfId="8831"/>
    <cellStyle name="Normal 8 6 5 2 2 2 2" xfId="17279"/>
    <cellStyle name="Normal 8 6 5 2 2 3" xfId="13055"/>
    <cellStyle name="Normal 8 6 5 2 3" xfId="6719"/>
    <cellStyle name="Normal 8 6 5 2 3 2" xfId="15167"/>
    <cellStyle name="Normal 8 6 5 2 4" xfId="10943"/>
    <cellStyle name="Normal 8 6 5 3" xfId="3549"/>
    <cellStyle name="Normal 8 6 5 3 2" xfId="7775"/>
    <cellStyle name="Normal 8 6 5 3 2 2" xfId="16223"/>
    <cellStyle name="Normal 8 6 5 3 3" xfId="11999"/>
    <cellStyle name="Normal 8 6 5 4" xfId="5663"/>
    <cellStyle name="Normal 8 6 5 4 2" xfId="14111"/>
    <cellStyle name="Normal 8 6 5 5" xfId="9887"/>
    <cellStyle name="Normal 8 6 6" xfId="1613"/>
    <cellStyle name="Normal 8 6 6 2" xfId="3725"/>
    <cellStyle name="Normal 8 6 6 2 2" xfId="7951"/>
    <cellStyle name="Normal 8 6 6 2 2 2" xfId="16399"/>
    <cellStyle name="Normal 8 6 6 2 3" xfId="12175"/>
    <cellStyle name="Normal 8 6 6 3" xfId="5839"/>
    <cellStyle name="Normal 8 6 6 3 2" xfId="14287"/>
    <cellStyle name="Normal 8 6 6 4" xfId="10063"/>
    <cellStyle name="Normal 8 6 7" xfId="2669"/>
    <cellStyle name="Normal 8 6 7 2" xfId="6895"/>
    <cellStyle name="Normal 8 6 7 2 2" xfId="15343"/>
    <cellStyle name="Normal 8 6 7 3" xfId="11119"/>
    <cellStyle name="Normal 8 6 8" xfId="4782"/>
    <cellStyle name="Normal 8 6 8 2" xfId="13231"/>
    <cellStyle name="Normal 8 6 9" xfId="9007"/>
    <cellStyle name="Normal 8 7" xfId="719"/>
    <cellStyle name="Normal 8 7 2" xfId="1071"/>
    <cellStyle name="Normal 8 7 2 2" xfId="2133"/>
    <cellStyle name="Normal 8 7 2 2 2" xfId="4245"/>
    <cellStyle name="Normal 8 7 2 2 2 2" xfId="8471"/>
    <cellStyle name="Normal 8 7 2 2 2 2 2" xfId="16919"/>
    <cellStyle name="Normal 8 7 2 2 2 3" xfId="12695"/>
    <cellStyle name="Normal 8 7 2 2 3" xfId="6359"/>
    <cellStyle name="Normal 8 7 2 2 3 2" xfId="14807"/>
    <cellStyle name="Normal 8 7 2 2 4" xfId="10583"/>
    <cellStyle name="Normal 8 7 2 3" xfId="3189"/>
    <cellStyle name="Normal 8 7 2 3 2" xfId="7415"/>
    <cellStyle name="Normal 8 7 2 3 2 2" xfId="15863"/>
    <cellStyle name="Normal 8 7 2 3 3" xfId="11639"/>
    <cellStyle name="Normal 8 7 2 4" xfId="5303"/>
    <cellStyle name="Normal 8 7 2 4 2" xfId="13751"/>
    <cellStyle name="Normal 8 7 2 5" xfId="9527"/>
    <cellStyle name="Normal 8 7 3" xfId="1781"/>
    <cellStyle name="Normal 8 7 3 2" xfId="3893"/>
    <cellStyle name="Normal 8 7 3 2 2" xfId="8119"/>
    <cellStyle name="Normal 8 7 3 2 2 2" xfId="16567"/>
    <cellStyle name="Normal 8 7 3 2 3" xfId="12343"/>
    <cellStyle name="Normal 8 7 3 3" xfId="6007"/>
    <cellStyle name="Normal 8 7 3 3 2" xfId="14455"/>
    <cellStyle name="Normal 8 7 3 4" xfId="10231"/>
    <cellStyle name="Normal 8 7 4" xfId="2837"/>
    <cellStyle name="Normal 8 7 4 2" xfId="7063"/>
    <cellStyle name="Normal 8 7 4 2 2" xfId="15511"/>
    <cellStyle name="Normal 8 7 4 3" xfId="11287"/>
    <cellStyle name="Normal 8 7 5" xfId="4951"/>
    <cellStyle name="Normal 8 7 5 2" xfId="13399"/>
    <cellStyle name="Normal 8 7 6" xfId="9175"/>
    <cellStyle name="Normal 8 8" xfId="895"/>
    <cellStyle name="Normal 8 8 2" xfId="1957"/>
    <cellStyle name="Normal 8 8 2 2" xfId="4069"/>
    <cellStyle name="Normal 8 8 2 2 2" xfId="8295"/>
    <cellStyle name="Normal 8 8 2 2 2 2" xfId="16743"/>
    <cellStyle name="Normal 8 8 2 2 3" xfId="12519"/>
    <cellStyle name="Normal 8 8 2 3" xfId="6183"/>
    <cellStyle name="Normal 8 8 2 3 2" xfId="14631"/>
    <cellStyle name="Normal 8 8 2 4" xfId="10407"/>
    <cellStyle name="Normal 8 8 3" xfId="3013"/>
    <cellStyle name="Normal 8 8 3 2" xfId="7239"/>
    <cellStyle name="Normal 8 8 3 2 2" xfId="15687"/>
    <cellStyle name="Normal 8 8 3 3" xfId="11463"/>
    <cellStyle name="Normal 8 8 4" xfId="5127"/>
    <cellStyle name="Normal 8 8 4 2" xfId="13575"/>
    <cellStyle name="Normal 8 8 5" xfId="9351"/>
    <cellStyle name="Normal 8 9" xfId="1247"/>
    <cellStyle name="Normal 8 9 2" xfId="2309"/>
    <cellStyle name="Normal 8 9 2 2" xfId="4421"/>
    <cellStyle name="Normal 8 9 2 2 2" xfId="8647"/>
    <cellStyle name="Normal 8 9 2 2 2 2" xfId="17095"/>
    <cellStyle name="Normal 8 9 2 2 3" xfId="12871"/>
    <cellStyle name="Normal 8 9 2 3" xfId="6535"/>
    <cellStyle name="Normal 8 9 2 3 2" xfId="14983"/>
    <cellStyle name="Normal 8 9 2 4" xfId="10759"/>
    <cellStyle name="Normal 8 9 3" xfId="3365"/>
    <cellStyle name="Normal 8 9 3 2" xfId="7591"/>
    <cellStyle name="Normal 8 9 3 2 2" xfId="16039"/>
    <cellStyle name="Normal 8 9 3 3" xfId="11815"/>
    <cellStyle name="Normal 8 9 4" xfId="5479"/>
    <cellStyle name="Normal 8 9 4 2" xfId="13927"/>
    <cellStyle name="Normal 8 9 5" xfId="9703"/>
    <cellStyle name="Normal 9" xfId="437"/>
    <cellStyle name="Normal 9 2" xfId="438"/>
    <cellStyle name="Normal 9 2 10" xfId="4783"/>
    <cellStyle name="Normal 9 2 10 2" xfId="13232"/>
    <cellStyle name="Normal 9 2 11" xfId="9008"/>
    <cellStyle name="Normal 9 2 2" xfId="439"/>
    <cellStyle name="Normal 9 2 2 2" xfId="729"/>
    <cellStyle name="Normal 9 2 2 2 2" xfId="1081"/>
    <cellStyle name="Normal 9 2 2 2 2 2" xfId="2143"/>
    <cellStyle name="Normal 9 2 2 2 2 2 2" xfId="4255"/>
    <cellStyle name="Normal 9 2 2 2 2 2 2 2" xfId="8481"/>
    <cellStyle name="Normal 9 2 2 2 2 2 2 2 2" xfId="16929"/>
    <cellStyle name="Normal 9 2 2 2 2 2 2 3" xfId="12705"/>
    <cellStyle name="Normal 9 2 2 2 2 2 3" xfId="6369"/>
    <cellStyle name="Normal 9 2 2 2 2 2 3 2" xfId="14817"/>
    <cellStyle name="Normal 9 2 2 2 2 2 4" xfId="10593"/>
    <cellStyle name="Normal 9 2 2 2 2 3" xfId="3199"/>
    <cellStyle name="Normal 9 2 2 2 2 3 2" xfId="7425"/>
    <cellStyle name="Normal 9 2 2 2 2 3 2 2" xfId="15873"/>
    <cellStyle name="Normal 9 2 2 2 2 3 3" xfId="11649"/>
    <cellStyle name="Normal 9 2 2 2 2 4" xfId="5313"/>
    <cellStyle name="Normal 9 2 2 2 2 4 2" xfId="13761"/>
    <cellStyle name="Normal 9 2 2 2 2 5" xfId="9537"/>
    <cellStyle name="Normal 9 2 2 2 3" xfId="1791"/>
    <cellStyle name="Normal 9 2 2 2 3 2" xfId="3903"/>
    <cellStyle name="Normal 9 2 2 2 3 2 2" xfId="8129"/>
    <cellStyle name="Normal 9 2 2 2 3 2 2 2" xfId="16577"/>
    <cellStyle name="Normal 9 2 2 2 3 2 3" xfId="12353"/>
    <cellStyle name="Normal 9 2 2 2 3 3" xfId="6017"/>
    <cellStyle name="Normal 9 2 2 2 3 3 2" xfId="14465"/>
    <cellStyle name="Normal 9 2 2 2 3 4" xfId="10241"/>
    <cellStyle name="Normal 9 2 2 2 4" xfId="2847"/>
    <cellStyle name="Normal 9 2 2 2 4 2" xfId="7073"/>
    <cellStyle name="Normal 9 2 2 2 4 2 2" xfId="15521"/>
    <cellStyle name="Normal 9 2 2 2 4 3" xfId="11297"/>
    <cellStyle name="Normal 9 2 2 2 5" xfId="4961"/>
    <cellStyle name="Normal 9 2 2 2 5 2" xfId="13409"/>
    <cellStyle name="Normal 9 2 2 2 6" xfId="9185"/>
    <cellStyle name="Normal 9 2 2 3" xfId="905"/>
    <cellStyle name="Normal 9 2 2 3 2" xfId="1967"/>
    <cellStyle name="Normal 9 2 2 3 2 2" xfId="4079"/>
    <cellStyle name="Normal 9 2 2 3 2 2 2" xfId="8305"/>
    <cellStyle name="Normal 9 2 2 3 2 2 2 2" xfId="16753"/>
    <cellStyle name="Normal 9 2 2 3 2 2 3" xfId="12529"/>
    <cellStyle name="Normal 9 2 2 3 2 3" xfId="6193"/>
    <cellStyle name="Normal 9 2 2 3 2 3 2" xfId="14641"/>
    <cellStyle name="Normal 9 2 2 3 2 4" xfId="10417"/>
    <cellStyle name="Normal 9 2 2 3 3" xfId="3023"/>
    <cellStyle name="Normal 9 2 2 3 3 2" xfId="7249"/>
    <cellStyle name="Normal 9 2 2 3 3 2 2" xfId="15697"/>
    <cellStyle name="Normal 9 2 2 3 3 3" xfId="11473"/>
    <cellStyle name="Normal 9 2 2 3 4" xfId="5137"/>
    <cellStyle name="Normal 9 2 2 3 4 2" xfId="13585"/>
    <cellStyle name="Normal 9 2 2 3 5" xfId="9361"/>
    <cellStyle name="Normal 9 2 2 4" xfId="1257"/>
    <cellStyle name="Normal 9 2 2 4 2" xfId="2319"/>
    <cellStyle name="Normal 9 2 2 4 2 2" xfId="4431"/>
    <cellStyle name="Normal 9 2 2 4 2 2 2" xfId="8657"/>
    <cellStyle name="Normal 9 2 2 4 2 2 2 2" xfId="17105"/>
    <cellStyle name="Normal 9 2 2 4 2 2 3" xfId="12881"/>
    <cellStyle name="Normal 9 2 2 4 2 3" xfId="6545"/>
    <cellStyle name="Normal 9 2 2 4 2 3 2" xfId="14993"/>
    <cellStyle name="Normal 9 2 2 4 2 4" xfId="10769"/>
    <cellStyle name="Normal 9 2 2 4 3" xfId="3375"/>
    <cellStyle name="Normal 9 2 2 4 3 2" xfId="7601"/>
    <cellStyle name="Normal 9 2 2 4 3 2 2" xfId="16049"/>
    <cellStyle name="Normal 9 2 2 4 3 3" xfId="11825"/>
    <cellStyle name="Normal 9 2 2 4 4" xfId="5489"/>
    <cellStyle name="Normal 9 2 2 4 4 2" xfId="13937"/>
    <cellStyle name="Normal 9 2 2 4 5" xfId="9713"/>
    <cellStyle name="Normal 9 2 2 5" xfId="1439"/>
    <cellStyle name="Normal 9 2 2 5 2" xfId="2495"/>
    <cellStyle name="Normal 9 2 2 5 2 2" xfId="4607"/>
    <cellStyle name="Normal 9 2 2 5 2 2 2" xfId="8833"/>
    <cellStyle name="Normal 9 2 2 5 2 2 2 2" xfId="17281"/>
    <cellStyle name="Normal 9 2 2 5 2 2 3" xfId="13057"/>
    <cellStyle name="Normal 9 2 2 5 2 3" xfId="6721"/>
    <cellStyle name="Normal 9 2 2 5 2 3 2" xfId="15169"/>
    <cellStyle name="Normal 9 2 2 5 2 4" xfId="10945"/>
    <cellStyle name="Normal 9 2 2 5 3" xfId="3551"/>
    <cellStyle name="Normal 9 2 2 5 3 2" xfId="7777"/>
    <cellStyle name="Normal 9 2 2 5 3 2 2" xfId="16225"/>
    <cellStyle name="Normal 9 2 2 5 3 3" xfId="12001"/>
    <cellStyle name="Normal 9 2 2 5 4" xfId="5665"/>
    <cellStyle name="Normal 9 2 2 5 4 2" xfId="14113"/>
    <cellStyle name="Normal 9 2 2 5 5" xfId="9889"/>
    <cellStyle name="Normal 9 2 2 6" xfId="1615"/>
    <cellStyle name="Normal 9 2 2 6 2" xfId="3727"/>
    <cellStyle name="Normal 9 2 2 6 2 2" xfId="7953"/>
    <cellStyle name="Normal 9 2 2 6 2 2 2" xfId="16401"/>
    <cellStyle name="Normal 9 2 2 6 2 3" xfId="12177"/>
    <cellStyle name="Normal 9 2 2 6 3" xfId="5841"/>
    <cellStyle name="Normal 9 2 2 6 3 2" xfId="14289"/>
    <cellStyle name="Normal 9 2 2 6 4" xfId="10065"/>
    <cellStyle name="Normal 9 2 2 7" xfId="2671"/>
    <cellStyle name="Normal 9 2 2 7 2" xfId="6897"/>
    <cellStyle name="Normal 9 2 2 7 2 2" xfId="15345"/>
    <cellStyle name="Normal 9 2 2 7 3" xfId="11121"/>
    <cellStyle name="Normal 9 2 2 8" xfId="4784"/>
    <cellStyle name="Normal 9 2 2 8 2" xfId="13233"/>
    <cellStyle name="Normal 9 2 2 9" xfId="9009"/>
    <cellStyle name="Normal 9 2 3" xfId="440"/>
    <cellStyle name="Normal 9 2 3 2" xfId="730"/>
    <cellStyle name="Normal 9 2 3 2 2" xfId="1082"/>
    <cellStyle name="Normal 9 2 3 2 2 2" xfId="2144"/>
    <cellStyle name="Normal 9 2 3 2 2 2 2" xfId="4256"/>
    <cellStyle name="Normal 9 2 3 2 2 2 2 2" xfId="8482"/>
    <cellStyle name="Normal 9 2 3 2 2 2 2 2 2" xfId="16930"/>
    <cellStyle name="Normal 9 2 3 2 2 2 2 3" xfId="12706"/>
    <cellStyle name="Normal 9 2 3 2 2 2 3" xfId="6370"/>
    <cellStyle name="Normal 9 2 3 2 2 2 3 2" xfId="14818"/>
    <cellStyle name="Normal 9 2 3 2 2 2 4" xfId="10594"/>
    <cellStyle name="Normal 9 2 3 2 2 3" xfId="3200"/>
    <cellStyle name="Normal 9 2 3 2 2 3 2" xfId="7426"/>
    <cellStyle name="Normal 9 2 3 2 2 3 2 2" xfId="15874"/>
    <cellStyle name="Normal 9 2 3 2 2 3 3" xfId="11650"/>
    <cellStyle name="Normal 9 2 3 2 2 4" xfId="5314"/>
    <cellStyle name="Normal 9 2 3 2 2 4 2" xfId="13762"/>
    <cellStyle name="Normal 9 2 3 2 2 5" xfId="9538"/>
    <cellStyle name="Normal 9 2 3 2 3" xfId="1792"/>
    <cellStyle name="Normal 9 2 3 2 3 2" xfId="3904"/>
    <cellStyle name="Normal 9 2 3 2 3 2 2" xfId="8130"/>
    <cellStyle name="Normal 9 2 3 2 3 2 2 2" xfId="16578"/>
    <cellStyle name="Normal 9 2 3 2 3 2 3" xfId="12354"/>
    <cellStyle name="Normal 9 2 3 2 3 3" xfId="6018"/>
    <cellStyle name="Normal 9 2 3 2 3 3 2" xfId="14466"/>
    <cellStyle name="Normal 9 2 3 2 3 4" xfId="10242"/>
    <cellStyle name="Normal 9 2 3 2 4" xfId="2848"/>
    <cellStyle name="Normal 9 2 3 2 4 2" xfId="7074"/>
    <cellStyle name="Normal 9 2 3 2 4 2 2" xfId="15522"/>
    <cellStyle name="Normal 9 2 3 2 4 3" xfId="11298"/>
    <cellStyle name="Normal 9 2 3 2 5" xfId="4962"/>
    <cellStyle name="Normal 9 2 3 2 5 2" xfId="13410"/>
    <cellStyle name="Normal 9 2 3 2 6" xfId="9186"/>
    <cellStyle name="Normal 9 2 3 3" xfId="906"/>
    <cellStyle name="Normal 9 2 3 3 2" xfId="1968"/>
    <cellStyle name="Normal 9 2 3 3 2 2" xfId="4080"/>
    <cellStyle name="Normal 9 2 3 3 2 2 2" xfId="8306"/>
    <cellStyle name="Normal 9 2 3 3 2 2 2 2" xfId="16754"/>
    <cellStyle name="Normal 9 2 3 3 2 2 3" xfId="12530"/>
    <cellStyle name="Normal 9 2 3 3 2 3" xfId="6194"/>
    <cellStyle name="Normal 9 2 3 3 2 3 2" xfId="14642"/>
    <cellStyle name="Normal 9 2 3 3 2 4" xfId="10418"/>
    <cellStyle name="Normal 9 2 3 3 3" xfId="3024"/>
    <cellStyle name="Normal 9 2 3 3 3 2" xfId="7250"/>
    <cellStyle name="Normal 9 2 3 3 3 2 2" xfId="15698"/>
    <cellStyle name="Normal 9 2 3 3 3 3" xfId="11474"/>
    <cellStyle name="Normal 9 2 3 3 4" xfId="5138"/>
    <cellStyle name="Normal 9 2 3 3 4 2" xfId="13586"/>
    <cellStyle name="Normal 9 2 3 3 5" xfId="9362"/>
    <cellStyle name="Normal 9 2 3 4" xfId="1258"/>
    <cellStyle name="Normal 9 2 3 4 2" xfId="2320"/>
    <cellStyle name="Normal 9 2 3 4 2 2" xfId="4432"/>
    <cellStyle name="Normal 9 2 3 4 2 2 2" xfId="8658"/>
    <cellStyle name="Normal 9 2 3 4 2 2 2 2" xfId="17106"/>
    <cellStyle name="Normal 9 2 3 4 2 2 3" xfId="12882"/>
    <cellStyle name="Normal 9 2 3 4 2 3" xfId="6546"/>
    <cellStyle name="Normal 9 2 3 4 2 3 2" xfId="14994"/>
    <cellStyle name="Normal 9 2 3 4 2 4" xfId="10770"/>
    <cellStyle name="Normal 9 2 3 4 3" xfId="3376"/>
    <cellStyle name="Normal 9 2 3 4 3 2" xfId="7602"/>
    <cellStyle name="Normal 9 2 3 4 3 2 2" xfId="16050"/>
    <cellStyle name="Normal 9 2 3 4 3 3" xfId="11826"/>
    <cellStyle name="Normal 9 2 3 4 4" xfId="5490"/>
    <cellStyle name="Normal 9 2 3 4 4 2" xfId="13938"/>
    <cellStyle name="Normal 9 2 3 4 5" xfId="9714"/>
    <cellStyle name="Normal 9 2 3 5" xfId="1440"/>
    <cellStyle name="Normal 9 2 3 5 2" xfId="2496"/>
    <cellStyle name="Normal 9 2 3 5 2 2" xfId="4608"/>
    <cellStyle name="Normal 9 2 3 5 2 2 2" xfId="8834"/>
    <cellStyle name="Normal 9 2 3 5 2 2 2 2" xfId="17282"/>
    <cellStyle name="Normal 9 2 3 5 2 2 3" xfId="13058"/>
    <cellStyle name="Normal 9 2 3 5 2 3" xfId="6722"/>
    <cellStyle name="Normal 9 2 3 5 2 3 2" xfId="15170"/>
    <cellStyle name="Normal 9 2 3 5 2 4" xfId="10946"/>
    <cellStyle name="Normal 9 2 3 5 3" xfId="3552"/>
    <cellStyle name="Normal 9 2 3 5 3 2" xfId="7778"/>
    <cellStyle name="Normal 9 2 3 5 3 2 2" xfId="16226"/>
    <cellStyle name="Normal 9 2 3 5 3 3" xfId="12002"/>
    <cellStyle name="Normal 9 2 3 5 4" xfId="5666"/>
    <cellStyle name="Normal 9 2 3 5 4 2" xfId="14114"/>
    <cellStyle name="Normal 9 2 3 5 5" xfId="9890"/>
    <cellStyle name="Normal 9 2 3 6" xfId="1616"/>
    <cellStyle name="Normal 9 2 3 6 2" xfId="3728"/>
    <cellStyle name="Normal 9 2 3 6 2 2" xfId="7954"/>
    <cellStyle name="Normal 9 2 3 6 2 2 2" xfId="16402"/>
    <cellStyle name="Normal 9 2 3 6 2 3" xfId="12178"/>
    <cellStyle name="Normal 9 2 3 6 3" xfId="5842"/>
    <cellStyle name="Normal 9 2 3 6 3 2" xfId="14290"/>
    <cellStyle name="Normal 9 2 3 6 4" xfId="10066"/>
    <cellStyle name="Normal 9 2 3 7" xfId="2672"/>
    <cellStyle name="Normal 9 2 3 7 2" xfId="6898"/>
    <cellStyle name="Normal 9 2 3 7 2 2" xfId="15346"/>
    <cellStyle name="Normal 9 2 3 7 3" xfId="11122"/>
    <cellStyle name="Normal 9 2 3 8" xfId="4785"/>
    <cellStyle name="Normal 9 2 3 8 2" xfId="13234"/>
    <cellStyle name="Normal 9 2 3 9" xfId="9010"/>
    <cellStyle name="Normal 9 2 4" xfId="728"/>
    <cellStyle name="Normal 9 2 4 2" xfId="1080"/>
    <cellStyle name="Normal 9 2 4 2 2" xfId="2142"/>
    <cellStyle name="Normal 9 2 4 2 2 2" xfId="4254"/>
    <cellStyle name="Normal 9 2 4 2 2 2 2" xfId="8480"/>
    <cellStyle name="Normal 9 2 4 2 2 2 2 2" xfId="16928"/>
    <cellStyle name="Normal 9 2 4 2 2 2 3" xfId="12704"/>
    <cellStyle name="Normal 9 2 4 2 2 3" xfId="6368"/>
    <cellStyle name="Normal 9 2 4 2 2 3 2" xfId="14816"/>
    <cellStyle name="Normal 9 2 4 2 2 4" xfId="10592"/>
    <cellStyle name="Normal 9 2 4 2 3" xfId="3198"/>
    <cellStyle name="Normal 9 2 4 2 3 2" xfId="7424"/>
    <cellStyle name="Normal 9 2 4 2 3 2 2" xfId="15872"/>
    <cellStyle name="Normal 9 2 4 2 3 3" xfId="11648"/>
    <cellStyle name="Normal 9 2 4 2 4" xfId="5312"/>
    <cellStyle name="Normal 9 2 4 2 4 2" xfId="13760"/>
    <cellStyle name="Normal 9 2 4 2 5" xfId="9536"/>
    <cellStyle name="Normal 9 2 4 3" xfId="1790"/>
    <cellStyle name="Normal 9 2 4 3 2" xfId="3902"/>
    <cellStyle name="Normal 9 2 4 3 2 2" xfId="8128"/>
    <cellStyle name="Normal 9 2 4 3 2 2 2" xfId="16576"/>
    <cellStyle name="Normal 9 2 4 3 2 3" xfId="12352"/>
    <cellStyle name="Normal 9 2 4 3 3" xfId="6016"/>
    <cellStyle name="Normal 9 2 4 3 3 2" xfId="14464"/>
    <cellStyle name="Normal 9 2 4 3 4" xfId="10240"/>
    <cellStyle name="Normal 9 2 4 4" xfId="2846"/>
    <cellStyle name="Normal 9 2 4 4 2" xfId="7072"/>
    <cellStyle name="Normal 9 2 4 4 2 2" xfId="15520"/>
    <cellStyle name="Normal 9 2 4 4 3" xfId="11296"/>
    <cellStyle name="Normal 9 2 4 5" xfId="4960"/>
    <cellStyle name="Normal 9 2 4 5 2" xfId="13408"/>
    <cellStyle name="Normal 9 2 4 6" xfId="9184"/>
    <cellStyle name="Normal 9 2 5" xfId="904"/>
    <cellStyle name="Normal 9 2 5 2" xfId="1966"/>
    <cellStyle name="Normal 9 2 5 2 2" xfId="4078"/>
    <cellStyle name="Normal 9 2 5 2 2 2" xfId="8304"/>
    <cellStyle name="Normal 9 2 5 2 2 2 2" xfId="16752"/>
    <cellStyle name="Normal 9 2 5 2 2 3" xfId="12528"/>
    <cellStyle name="Normal 9 2 5 2 3" xfId="6192"/>
    <cellStyle name="Normal 9 2 5 2 3 2" xfId="14640"/>
    <cellStyle name="Normal 9 2 5 2 4" xfId="10416"/>
    <cellStyle name="Normal 9 2 5 3" xfId="3022"/>
    <cellStyle name="Normal 9 2 5 3 2" xfId="7248"/>
    <cellStyle name="Normal 9 2 5 3 2 2" xfId="15696"/>
    <cellStyle name="Normal 9 2 5 3 3" xfId="11472"/>
    <cellStyle name="Normal 9 2 5 4" xfId="5136"/>
    <cellStyle name="Normal 9 2 5 4 2" xfId="13584"/>
    <cellStyle name="Normal 9 2 5 5" xfId="9360"/>
    <cellStyle name="Normal 9 2 6" xfId="1256"/>
    <cellStyle name="Normal 9 2 6 2" xfId="2318"/>
    <cellStyle name="Normal 9 2 6 2 2" xfId="4430"/>
    <cellStyle name="Normal 9 2 6 2 2 2" xfId="8656"/>
    <cellStyle name="Normal 9 2 6 2 2 2 2" xfId="17104"/>
    <cellStyle name="Normal 9 2 6 2 2 3" xfId="12880"/>
    <cellStyle name="Normal 9 2 6 2 3" xfId="6544"/>
    <cellStyle name="Normal 9 2 6 2 3 2" xfId="14992"/>
    <cellStyle name="Normal 9 2 6 2 4" xfId="10768"/>
    <cellStyle name="Normal 9 2 6 3" xfId="3374"/>
    <cellStyle name="Normal 9 2 6 3 2" xfId="7600"/>
    <cellStyle name="Normal 9 2 6 3 2 2" xfId="16048"/>
    <cellStyle name="Normal 9 2 6 3 3" xfId="11824"/>
    <cellStyle name="Normal 9 2 6 4" xfId="5488"/>
    <cellStyle name="Normal 9 2 6 4 2" xfId="13936"/>
    <cellStyle name="Normal 9 2 6 5" xfId="9712"/>
    <cellStyle name="Normal 9 2 7" xfId="1438"/>
    <cellStyle name="Normal 9 2 7 2" xfId="2494"/>
    <cellStyle name="Normal 9 2 7 2 2" xfId="4606"/>
    <cellStyle name="Normal 9 2 7 2 2 2" xfId="8832"/>
    <cellStyle name="Normal 9 2 7 2 2 2 2" xfId="17280"/>
    <cellStyle name="Normal 9 2 7 2 2 3" xfId="13056"/>
    <cellStyle name="Normal 9 2 7 2 3" xfId="6720"/>
    <cellStyle name="Normal 9 2 7 2 3 2" xfId="15168"/>
    <cellStyle name="Normal 9 2 7 2 4" xfId="10944"/>
    <cellStyle name="Normal 9 2 7 3" xfId="3550"/>
    <cellStyle name="Normal 9 2 7 3 2" xfId="7776"/>
    <cellStyle name="Normal 9 2 7 3 2 2" xfId="16224"/>
    <cellStyle name="Normal 9 2 7 3 3" xfId="12000"/>
    <cellStyle name="Normal 9 2 7 4" xfId="5664"/>
    <cellStyle name="Normal 9 2 7 4 2" xfId="14112"/>
    <cellStyle name="Normal 9 2 7 5" xfId="9888"/>
    <cellStyle name="Normal 9 2 8" xfId="1614"/>
    <cellStyle name="Normal 9 2 8 2" xfId="3726"/>
    <cellStyle name="Normal 9 2 8 2 2" xfId="7952"/>
    <cellStyle name="Normal 9 2 8 2 2 2" xfId="16400"/>
    <cellStyle name="Normal 9 2 8 2 3" xfId="12176"/>
    <cellStyle name="Normal 9 2 8 3" xfId="5840"/>
    <cellStyle name="Normal 9 2 8 3 2" xfId="14288"/>
    <cellStyle name="Normal 9 2 8 4" xfId="10064"/>
    <cellStyle name="Normal 9 2 9" xfId="2670"/>
    <cellStyle name="Normal 9 2 9 2" xfId="6896"/>
    <cellStyle name="Normal 9 2 9 2 2" xfId="15344"/>
    <cellStyle name="Normal 9 2 9 3" xfId="11120"/>
    <cellStyle name="Normal 9 3" xfId="441"/>
    <cellStyle name="Normal 9 3 10" xfId="4786"/>
    <cellStyle name="Normal 9 3 10 2" xfId="13235"/>
    <cellStyle name="Normal 9 3 11" xfId="9011"/>
    <cellStyle name="Normal 9 3 2" xfId="442"/>
    <cellStyle name="Normal 9 3 2 2" xfId="732"/>
    <cellStyle name="Normal 9 3 2 2 2" xfId="1084"/>
    <cellStyle name="Normal 9 3 2 2 2 2" xfId="2146"/>
    <cellStyle name="Normal 9 3 2 2 2 2 2" xfId="4258"/>
    <cellStyle name="Normal 9 3 2 2 2 2 2 2" xfId="8484"/>
    <cellStyle name="Normal 9 3 2 2 2 2 2 2 2" xfId="16932"/>
    <cellStyle name="Normal 9 3 2 2 2 2 2 3" xfId="12708"/>
    <cellStyle name="Normal 9 3 2 2 2 2 3" xfId="6372"/>
    <cellStyle name="Normal 9 3 2 2 2 2 3 2" xfId="14820"/>
    <cellStyle name="Normal 9 3 2 2 2 2 4" xfId="10596"/>
    <cellStyle name="Normal 9 3 2 2 2 3" xfId="3202"/>
    <cellStyle name="Normal 9 3 2 2 2 3 2" xfId="7428"/>
    <cellStyle name="Normal 9 3 2 2 2 3 2 2" xfId="15876"/>
    <cellStyle name="Normal 9 3 2 2 2 3 3" xfId="11652"/>
    <cellStyle name="Normal 9 3 2 2 2 4" xfId="5316"/>
    <cellStyle name="Normal 9 3 2 2 2 4 2" xfId="13764"/>
    <cellStyle name="Normal 9 3 2 2 2 5" xfId="9540"/>
    <cellStyle name="Normal 9 3 2 2 3" xfId="1794"/>
    <cellStyle name="Normal 9 3 2 2 3 2" xfId="3906"/>
    <cellStyle name="Normal 9 3 2 2 3 2 2" xfId="8132"/>
    <cellStyle name="Normal 9 3 2 2 3 2 2 2" xfId="16580"/>
    <cellStyle name="Normal 9 3 2 2 3 2 3" xfId="12356"/>
    <cellStyle name="Normal 9 3 2 2 3 3" xfId="6020"/>
    <cellStyle name="Normal 9 3 2 2 3 3 2" xfId="14468"/>
    <cellStyle name="Normal 9 3 2 2 3 4" xfId="10244"/>
    <cellStyle name="Normal 9 3 2 2 4" xfId="2850"/>
    <cellStyle name="Normal 9 3 2 2 4 2" xfId="7076"/>
    <cellStyle name="Normal 9 3 2 2 4 2 2" xfId="15524"/>
    <cellStyle name="Normal 9 3 2 2 4 3" xfId="11300"/>
    <cellStyle name="Normal 9 3 2 2 5" xfId="4964"/>
    <cellStyle name="Normal 9 3 2 2 5 2" xfId="13412"/>
    <cellStyle name="Normal 9 3 2 2 6" xfId="9188"/>
    <cellStyle name="Normal 9 3 2 3" xfId="908"/>
    <cellStyle name="Normal 9 3 2 3 2" xfId="1970"/>
    <cellStyle name="Normal 9 3 2 3 2 2" xfId="4082"/>
    <cellStyle name="Normal 9 3 2 3 2 2 2" xfId="8308"/>
    <cellStyle name="Normal 9 3 2 3 2 2 2 2" xfId="16756"/>
    <cellStyle name="Normal 9 3 2 3 2 2 3" xfId="12532"/>
    <cellStyle name="Normal 9 3 2 3 2 3" xfId="6196"/>
    <cellStyle name="Normal 9 3 2 3 2 3 2" xfId="14644"/>
    <cellStyle name="Normal 9 3 2 3 2 4" xfId="10420"/>
    <cellStyle name="Normal 9 3 2 3 3" xfId="3026"/>
    <cellStyle name="Normal 9 3 2 3 3 2" xfId="7252"/>
    <cellStyle name="Normal 9 3 2 3 3 2 2" xfId="15700"/>
    <cellStyle name="Normal 9 3 2 3 3 3" xfId="11476"/>
    <cellStyle name="Normal 9 3 2 3 4" xfId="5140"/>
    <cellStyle name="Normal 9 3 2 3 4 2" xfId="13588"/>
    <cellStyle name="Normal 9 3 2 3 5" xfId="9364"/>
    <cellStyle name="Normal 9 3 2 4" xfId="1260"/>
    <cellStyle name="Normal 9 3 2 4 2" xfId="2322"/>
    <cellStyle name="Normal 9 3 2 4 2 2" xfId="4434"/>
    <cellStyle name="Normal 9 3 2 4 2 2 2" xfId="8660"/>
    <cellStyle name="Normal 9 3 2 4 2 2 2 2" xfId="17108"/>
    <cellStyle name="Normal 9 3 2 4 2 2 3" xfId="12884"/>
    <cellStyle name="Normal 9 3 2 4 2 3" xfId="6548"/>
    <cellStyle name="Normal 9 3 2 4 2 3 2" xfId="14996"/>
    <cellStyle name="Normal 9 3 2 4 2 4" xfId="10772"/>
    <cellStyle name="Normal 9 3 2 4 3" xfId="3378"/>
    <cellStyle name="Normal 9 3 2 4 3 2" xfId="7604"/>
    <cellStyle name="Normal 9 3 2 4 3 2 2" xfId="16052"/>
    <cellStyle name="Normal 9 3 2 4 3 3" xfId="11828"/>
    <cellStyle name="Normal 9 3 2 4 4" xfId="5492"/>
    <cellStyle name="Normal 9 3 2 4 4 2" xfId="13940"/>
    <cellStyle name="Normal 9 3 2 4 5" xfId="9716"/>
    <cellStyle name="Normal 9 3 2 5" xfId="1442"/>
    <cellStyle name="Normal 9 3 2 5 2" xfId="2498"/>
    <cellStyle name="Normal 9 3 2 5 2 2" xfId="4610"/>
    <cellStyle name="Normal 9 3 2 5 2 2 2" xfId="8836"/>
    <cellStyle name="Normal 9 3 2 5 2 2 2 2" xfId="17284"/>
    <cellStyle name="Normal 9 3 2 5 2 2 3" xfId="13060"/>
    <cellStyle name="Normal 9 3 2 5 2 3" xfId="6724"/>
    <cellStyle name="Normal 9 3 2 5 2 3 2" xfId="15172"/>
    <cellStyle name="Normal 9 3 2 5 2 4" xfId="10948"/>
    <cellStyle name="Normal 9 3 2 5 3" xfId="3554"/>
    <cellStyle name="Normal 9 3 2 5 3 2" xfId="7780"/>
    <cellStyle name="Normal 9 3 2 5 3 2 2" xfId="16228"/>
    <cellStyle name="Normal 9 3 2 5 3 3" xfId="12004"/>
    <cellStyle name="Normal 9 3 2 5 4" xfId="5668"/>
    <cellStyle name="Normal 9 3 2 5 4 2" xfId="14116"/>
    <cellStyle name="Normal 9 3 2 5 5" xfId="9892"/>
    <cellStyle name="Normal 9 3 2 6" xfId="1618"/>
    <cellStyle name="Normal 9 3 2 6 2" xfId="3730"/>
    <cellStyle name="Normal 9 3 2 6 2 2" xfId="7956"/>
    <cellStyle name="Normal 9 3 2 6 2 2 2" xfId="16404"/>
    <cellStyle name="Normal 9 3 2 6 2 3" xfId="12180"/>
    <cellStyle name="Normal 9 3 2 6 3" xfId="5844"/>
    <cellStyle name="Normal 9 3 2 6 3 2" xfId="14292"/>
    <cellStyle name="Normal 9 3 2 6 4" xfId="10068"/>
    <cellStyle name="Normal 9 3 2 7" xfId="2674"/>
    <cellStyle name="Normal 9 3 2 7 2" xfId="6900"/>
    <cellStyle name="Normal 9 3 2 7 2 2" xfId="15348"/>
    <cellStyle name="Normal 9 3 2 7 3" xfId="11124"/>
    <cellStyle name="Normal 9 3 2 8" xfId="4787"/>
    <cellStyle name="Normal 9 3 2 8 2" xfId="13236"/>
    <cellStyle name="Normal 9 3 2 9" xfId="9012"/>
    <cellStyle name="Normal 9 3 3" xfId="443"/>
    <cellStyle name="Normal 9 3 3 2" xfId="733"/>
    <cellStyle name="Normal 9 3 3 2 2" xfId="1085"/>
    <cellStyle name="Normal 9 3 3 2 2 2" xfId="2147"/>
    <cellStyle name="Normal 9 3 3 2 2 2 2" xfId="4259"/>
    <cellStyle name="Normal 9 3 3 2 2 2 2 2" xfId="8485"/>
    <cellStyle name="Normal 9 3 3 2 2 2 2 2 2" xfId="16933"/>
    <cellStyle name="Normal 9 3 3 2 2 2 2 3" xfId="12709"/>
    <cellStyle name="Normal 9 3 3 2 2 2 3" xfId="6373"/>
    <cellStyle name="Normal 9 3 3 2 2 2 3 2" xfId="14821"/>
    <cellStyle name="Normal 9 3 3 2 2 2 4" xfId="10597"/>
    <cellStyle name="Normal 9 3 3 2 2 3" xfId="3203"/>
    <cellStyle name="Normal 9 3 3 2 2 3 2" xfId="7429"/>
    <cellStyle name="Normal 9 3 3 2 2 3 2 2" xfId="15877"/>
    <cellStyle name="Normal 9 3 3 2 2 3 3" xfId="11653"/>
    <cellStyle name="Normal 9 3 3 2 2 4" xfId="5317"/>
    <cellStyle name="Normal 9 3 3 2 2 4 2" xfId="13765"/>
    <cellStyle name="Normal 9 3 3 2 2 5" xfId="9541"/>
    <cellStyle name="Normal 9 3 3 2 3" xfId="1795"/>
    <cellStyle name="Normal 9 3 3 2 3 2" xfId="3907"/>
    <cellStyle name="Normal 9 3 3 2 3 2 2" xfId="8133"/>
    <cellStyle name="Normal 9 3 3 2 3 2 2 2" xfId="16581"/>
    <cellStyle name="Normal 9 3 3 2 3 2 3" xfId="12357"/>
    <cellStyle name="Normal 9 3 3 2 3 3" xfId="6021"/>
    <cellStyle name="Normal 9 3 3 2 3 3 2" xfId="14469"/>
    <cellStyle name="Normal 9 3 3 2 3 4" xfId="10245"/>
    <cellStyle name="Normal 9 3 3 2 4" xfId="2851"/>
    <cellStyle name="Normal 9 3 3 2 4 2" xfId="7077"/>
    <cellStyle name="Normal 9 3 3 2 4 2 2" xfId="15525"/>
    <cellStyle name="Normal 9 3 3 2 4 3" xfId="11301"/>
    <cellStyle name="Normal 9 3 3 2 5" xfId="4965"/>
    <cellStyle name="Normal 9 3 3 2 5 2" xfId="13413"/>
    <cellStyle name="Normal 9 3 3 2 6" xfId="9189"/>
    <cellStyle name="Normal 9 3 3 3" xfId="909"/>
    <cellStyle name="Normal 9 3 3 3 2" xfId="1971"/>
    <cellStyle name="Normal 9 3 3 3 2 2" xfId="4083"/>
    <cellStyle name="Normal 9 3 3 3 2 2 2" xfId="8309"/>
    <cellStyle name="Normal 9 3 3 3 2 2 2 2" xfId="16757"/>
    <cellStyle name="Normal 9 3 3 3 2 2 3" xfId="12533"/>
    <cellStyle name="Normal 9 3 3 3 2 3" xfId="6197"/>
    <cellStyle name="Normal 9 3 3 3 2 3 2" xfId="14645"/>
    <cellStyle name="Normal 9 3 3 3 2 4" xfId="10421"/>
    <cellStyle name="Normal 9 3 3 3 3" xfId="3027"/>
    <cellStyle name="Normal 9 3 3 3 3 2" xfId="7253"/>
    <cellStyle name="Normal 9 3 3 3 3 2 2" xfId="15701"/>
    <cellStyle name="Normal 9 3 3 3 3 3" xfId="11477"/>
    <cellStyle name="Normal 9 3 3 3 4" xfId="5141"/>
    <cellStyle name="Normal 9 3 3 3 4 2" xfId="13589"/>
    <cellStyle name="Normal 9 3 3 3 5" xfId="9365"/>
    <cellStyle name="Normal 9 3 3 4" xfId="1261"/>
    <cellStyle name="Normal 9 3 3 4 2" xfId="2323"/>
    <cellStyle name="Normal 9 3 3 4 2 2" xfId="4435"/>
    <cellStyle name="Normal 9 3 3 4 2 2 2" xfId="8661"/>
    <cellStyle name="Normal 9 3 3 4 2 2 2 2" xfId="17109"/>
    <cellStyle name="Normal 9 3 3 4 2 2 3" xfId="12885"/>
    <cellStyle name="Normal 9 3 3 4 2 3" xfId="6549"/>
    <cellStyle name="Normal 9 3 3 4 2 3 2" xfId="14997"/>
    <cellStyle name="Normal 9 3 3 4 2 4" xfId="10773"/>
    <cellStyle name="Normal 9 3 3 4 3" xfId="3379"/>
    <cellStyle name="Normal 9 3 3 4 3 2" xfId="7605"/>
    <cellStyle name="Normal 9 3 3 4 3 2 2" xfId="16053"/>
    <cellStyle name="Normal 9 3 3 4 3 3" xfId="11829"/>
    <cellStyle name="Normal 9 3 3 4 4" xfId="5493"/>
    <cellStyle name="Normal 9 3 3 4 4 2" xfId="13941"/>
    <cellStyle name="Normal 9 3 3 4 5" xfId="9717"/>
    <cellStyle name="Normal 9 3 3 5" xfId="1443"/>
    <cellStyle name="Normal 9 3 3 5 2" xfId="2499"/>
    <cellStyle name="Normal 9 3 3 5 2 2" xfId="4611"/>
    <cellStyle name="Normal 9 3 3 5 2 2 2" xfId="8837"/>
    <cellStyle name="Normal 9 3 3 5 2 2 2 2" xfId="17285"/>
    <cellStyle name="Normal 9 3 3 5 2 2 3" xfId="13061"/>
    <cellStyle name="Normal 9 3 3 5 2 3" xfId="6725"/>
    <cellStyle name="Normal 9 3 3 5 2 3 2" xfId="15173"/>
    <cellStyle name="Normal 9 3 3 5 2 4" xfId="10949"/>
    <cellStyle name="Normal 9 3 3 5 3" xfId="3555"/>
    <cellStyle name="Normal 9 3 3 5 3 2" xfId="7781"/>
    <cellStyle name="Normal 9 3 3 5 3 2 2" xfId="16229"/>
    <cellStyle name="Normal 9 3 3 5 3 3" xfId="12005"/>
    <cellStyle name="Normal 9 3 3 5 4" xfId="5669"/>
    <cellStyle name="Normal 9 3 3 5 4 2" xfId="14117"/>
    <cellStyle name="Normal 9 3 3 5 5" xfId="9893"/>
    <cellStyle name="Normal 9 3 3 6" xfId="1619"/>
    <cellStyle name="Normal 9 3 3 6 2" xfId="3731"/>
    <cellStyle name="Normal 9 3 3 6 2 2" xfId="7957"/>
    <cellStyle name="Normal 9 3 3 6 2 2 2" xfId="16405"/>
    <cellStyle name="Normal 9 3 3 6 2 3" xfId="12181"/>
    <cellStyle name="Normal 9 3 3 6 3" xfId="5845"/>
    <cellStyle name="Normal 9 3 3 6 3 2" xfId="14293"/>
    <cellStyle name="Normal 9 3 3 6 4" xfId="10069"/>
    <cellStyle name="Normal 9 3 3 7" xfId="2675"/>
    <cellStyle name="Normal 9 3 3 7 2" xfId="6901"/>
    <cellStyle name="Normal 9 3 3 7 2 2" xfId="15349"/>
    <cellStyle name="Normal 9 3 3 7 3" xfId="11125"/>
    <cellStyle name="Normal 9 3 3 8" xfId="4788"/>
    <cellStyle name="Normal 9 3 3 8 2" xfId="13237"/>
    <cellStyle name="Normal 9 3 3 9" xfId="9013"/>
    <cellStyle name="Normal 9 3 4" xfId="731"/>
    <cellStyle name="Normal 9 3 4 2" xfId="1083"/>
    <cellStyle name="Normal 9 3 4 2 2" xfId="2145"/>
    <cellStyle name="Normal 9 3 4 2 2 2" xfId="4257"/>
    <cellStyle name="Normal 9 3 4 2 2 2 2" xfId="8483"/>
    <cellStyle name="Normal 9 3 4 2 2 2 2 2" xfId="16931"/>
    <cellStyle name="Normal 9 3 4 2 2 2 3" xfId="12707"/>
    <cellStyle name="Normal 9 3 4 2 2 3" xfId="6371"/>
    <cellStyle name="Normal 9 3 4 2 2 3 2" xfId="14819"/>
    <cellStyle name="Normal 9 3 4 2 2 4" xfId="10595"/>
    <cellStyle name="Normal 9 3 4 2 3" xfId="3201"/>
    <cellStyle name="Normal 9 3 4 2 3 2" xfId="7427"/>
    <cellStyle name="Normal 9 3 4 2 3 2 2" xfId="15875"/>
    <cellStyle name="Normal 9 3 4 2 3 3" xfId="11651"/>
    <cellStyle name="Normal 9 3 4 2 4" xfId="5315"/>
    <cellStyle name="Normal 9 3 4 2 4 2" xfId="13763"/>
    <cellStyle name="Normal 9 3 4 2 5" xfId="9539"/>
    <cellStyle name="Normal 9 3 4 3" xfId="1793"/>
    <cellStyle name="Normal 9 3 4 3 2" xfId="3905"/>
    <cellStyle name="Normal 9 3 4 3 2 2" xfId="8131"/>
    <cellStyle name="Normal 9 3 4 3 2 2 2" xfId="16579"/>
    <cellStyle name="Normal 9 3 4 3 2 3" xfId="12355"/>
    <cellStyle name="Normal 9 3 4 3 3" xfId="6019"/>
    <cellStyle name="Normal 9 3 4 3 3 2" xfId="14467"/>
    <cellStyle name="Normal 9 3 4 3 4" xfId="10243"/>
    <cellStyle name="Normal 9 3 4 4" xfId="2849"/>
    <cellStyle name="Normal 9 3 4 4 2" xfId="7075"/>
    <cellStyle name="Normal 9 3 4 4 2 2" xfId="15523"/>
    <cellStyle name="Normal 9 3 4 4 3" xfId="11299"/>
    <cellStyle name="Normal 9 3 4 5" xfId="4963"/>
    <cellStyle name="Normal 9 3 4 5 2" xfId="13411"/>
    <cellStyle name="Normal 9 3 4 6" xfId="9187"/>
    <cellStyle name="Normal 9 3 5" xfId="907"/>
    <cellStyle name="Normal 9 3 5 2" xfId="1969"/>
    <cellStyle name="Normal 9 3 5 2 2" xfId="4081"/>
    <cellStyle name="Normal 9 3 5 2 2 2" xfId="8307"/>
    <cellStyle name="Normal 9 3 5 2 2 2 2" xfId="16755"/>
    <cellStyle name="Normal 9 3 5 2 2 3" xfId="12531"/>
    <cellStyle name="Normal 9 3 5 2 3" xfId="6195"/>
    <cellStyle name="Normal 9 3 5 2 3 2" xfId="14643"/>
    <cellStyle name="Normal 9 3 5 2 4" xfId="10419"/>
    <cellStyle name="Normal 9 3 5 3" xfId="3025"/>
    <cellStyle name="Normal 9 3 5 3 2" xfId="7251"/>
    <cellStyle name="Normal 9 3 5 3 2 2" xfId="15699"/>
    <cellStyle name="Normal 9 3 5 3 3" xfId="11475"/>
    <cellStyle name="Normal 9 3 5 4" xfId="5139"/>
    <cellStyle name="Normal 9 3 5 4 2" xfId="13587"/>
    <cellStyle name="Normal 9 3 5 5" xfId="9363"/>
    <cellStyle name="Normal 9 3 6" xfId="1259"/>
    <cellStyle name="Normal 9 3 6 2" xfId="2321"/>
    <cellStyle name="Normal 9 3 6 2 2" xfId="4433"/>
    <cellStyle name="Normal 9 3 6 2 2 2" xfId="8659"/>
    <cellStyle name="Normal 9 3 6 2 2 2 2" xfId="17107"/>
    <cellStyle name="Normal 9 3 6 2 2 3" xfId="12883"/>
    <cellStyle name="Normal 9 3 6 2 3" xfId="6547"/>
    <cellStyle name="Normal 9 3 6 2 3 2" xfId="14995"/>
    <cellStyle name="Normal 9 3 6 2 4" xfId="10771"/>
    <cellStyle name="Normal 9 3 6 3" xfId="3377"/>
    <cellStyle name="Normal 9 3 6 3 2" xfId="7603"/>
    <cellStyle name="Normal 9 3 6 3 2 2" xfId="16051"/>
    <cellStyle name="Normal 9 3 6 3 3" xfId="11827"/>
    <cellStyle name="Normal 9 3 6 4" xfId="5491"/>
    <cellStyle name="Normal 9 3 6 4 2" xfId="13939"/>
    <cellStyle name="Normal 9 3 6 5" xfId="9715"/>
    <cellStyle name="Normal 9 3 7" xfId="1441"/>
    <cellStyle name="Normal 9 3 7 2" xfId="2497"/>
    <cellStyle name="Normal 9 3 7 2 2" xfId="4609"/>
    <cellStyle name="Normal 9 3 7 2 2 2" xfId="8835"/>
    <cellStyle name="Normal 9 3 7 2 2 2 2" xfId="17283"/>
    <cellStyle name="Normal 9 3 7 2 2 3" xfId="13059"/>
    <cellStyle name="Normal 9 3 7 2 3" xfId="6723"/>
    <cellStyle name="Normal 9 3 7 2 3 2" xfId="15171"/>
    <cellStyle name="Normal 9 3 7 2 4" xfId="10947"/>
    <cellStyle name="Normal 9 3 7 3" xfId="3553"/>
    <cellStyle name="Normal 9 3 7 3 2" xfId="7779"/>
    <cellStyle name="Normal 9 3 7 3 2 2" xfId="16227"/>
    <cellStyle name="Normal 9 3 7 3 3" xfId="12003"/>
    <cellStyle name="Normal 9 3 7 4" xfId="5667"/>
    <cellStyle name="Normal 9 3 7 4 2" xfId="14115"/>
    <cellStyle name="Normal 9 3 7 5" xfId="9891"/>
    <cellStyle name="Normal 9 3 8" xfId="1617"/>
    <cellStyle name="Normal 9 3 8 2" xfId="3729"/>
    <cellStyle name="Normal 9 3 8 2 2" xfId="7955"/>
    <cellStyle name="Normal 9 3 8 2 2 2" xfId="16403"/>
    <cellStyle name="Normal 9 3 8 2 3" xfId="12179"/>
    <cellStyle name="Normal 9 3 8 3" xfId="5843"/>
    <cellStyle name="Normal 9 3 8 3 2" xfId="14291"/>
    <cellStyle name="Normal 9 3 8 4" xfId="10067"/>
    <cellStyle name="Normal 9 3 9" xfId="2673"/>
    <cellStyle name="Normal 9 3 9 2" xfId="6899"/>
    <cellStyle name="Normal 9 3 9 2 2" xfId="15347"/>
    <cellStyle name="Normal 9 3 9 3" xfId="11123"/>
    <cellStyle name="Normal 9 4" xfId="444"/>
    <cellStyle name="Normal 9 5" xfId="445"/>
    <cellStyle name="Note 2" xfId="446"/>
    <cellStyle name="Note 3" xfId="17380"/>
    <cellStyle name="Note 4" xfId="17427"/>
    <cellStyle name="Output" xfId="9" builtinId="21" customBuiltin="1"/>
    <cellStyle name="Output 2" xfId="447"/>
    <cellStyle name="Output 3" xfId="17363"/>
    <cellStyle name="Percent [0]" xfId="448"/>
    <cellStyle name="Percent [0] 2" xfId="449"/>
    <cellStyle name="Percent [0] 3" xfId="17435"/>
    <cellStyle name="Percent [00]" xfId="450"/>
    <cellStyle name="Percent [00] 2" xfId="451"/>
    <cellStyle name="Percent [00] 3" xfId="17452"/>
    <cellStyle name="Percent [2]" xfId="452"/>
    <cellStyle name="Percent [2] 2" xfId="17357"/>
    <cellStyle name="Percent 10" xfId="453"/>
    <cellStyle name="Percent 10 10" xfId="1620"/>
    <cellStyle name="Percent 10 10 2" xfId="3732"/>
    <cellStyle name="Percent 10 10 2 2" xfId="7958"/>
    <cellStyle name="Percent 10 10 2 2 2" xfId="16406"/>
    <cellStyle name="Percent 10 10 2 3" xfId="12182"/>
    <cellStyle name="Percent 10 10 3" xfId="5846"/>
    <cellStyle name="Percent 10 10 3 2" xfId="14294"/>
    <cellStyle name="Percent 10 10 4" xfId="10070"/>
    <cellStyle name="Percent 10 11" xfId="2676"/>
    <cellStyle name="Percent 10 11 2" xfId="6902"/>
    <cellStyle name="Percent 10 11 2 2" xfId="15350"/>
    <cellStyle name="Percent 10 11 3" xfId="11126"/>
    <cellStyle name="Percent 10 12" xfId="4789"/>
    <cellStyle name="Percent 10 12 2" xfId="13238"/>
    <cellStyle name="Percent 10 13" xfId="9014"/>
    <cellStyle name="Percent 10 2" xfId="454"/>
    <cellStyle name="Percent 10 2 10" xfId="4790"/>
    <cellStyle name="Percent 10 2 10 2" xfId="13239"/>
    <cellStyle name="Percent 10 2 11" xfId="9015"/>
    <cellStyle name="Percent 10 2 2" xfId="455"/>
    <cellStyle name="Percent 10 2 2 2" xfId="736"/>
    <cellStyle name="Percent 10 2 2 2 2" xfId="1088"/>
    <cellStyle name="Percent 10 2 2 2 2 2" xfId="2150"/>
    <cellStyle name="Percent 10 2 2 2 2 2 2" xfId="4262"/>
    <cellStyle name="Percent 10 2 2 2 2 2 2 2" xfId="8488"/>
    <cellStyle name="Percent 10 2 2 2 2 2 2 2 2" xfId="16936"/>
    <cellStyle name="Percent 10 2 2 2 2 2 2 3" xfId="12712"/>
    <cellStyle name="Percent 10 2 2 2 2 2 3" xfId="6376"/>
    <cellStyle name="Percent 10 2 2 2 2 2 3 2" xfId="14824"/>
    <cellStyle name="Percent 10 2 2 2 2 2 4" xfId="10600"/>
    <cellStyle name="Percent 10 2 2 2 2 3" xfId="3206"/>
    <cellStyle name="Percent 10 2 2 2 2 3 2" xfId="7432"/>
    <cellStyle name="Percent 10 2 2 2 2 3 2 2" xfId="15880"/>
    <cellStyle name="Percent 10 2 2 2 2 3 3" xfId="11656"/>
    <cellStyle name="Percent 10 2 2 2 2 4" xfId="5320"/>
    <cellStyle name="Percent 10 2 2 2 2 4 2" xfId="13768"/>
    <cellStyle name="Percent 10 2 2 2 2 5" xfId="9544"/>
    <cellStyle name="Percent 10 2 2 2 3" xfId="1798"/>
    <cellStyle name="Percent 10 2 2 2 3 2" xfId="3910"/>
    <cellStyle name="Percent 10 2 2 2 3 2 2" xfId="8136"/>
    <cellStyle name="Percent 10 2 2 2 3 2 2 2" xfId="16584"/>
    <cellStyle name="Percent 10 2 2 2 3 2 3" xfId="12360"/>
    <cellStyle name="Percent 10 2 2 2 3 3" xfId="6024"/>
    <cellStyle name="Percent 10 2 2 2 3 3 2" xfId="14472"/>
    <cellStyle name="Percent 10 2 2 2 3 4" xfId="10248"/>
    <cellStyle name="Percent 10 2 2 2 4" xfId="2854"/>
    <cellStyle name="Percent 10 2 2 2 4 2" xfId="7080"/>
    <cellStyle name="Percent 10 2 2 2 4 2 2" xfId="15528"/>
    <cellStyle name="Percent 10 2 2 2 4 3" xfId="11304"/>
    <cellStyle name="Percent 10 2 2 2 5" xfId="4968"/>
    <cellStyle name="Percent 10 2 2 2 5 2" xfId="13416"/>
    <cellStyle name="Percent 10 2 2 2 6" xfId="9192"/>
    <cellStyle name="Percent 10 2 2 3" xfId="912"/>
    <cellStyle name="Percent 10 2 2 3 2" xfId="1974"/>
    <cellStyle name="Percent 10 2 2 3 2 2" xfId="4086"/>
    <cellStyle name="Percent 10 2 2 3 2 2 2" xfId="8312"/>
    <cellStyle name="Percent 10 2 2 3 2 2 2 2" xfId="16760"/>
    <cellStyle name="Percent 10 2 2 3 2 2 3" xfId="12536"/>
    <cellStyle name="Percent 10 2 2 3 2 3" xfId="6200"/>
    <cellStyle name="Percent 10 2 2 3 2 3 2" xfId="14648"/>
    <cellStyle name="Percent 10 2 2 3 2 4" xfId="10424"/>
    <cellStyle name="Percent 10 2 2 3 3" xfId="3030"/>
    <cellStyle name="Percent 10 2 2 3 3 2" xfId="7256"/>
    <cellStyle name="Percent 10 2 2 3 3 2 2" xfId="15704"/>
    <cellStyle name="Percent 10 2 2 3 3 3" xfId="11480"/>
    <cellStyle name="Percent 10 2 2 3 4" xfId="5144"/>
    <cellStyle name="Percent 10 2 2 3 4 2" xfId="13592"/>
    <cellStyle name="Percent 10 2 2 3 5" xfId="9368"/>
    <cellStyle name="Percent 10 2 2 4" xfId="1264"/>
    <cellStyle name="Percent 10 2 2 4 2" xfId="2326"/>
    <cellStyle name="Percent 10 2 2 4 2 2" xfId="4438"/>
    <cellStyle name="Percent 10 2 2 4 2 2 2" xfId="8664"/>
    <cellStyle name="Percent 10 2 2 4 2 2 2 2" xfId="17112"/>
    <cellStyle name="Percent 10 2 2 4 2 2 3" xfId="12888"/>
    <cellStyle name="Percent 10 2 2 4 2 3" xfId="6552"/>
    <cellStyle name="Percent 10 2 2 4 2 3 2" xfId="15000"/>
    <cellStyle name="Percent 10 2 2 4 2 4" xfId="10776"/>
    <cellStyle name="Percent 10 2 2 4 3" xfId="3382"/>
    <cellStyle name="Percent 10 2 2 4 3 2" xfId="7608"/>
    <cellStyle name="Percent 10 2 2 4 3 2 2" xfId="16056"/>
    <cellStyle name="Percent 10 2 2 4 3 3" xfId="11832"/>
    <cellStyle name="Percent 10 2 2 4 4" xfId="5496"/>
    <cellStyle name="Percent 10 2 2 4 4 2" xfId="13944"/>
    <cellStyle name="Percent 10 2 2 4 5" xfId="9720"/>
    <cellStyle name="Percent 10 2 2 5" xfId="1446"/>
    <cellStyle name="Percent 10 2 2 5 2" xfId="2502"/>
    <cellStyle name="Percent 10 2 2 5 2 2" xfId="4614"/>
    <cellStyle name="Percent 10 2 2 5 2 2 2" xfId="8840"/>
    <cellStyle name="Percent 10 2 2 5 2 2 2 2" xfId="17288"/>
    <cellStyle name="Percent 10 2 2 5 2 2 3" xfId="13064"/>
    <cellStyle name="Percent 10 2 2 5 2 3" xfId="6728"/>
    <cellStyle name="Percent 10 2 2 5 2 3 2" xfId="15176"/>
    <cellStyle name="Percent 10 2 2 5 2 4" xfId="10952"/>
    <cellStyle name="Percent 10 2 2 5 3" xfId="3558"/>
    <cellStyle name="Percent 10 2 2 5 3 2" xfId="7784"/>
    <cellStyle name="Percent 10 2 2 5 3 2 2" xfId="16232"/>
    <cellStyle name="Percent 10 2 2 5 3 3" xfId="12008"/>
    <cellStyle name="Percent 10 2 2 5 4" xfId="5672"/>
    <cellStyle name="Percent 10 2 2 5 4 2" xfId="14120"/>
    <cellStyle name="Percent 10 2 2 5 5" xfId="9896"/>
    <cellStyle name="Percent 10 2 2 6" xfId="1622"/>
    <cellStyle name="Percent 10 2 2 6 2" xfId="3734"/>
    <cellStyle name="Percent 10 2 2 6 2 2" xfId="7960"/>
    <cellStyle name="Percent 10 2 2 6 2 2 2" xfId="16408"/>
    <cellStyle name="Percent 10 2 2 6 2 3" xfId="12184"/>
    <cellStyle name="Percent 10 2 2 6 3" xfId="5848"/>
    <cellStyle name="Percent 10 2 2 6 3 2" xfId="14296"/>
    <cellStyle name="Percent 10 2 2 6 4" xfId="10072"/>
    <cellStyle name="Percent 10 2 2 7" xfId="2678"/>
    <cellStyle name="Percent 10 2 2 7 2" xfId="6904"/>
    <cellStyle name="Percent 10 2 2 7 2 2" xfId="15352"/>
    <cellStyle name="Percent 10 2 2 7 3" xfId="11128"/>
    <cellStyle name="Percent 10 2 2 8" xfId="4791"/>
    <cellStyle name="Percent 10 2 2 8 2" xfId="13240"/>
    <cellStyle name="Percent 10 2 2 9" xfId="9016"/>
    <cellStyle name="Percent 10 2 3" xfId="456"/>
    <cellStyle name="Percent 10 2 3 2" xfId="737"/>
    <cellStyle name="Percent 10 2 3 2 2" xfId="1089"/>
    <cellStyle name="Percent 10 2 3 2 2 2" xfId="2151"/>
    <cellStyle name="Percent 10 2 3 2 2 2 2" xfId="4263"/>
    <cellStyle name="Percent 10 2 3 2 2 2 2 2" xfId="8489"/>
    <cellStyle name="Percent 10 2 3 2 2 2 2 2 2" xfId="16937"/>
    <cellStyle name="Percent 10 2 3 2 2 2 2 3" xfId="12713"/>
    <cellStyle name="Percent 10 2 3 2 2 2 3" xfId="6377"/>
    <cellStyle name="Percent 10 2 3 2 2 2 3 2" xfId="14825"/>
    <cellStyle name="Percent 10 2 3 2 2 2 4" xfId="10601"/>
    <cellStyle name="Percent 10 2 3 2 2 3" xfId="3207"/>
    <cellStyle name="Percent 10 2 3 2 2 3 2" xfId="7433"/>
    <cellStyle name="Percent 10 2 3 2 2 3 2 2" xfId="15881"/>
    <cellStyle name="Percent 10 2 3 2 2 3 3" xfId="11657"/>
    <cellStyle name="Percent 10 2 3 2 2 4" xfId="5321"/>
    <cellStyle name="Percent 10 2 3 2 2 4 2" xfId="13769"/>
    <cellStyle name="Percent 10 2 3 2 2 5" xfId="9545"/>
    <cellStyle name="Percent 10 2 3 2 3" xfId="1799"/>
    <cellStyle name="Percent 10 2 3 2 3 2" xfId="3911"/>
    <cellStyle name="Percent 10 2 3 2 3 2 2" xfId="8137"/>
    <cellStyle name="Percent 10 2 3 2 3 2 2 2" xfId="16585"/>
    <cellStyle name="Percent 10 2 3 2 3 2 3" xfId="12361"/>
    <cellStyle name="Percent 10 2 3 2 3 3" xfId="6025"/>
    <cellStyle name="Percent 10 2 3 2 3 3 2" xfId="14473"/>
    <cellStyle name="Percent 10 2 3 2 3 4" xfId="10249"/>
    <cellStyle name="Percent 10 2 3 2 4" xfId="2855"/>
    <cellStyle name="Percent 10 2 3 2 4 2" xfId="7081"/>
    <cellStyle name="Percent 10 2 3 2 4 2 2" xfId="15529"/>
    <cellStyle name="Percent 10 2 3 2 4 3" xfId="11305"/>
    <cellStyle name="Percent 10 2 3 2 5" xfId="4969"/>
    <cellStyle name="Percent 10 2 3 2 5 2" xfId="13417"/>
    <cellStyle name="Percent 10 2 3 2 6" xfId="9193"/>
    <cellStyle name="Percent 10 2 3 3" xfId="913"/>
    <cellStyle name="Percent 10 2 3 3 2" xfId="1975"/>
    <cellStyle name="Percent 10 2 3 3 2 2" xfId="4087"/>
    <cellStyle name="Percent 10 2 3 3 2 2 2" xfId="8313"/>
    <cellStyle name="Percent 10 2 3 3 2 2 2 2" xfId="16761"/>
    <cellStyle name="Percent 10 2 3 3 2 2 3" xfId="12537"/>
    <cellStyle name="Percent 10 2 3 3 2 3" xfId="6201"/>
    <cellStyle name="Percent 10 2 3 3 2 3 2" xfId="14649"/>
    <cellStyle name="Percent 10 2 3 3 2 4" xfId="10425"/>
    <cellStyle name="Percent 10 2 3 3 3" xfId="3031"/>
    <cellStyle name="Percent 10 2 3 3 3 2" xfId="7257"/>
    <cellStyle name="Percent 10 2 3 3 3 2 2" xfId="15705"/>
    <cellStyle name="Percent 10 2 3 3 3 3" xfId="11481"/>
    <cellStyle name="Percent 10 2 3 3 4" xfId="5145"/>
    <cellStyle name="Percent 10 2 3 3 4 2" xfId="13593"/>
    <cellStyle name="Percent 10 2 3 3 5" xfId="9369"/>
    <cellStyle name="Percent 10 2 3 4" xfId="1265"/>
    <cellStyle name="Percent 10 2 3 4 2" xfId="2327"/>
    <cellStyle name="Percent 10 2 3 4 2 2" xfId="4439"/>
    <cellStyle name="Percent 10 2 3 4 2 2 2" xfId="8665"/>
    <cellStyle name="Percent 10 2 3 4 2 2 2 2" xfId="17113"/>
    <cellStyle name="Percent 10 2 3 4 2 2 3" xfId="12889"/>
    <cellStyle name="Percent 10 2 3 4 2 3" xfId="6553"/>
    <cellStyle name="Percent 10 2 3 4 2 3 2" xfId="15001"/>
    <cellStyle name="Percent 10 2 3 4 2 4" xfId="10777"/>
    <cellStyle name="Percent 10 2 3 4 3" xfId="3383"/>
    <cellStyle name="Percent 10 2 3 4 3 2" xfId="7609"/>
    <cellStyle name="Percent 10 2 3 4 3 2 2" xfId="16057"/>
    <cellStyle name="Percent 10 2 3 4 3 3" xfId="11833"/>
    <cellStyle name="Percent 10 2 3 4 4" xfId="5497"/>
    <cellStyle name="Percent 10 2 3 4 4 2" xfId="13945"/>
    <cellStyle name="Percent 10 2 3 4 5" xfId="9721"/>
    <cellStyle name="Percent 10 2 3 5" xfId="1447"/>
    <cellStyle name="Percent 10 2 3 5 2" xfId="2503"/>
    <cellStyle name="Percent 10 2 3 5 2 2" xfId="4615"/>
    <cellStyle name="Percent 10 2 3 5 2 2 2" xfId="8841"/>
    <cellStyle name="Percent 10 2 3 5 2 2 2 2" xfId="17289"/>
    <cellStyle name="Percent 10 2 3 5 2 2 3" xfId="13065"/>
    <cellStyle name="Percent 10 2 3 5 2 3" xfId="6729"/>
    <cellStyle name="Percent 10 2 3 5 2 3 2" xfId="15177"/>
    <cellStyle name="Percent 10 2 3 5 2 4" xfId="10953"/>
    <cellStyle name="Percent 10 2 3 5 3" xfId="3559"/>
    <cellStyle name="Percent 10 2 3 5 3 2" xfId="7785"/>
    <cellStyle name="Percent 10 2 3 5 3 2 2" xfId="16233"/>
    <cellStyle name="Percent 10 2 3 5 3 3" xfId="12009"/>
    <cellStyle name="Percent 10 2 3 5 4" xfId="5673"/>
    <cellStyle name="Percent 10 2 3 5 4 2" xfId="14121"/>
    <cellStyle name="Percent 10 2 3 5 5" xfId="9897"/>
    <cellStyle name="Percent 10 2 3 6" xfId="1623"/>
    <cellStyle name="Percent 10 2 3 6 2" xfId="3735"/>
    <cellStyle name="Percent 10 2 3 6 2 2" xfId="7961"/>
    <cellStyle name="Percent 10 2 3 6 2 2 2" xfId="16409"/>
    <cellStyle name="Percent 10 2 3 6 2 3" xfId="12185"/>
    <cellStyle name="Percent 10 2 3 6 3" xfId="5849"/>
    <cellStyle name="Percent 10 2 3 6 3 2" xfId="14297"/>
    <cellStyle name="Percent 10 2 3 6 4" xfId="10073"/>
    <cellStyle name="Percent 10 2 3 7" xfId="2679"/>
    <cellStyle name="Percent 10 2 3 7 2" xfId="6905"/>
    <cellStyle name="Percent 10 2 3 7 2 2" xfId="15353"/>
    <cellStyle name="Percent 10 2 3 7 3" xfId="11129"/>
    <cellStyle name="Percent 10 2 3 8" xfId="4792"/>
    <cellStyle name="Percent 10 2 3 8 2" xfId="13241"/>
    <cellStyle name="Percent 10 2 3 9" xfId="9017"/>
    <cellStyle name="Percent 10 2 4" xfId="735"/>
    <cellStyle name="Percent 10 2 4 2" xfId="1087"/>
    <cellStyle name="Percent 10 2 4 2 2" xfId="2149"/>
    <cellStyle name="Percent 10 2 4 2 2 2" xfId="4261"/>
    <cellStyle name="Percent 10 2 4 2 2 2 2" xfId="8487"/>
    <cellStyle name="Percent 10 2 4 2 2 2 2 2" xfId="16935"/>
    <cellStyle name="Percent 10 2 4 2 2 2 3" xfId="12711"/>
    <cellStyle name="Percent 10 2 4 2 2 3" xfId="6375"/>
    <cellStyle name="Percent 10 2 4 2 2 3 2" xfId="14823"/>
    <cellStyle name="Percent 10 2 4 2 2 4" xfId="10599"/>
    <cellStyle name="Percent 10 2 4 2 3" xfId="3205"/>
    <cellStyle name="Percent 10 2 4 2 3 2" xfId="7431"/>
    <cellStyle name="Percent 10 2 4 2 3 2 2" xfId="15879"/>
    <cellStyle name="Percent 10 2 4 2 3 3" xfId="11655"/>
    <cellStyle name="Percent 10 2 4 2 4" xfId="5319"/>
    <cellStyle name="Percent 10 2 4 2 4 2" xfId="13767"/>
    <cellStyle name="Percent 10 2 4 2 5" xfId="9543"/>
    <cellStyle name="Percent 10 2 4 3" xfId="1797"/>
    <cellStyle name="Percent 10 2 4 3 2" xfId="3909"/>
    <cellStyle name="Percent 10 2 4 3 2 2" xfId="8135"/>
    <cellStyle name="Percent 10 2 4 3 2 2 2" xfId="16583"/>
    <cellStyle name="Percent 10 2 4 3 2 3" xfId="12359"/>
    <cellStyle name="Percent 10 2 4 3 3" xfId="6023"/>
    <cellStyle name="Percent 10 2 4 3 3 2" xfId="14471"/>
    <cellStyle name="Percent 10 2 4 3 4" xfId="10247"/>
    <cellStyle name="Percent 10 2 4 4" xfId="2853"/>
    <cellStyle name="Percent 10 2 4 4 2" xfId="7079"/>
    <cellStyle name="Percent 10 2 4 4 2 2" xfId="15527"/>
    <cellStyle name="Percent 10 2 4 4 3" xfId="11303"/>
    <cellStyle name="Percent 10 2 4 5" xfId="4967"/>
    <cellStyle name="Percent 10 2 4 5 2" xfId="13415"/>
    <cellStyle name="Percent 10 2 4 6" xfId="9191"/>
    <cellStyle name="Percent 10 2 5" xfId="911"/>
    <cellStyle name="Percent 10 2 5 2" xfId="1973"/>
    <cellStyle name="Percent 10 2 5 2 2" xfId="4085"/>
    <cellStyle name="Percent 10 2 5 2 2 2" xfId="8311"/>
    <cellStyle name="Percent 10 2 5 2 2 2 2" xfId="16759"/>
    <cellStyle name="Percent 10 2 5 2 2 3" xfId="12535"/>
    <cellStyle name="Percent 10 2 5 2 3" xfId="6199"/>
    <cellStyle name="Percent 10 2 5 2 3 2" xfId="14647"/>
    <cellStyle name="Percent 10 2 5 2 4" xfId="10423"/>
    <cellStyle name="Percent 10 2 5 3" xfId="3029"/>
    <cellStyle name="Percent 10 2 5 3 2" xfId="7255"/>
    <cellStyle name="Percent 10 2 5 3 2 2" xfId="15703"/>
    <cellStyle name="Percent 10 2 5 3 3" xfId="11479"/>
    <cellStyle name="Percent 10 2 5 4" xfId="5143"/>
    <cellStyle name="Percent 10 2 5 4 2" xfId="13591"/>
    <cellStyle name="Percent 10 2 5 5" xfId="9367"/>
    <cellStyle name="Percent 10 2 6" xfId="1263"/>
    <cellStyle name="Percent 10 2 6 2" xfId="2325"/>
    <cellStyle name="Percent 10 2 6 2 2" xfId="4437"/>
    <cellStyle name="Percent 10 2 6 2 2 2" xfId="8663"/>
    <cellStyle name="Percent 10 2 6 2 2 2 2" xfId="17111"/>
    <cellStyle name="Percent 10 2 6 2 2 3" xfId="12887"/>
    <cellStyle name="Percent 10 2 6 2 3" xfId="6551"/>
    <cellStyle name="Percent 10 2 6 2 3 2" xfId="14999"/>
    <cellStyle name="Percent 10 2 6 2 4" xfId="10775"/>
    <cellStyle name="Percent 10 2 6 3" xfId="3381"/>
    <cellStyle name="Percent 10 2 6 3 2" xfId="7607"/>
    <cellStyle name="Percent 10 2 6 3 2 2" xfId="16055"/>
    <cellStyle name="Percent 10 2 6 3 3" xfId="11831"/>
    <cellStyle name="Percent 10 2 6 4" xfId="5495"/>
    <cellStyle name="Percent 10 2 6 4 2" xfId="13943"/>
    <cellStyle name="Percent 10 2 6 5" xfId="9719"/>
    <cellStyle name="Percent 10 2 7" xfId="1445"/>
    <cellStyle name="Percent 10 2 7 2" xfId="2501"/>
    <cellStyle name="Percent 10 2 7 2 2" xfId="4613"/>
    <cellStyle name="Percent 10 2 7 2 2 2" xfId="8839"/>
    <cellStyle name="Percent 10 2 7 2 2 2 2" xfId="17287"/>
    <cellStyle name="Percent 10 2 7 2 2 3" xfId="13063"/>
    <cellStyle name="Percent 10 2 7 2 3" xfId="6727"/>
    <cellStyle name="Percent 10 2 7 2 3 2" xfId="15175"/>
    <cellStyle name="Percent 10 2 7 2 4" xfId="10951"/>
    <cellStyle name="Percent 10 2 7 3" xfId="3557"/>
    <cellStyle name="Percent 10 2 7 3 2" xfId="7783"/>
    <cellStyle name="Percent 10 2 7 3 2 2" xfId="16231"/>
    <cellStyle name="Percent 10 2 7 3 3" xfId="12007"/>
    <cellStyle name="Percent 10 2 7 4" xfId="5671"/>
    <cellStyle name="Percent 10 2 7 4 2" xfId="14119"/>
    <cellStyle name="Percent 10 2 7 5" xfId="9895"/>
    <cellStyle name="Percent 10 2 8" xfId="1621"/>
    <cellStyle name="Percent 10 2 8 2" xfId="3733"/>
    <cellStyle name="Percent 10 2 8 2 2" xfId="7959"/>
    <cellStyle name="Percent 10 2 8 2 2 2" xfId="16407"/>
    <cellStyle name="Percent 10 2 8 2 3" xfId="12183"/>
    <cellStyle name="Percent 10 2 8 3" xfId="5847"/>
    <cellStyle name="Percent 10 2 8 3 2" xfId="14295"/>
    <cellStyle name="Percent 10 2 8 4" xfId="10071"/>
    <cellStyle name="Percent 10 2 9" xfId="2677"/>
    <cellStyle name="Percent 10 2 9 2" xfId="6903"/>
    <cellStyle name="Percent 10 2 9 2 2" xfId="15351"/>
    <cellStyle name="Percent 10 2 9 3" xfId="11127"/>
    <cellStyle name="Percent 10 3" xfId="457"/>
    <cellStyle name="Percent 10 4" xfId="458"/>
    <cellStyle name="Percent 10 4 2" xfId="738"/>
    <cellStyle name="Percent 10 4 2 2" xfId="1090"/>
    <cellStyle name="Percent 10 4 2 2 2" xfId="2152"/>
    <cellStyle name="Percent 10 4 2 2 2 2" xfId="4264"/>
    <cellStyle name="Percent 10 4 2 2 2 2 2" xfId="8490"/>
    <cellStyle name="Percent 10 4 2 2 2 2 2 2" xfId="16938"/>
    <cellStyle name="Percent 10 4 2 2 2 2 3" xfId="12714"/>
    <cellStyle name="Percent 10 4 2 2 2 3" xfId="6378"/>
    <cellStyle name="Percent 10 4 2 2 2 3 2" xfId="14826"/>
    <cellStyle name="Percent 10 4 2 2 2 4" xfId="10602"/>
    <cellStyle name="Percent 10 4 2 2 3" xfId="3208"/>
    <cellStyle name="Percent 10 4 2 2 3 2" xfId="7434"/>
    <cellStyle name="Percent 10 4 2 2 3 2 2" xfId="15882"/>
    <cellStyle name="Percent 10 4 2 2 3 3" xfId="11658"/>
    <cellStyle name="Percent 10 4 2 2 4" xfId="5322"/>
    <cellStyle name="Percent 10 4 2 2 4 2" xfId="13770"/>
    <cellStyle name="Percent 10 4 2 2 5" xfId="9546"/>
    <cellStyle name="Percent 10 4 2 3" xfId="1800"/>
    <cellStyle name="Percent 10 4 2 3 2" xfId="3912"/>
    <cellStyle name="Percent 10 4 2 3 2 2" xfId="8138"/>
    <cellStyle name="Percent 10 4 2 3 2 2 2" xfId="16586"/>
    <cellStyle name="Percent 10 4 2 3 2 3" xfId="12362"/>
    <cellStyle name="Percent 10 4 2 3 3" xfId="6026"/>
    <cellStyle name="Percent 10 4 2 3 3 2" xfId="14474"/>
    <cellStyle name="Percent 10 4 2 3 4" xfId="10250"/>
    <cellStyle name="Percent 10 4 2 4" xfId="2856"/>
    <cellStyle name="Percent 10 4 2 4 2" xfId="7082"/>
    <cellStyle name="Percent 10 4 2 4 2 2" xfId="15530"/>
    <cellStyle name="Percent 10 4 2 4 3" xfId="11306"/>
    <cellStyle name="Percent 10 4 2 5" xfId="4970"/>
    <cellStyle name="Percent 10 4 2 5 2" xfId="13418"/>
    <cellStyle name="Percent 10 4 2 6" xfId="9194"/>
    <cellStyle name="Percent 10 4 3" xfId="914"/>
    <cellStyle name="Percent 10 4 3 2" xfId="1976"/>
    <cellStyle name="Percent 10 4 3 2 2" xfId="4088"/>
    <cellStyle name="Percent 10 4 3 2 2 2" xfId="8314"/>
    <cellStyle name="Percent 10 4 3 2 2 2 2" xfId="16762"/>
    <cellStyle name="Percent 10 4 3 2 2 3" xfId="12538"/>
    <cellStyle name="Percent 10 4 3 2 3" xfId="6202"/>
    <cellStyle name="Percent 10 4 3 2 3 2" xfId="14650"/>
    <cellStyle name="Percent 10 4 3 2 4" xfId="10426"/>
    <cellStyle name="Percent 10 4 3 3" xfId="3032"/>
    <cellStyle name="Percent 10 4 3 3 2" xfId="7258"/>
    <cellStyle name="Percent 10 4 3 3 2 2" xfId="15706"/>
    <cellStyle name="Percent 10 4 3 3 3" xfId="11482"/>
    <cellStyle name="Percent 10 4 3 4" xfId="5146"/>
    <cellStyle name="Percent 10 4 3 4 2" xfId="13594"/>
    <cellStyle name="Percent 10 4 3 5" xfId="9370"/>
    <cellStyle name="Percent 10 4 4" xfId="1266"/>
    <cellStyle name="Percent 10 4 4 2" xfId="2328"/>
    <cellStyle name="Percent 10 4 4 2 2" xfId="4440"/>
    <cellStyle name="Percent 10 4 4 2 2 2" xfId="8666"/>
    <cellStyle name="Percent 10 4 4 2 2 2 2" xfId="17114"/>
    <cellStyle name="Percent 10 4 4 2 2 3" xfId="12890"/>
    <cellStyle name="Percent 10 4 4 2 3" xfId="6554"/>
    <cellStyle name="Percent 10 4 4 2 3 2" xfId="15002"/>
    <cellStyle name="Percent 10 4 4 2 4" xfId="10778"/>
    <cellStyle name="Percent 10 4 4 3" xfId="3384"/>
    <cellStyle name="Percent 10 4 4 3 2" xfId="7610"/>
    <cellStyle name="Percent 10 4 4 3 2 2" xfId="16058"/>
    <cellStyle name="Percent 10 4 4 3 3" xfId="11834"/>
    <cellStyle name="Percent 10 4 4 4" xfId="5498"/>
    <cellStyle name="Percent 10 4 4 4 2" xfId="13946"/>
    <cellStyle name="Percent 10 4 4 5" xfId="9722"/>
    <cellStyle name="Percent 10 4 5" xfId="1448"/>
    <cellStyle name="Percent 10 4 5 2" xfId="2504"/>
    <cellStyle name="Percent 10 4 5 2 2" xfId="4616"/>
    <cellStyle name="Percent 10 4 5 2 2 2" xfId="8842"/>
    <cellStyle name="Percent 10 4 5 2 2 2 2" xfId="17290"/>
    <cellStyle name="Percent 10 4 5 2 2 3" xfId="13066"/>
    <cellStyle name="Percent 10 4 5 2 3" xfId="6730"/>
    <cellStyle name="Percent 10 4 5 2 3 2" xfId="15178"/>
    <cellStyle name="Percent 10 4 5 2 4" xfId="10954"/>
    <cellStyle name="Percent 10 4 5 3" xfId="3560"/>
    <cellStyle name="Percent 10 4 5 3 2" xfId="7786"/>
    <cellStyle name="Percent 10 4 5 3 2 2" xfId="16234"/>
    <cellStyle name="Percent 10 4 5 3 3" xfId="12010"/>
    <cellStyle name="Percent 10 4 5 4" xfId="5674"/>
    <cellStyle name="Percent 10 4 5 4 2" xfId="14122"/>
    <cellStyle name="Percent 10 4 5 5" xfId="9898"/>
    <cellStyle name="Percent 10 4 6" xfId="1624"/>
    <cellStyle name="Percent 10 4 6 2" xfId="3736"/>
    <cellStyle name="Percent 10 4 6 2 2" xfId="7962"/>
    <cellStyle name="Percent 10 4 6 2 2 2" xfId="16410"/>
    <cellStyle name="Percent 10 4 6 2 3" xfId="12186"/>
    <cellStyle name="Percent 10 4 6 3" xfId="5850"/>
    <cellStyle name="Percent 10 4 6 3 2" xfId="14298"/>
    <cellStyle name="Percent 10 4 6 4" xfId="10074"/>
    <cellStyle name="Percent 10 4 7" xfId="2680"/>
    <cellStyle name="Percent 10 4 7 2" xfId="6906"/>
    <cellStyle name="Percent 10 4 7 2 2" xfId="15354"/>
    <cellStyle name="Percent 10 4 7 3" xfId="11130"/>
    <cellStyle name="Percent 10 4 8" xfId="4793"/>
    <cellStyle name="Percent 10 4 8 2" xfId="13242"/>
    <cellStyle name="Percent 10 4 9" xfId="9018"/>
    <cellStyle name="Percent 10 5" xfId="459"/>
    <cellStyle name="Percent 10 5 2" xfId="739"/>
    <cellStyle name="Percent 10 5 2 2" xfId="1091"/>
    <cellStyle name="Percent 10 5 2 2 2" xfId="2153"/>
    <cellStyle name="Percent 10 5 2 2 2 2" xfId="4265"/>
    <cellStyle name="Percent 10 5 2 2 2 2 2" xfId="8491"/>
    <cellStyle name="Percent 10 5 2 2 2 2 2 2" xfId="16939"/>
    <cellStyle name="Percent 10 5 2 2 2 2 3" xfId="12715"/>
    <cellStyle name="Percent 10 5 2 2 2 3" xfId="6379"/>
    <cellStyle name="Percent 10 5 2 2 2 3 2" xfId="14827"/>
    <cellStyle name="Percent 10 5 2 2 2 4" xfId="10603"/>
    <cellStyle name="Percent 10 5 2 2 3" xfId="3209"/>
    <cellStyle name="Percent 10 5 2 2 3 2" xfId="7435"/>
    <cellStyle name="Percent 10 5 2 2 3 2 2" xfId="15883"/>
    <cellStyle name="Percent 10 5 2 2 3 3" xfId="11659"/>
    <cellStyle name="Percent 10 5 2 2 4" xfId="5323"/>
    <cellStyle name="Percent 10 5 2 2 4 2" xfId="13771"/>
    <cellStyle name="Percent 10 5 2 2 5" xfId="9547"/>
    <cellStyle name="Percent 10 5 2 3" xfId="1801"/>
    <cellStyle name="Percent 10 5 2 3 2" xfId="3913"/>
    <cellStyle name="Percent 10 5 2 3 2 2" xfId="8139"/>
    <cellStyle name="Percent 10 5 2 3 2 2 2" xfId="16587"/>
    <cellStyle name="Percent 10 5 2 3 2 3" xfId="12363"/>
    <cellStyle name="Percent 10 5 2 3 3" xfId="6027"/>
    <cellStyle name="Percent 10 5 2 3 3 2" xfId="14475"/>
    <cellStyle name="Percent 10 5 2 3 4" xfId="10251"/>
    <cellStyle name="Percent 10 5 2 4" xfId="2857"/>
    <cellStyle name="Percent 10 5 2 4 2" xfId="7083"/>
    <cellStyle name="Percent 10 5 2 4 2 2" xfId="15531"/>
    <cellStyle name="Percent 10 5 2 4 3" xfId="11307"/>
    <cellStyle name="Percent 10 5 2 5" xfId="4971"/>
    <cellStyle name="Percent 10 5 2 5 2" xfId="13419"/>
    <cellStyle name="Percent 10 5 2 6" xfId="9195"/>
    <cellStyle name="Percent 10 5 3" xfId="915"/>
    <cellStyle name="Percent 10 5 3 2" xfId="1977"/>
    <cellStyle name="Percent 10 5 3 2 2" xfId="4089"/>
    <cellStyle name="Percent 10 5 3 2 2 2" xfId="8315"/>
    <cellStyle name="Percent 10 5 3 2 2 2 2" xfId="16763"/>
    <cellStyle name="Percent 10 5 3 2 2 3" xfId="12539"/>
    <cellStyle name="Percent 10 5 3 2 3" xfId="6203"/>
    <cellStyle name="Percent 10 5 3 2 3 2" xfId="14651"/>
    <cellStyle name="Percent 10 5 3 2 4" xfId="10427"/>
    <cellStyle name="Percent 10 5 3 3" xfId="3033"/>
    <cellStyle name="Percent 10 5 3 3 2" xfId="7259"/>
    <cellStyle name="Percent 10 5 3 3 2 2" xfId="15707"/>
    <cellStyle name="Percent 10 5 3 3 3" xfId="11483"/>
    <cellStyle name="Percent 10 5 3 4" xfId="5147"/>
    <cellStyle name="Percent 10 5 3 4 2" xfId="13595"/>
    <cellStyle name="Percent 10 5 3 5" xfId="9371"/>
    <cellStyle name="Percent 10 5 4" xfId="1267"/>
    <cellStyle name="Percent 10 5 4 2" xfId="2329"/>
    <cellStyle name="Percent 10 5 4 2 2" xfId="4441"/>
    <cellStyle name="Percent 10 5 4 2 2 2" xfId="8667"/>
    <cellStyle name="Percent 10 5 4 2 2 2 2" xfId="17115"/>
    <cellStyle name="Percent 10 5 4 2 2 3" xfId="12891"/>
    <cellStyle name="Percent 10 5 4 2 3" xfId="6555"/>
    <cellStyle name="Percent 10 5 4 2 3 2" xfId="15003"/>
    <cellStyle name="Percent 10 5 4 2 4" xfId="10779"/>
    <cellStyle name="Percent 10 5 4 3" xfId="3385"/>
    <cellStyle name="Percent 10 5 4 3 2" xfId="7611"/>
    <cellStyle name="Percent 10 5 4 3 2 2" xfId="16059"/>
    <cellStyle name="Percent 10 5 4 3 3" xfId="11835"/>
    <cellStyle name="Percent 10 5 4 4" xfId="5499"/>
    <cellStyle name="Percent 10 5 4 4 2" xfId="13947"/>
    <cellStyle name="Percent 10 5 4 5" xfId="9723"/>
    <cellStyle name="Percent 10 5 5" xfId="1449"/>
    <cellStyle name="Percent 10 5 5 2" xfId="2505"/>
    <cellStyle name="Percent 10 5 5 2 2" xfId="4617"/>
    <cellStyle name="Percent 10 5 5 2 2 2" xfId="8843"/>
    <cellStyle name="Percent 10 5 5 2 2 2 2" xfId="17291"/>
    <cellStyle name="Percent 10 5 5 2 2 3" xfId="13067"/>
    <cellStyle name="Percent 10 5 5 2 3" xfId="6731"/>
    <cellStyle name="Percent 10 5 5 2 3 2" xfId="15179"/>
    <cellStyle name="Percent 10 5 5 2 4" xfId="10955"/>
    <cellStyle name="Percent 10 5 5 3" xfId="3561"/>
    <cellStyle name="Percent 10 5 5 3 2" xfId="7787"/>
    <cellStyle name="Percent 10 5 5 3 2 2" xfId="16235"/>
    <cellStyle name="Percent 10 5 5 3 3" xfId="12011"/>
    <cellStyle name="Percent 10 5 5 4" xfId="5675"/>
    <cellStyle name="Percent 10 5 5 4 2" xfId="14123"/>
    <cellStyle name="Percent 10 5 5 5" xfId="9899"/>
    <cellStyle name="Percent 10 5 6" xfId="1625"/>
    <cellStyle name="Percent 10 5 6 2" xfId="3737"/>
    <cellStyle name="Percent 10 5 6 2 2" xfId="7963"/>
    <cellStyle name="Percent 10 5 6 2 2 2" xfId="16411"/>
    <cellStyle name="Percent 10 5 6 2 3" xfId="12187"/>
    <cellStyle name="Percent 10 5 6 3" xfId="5851"/>
    <cellStyle name="Percent 10 5 6 3 2" xfId="14299"/>
    <cellStyle name="Percent 10 5 6 4" xfId="10075"/>
    <cellStyle name="Percent 10 5 7" xfId="2681"/>
    <cellStyle name="Percent 10 5 7 2" xfId="6907"/>
    <cellStyle name="Percent 10 5 7 2 2" xfId="15355"/>
    <cellStyle name="Percent 10 5 7 3" xfId="11131"/>
    <cellStyle name="Percent 10 5 8" xfId="4794"/>
    <cellStyle name="Percent 10 5 8 2" xfId="13243"/>
    <cellStyle name="Percent 10 5 9" xfId="9019"/>
    <cellStyle name="Percent 10 6" xfId="734"/>
    <cellStyle name="Percent 10 6 2" xfId="1086"/>
    <cellStyle name="Percent 10 6 2 2" xfId="2148"/>
    <cellStyle name="Percent 10 6 2 2 2" xfId="4260"/>
    <cellStyle name="Percent 10 6 2 2 2 2" xfId="8486"/>
    <cellStyle name="Percent 10 6 2 2 2 2 2" xfId="16934"/>
    <cellStyle name="Percent 10 6 2 2 2 3" xfId="12710"/>
    <cellStyle name="Percent 10 6 2 2 3" xfId="6374"/>
    <cellStyle name="Percent 10 6 2 2 3 2" xfId="14822"/>
    <cellStyle name="Percent 10 6 2 2 4" xfId="10598"/>
    <cellStyle name="Percent 10 6 2 3" xfId="3204"/>
    <cellStyle name="Percent 10 6 2 3 2" xfId="7430"/>
    <cellStyle name="Percent 10 6 2 3 2 2" xfId="15878"/>
    <cellStyle name="Percent 10 6 2 3 3" xfId="11654"/>
    <cellStyle name="Percent 10 6 2 4" xfId="5318"/>
    <cellStyle name="Percent 10 6 2 4 2" xfId="13766"/>
    <cellStyle name="Percent 10 6 2 5" xfId="9542"/>
    <cellStyle name="Percent 10 6 3" xfId="1796"/>
    <cellStyle name="Percent 10 6 3 2" xfId="3908"/>
    <cellStyle name="Percent 10 6 3 2 2" xfId="8134"/>
    <cellStyle name="Percent 10 6 3 2 2 2" xfId="16582"/>
    <cellStyle name="Percent 10 6 3 2 3" xfId="12358"/>
    <cellStyle name="Percent 10 6 3 3" xfId="6022"/>
    <cellStyle name="Percent 10 6 3 3 2" xfId="14470"/>
    <cellStyle name="Percent 10 6 3 4" xfId="10246"/>
    <cellStyle name="Percent 10 6 4" xfId="2852"/>
    <cellStyle name="Percent 10 6 4 2" xfId="7078"/>
    <cellStyle name="Percent 10 6 4 2 2" xfId="15526"/>
    <cellStyle name="Percent 10 6 4 3" xfId="11302"/>
    <cellStyle name="Percent 10 6 5" xfId="4966"/>
    <cellStyle name="Percent 10 6 5 2" xfId="13414"/>
    <cellStyle name="Percent 10 6 6" xfId="9190"/>
    <cellStyle name="Percent 10 7" xfId="910"/>
    <cellStyle name="Percent 10 7 2" xfId="1972"/>
    <cellStyle name="Percent 10 7 2 2" xfId="4084"/>
    <cellStyle name="Percent 10 7 2 2 2" xfId="8310"/>
    <cellStyle name="Percent 10 7 2 2 2 2" xfId="16758"/>
    <cellStyle name="Percent 10 7 2 2 3" xfId="12534"/>
    <cellStyle name="Percent 10 7 2 3" xfId="6198"/>
    <cellStyle name="Percent 10 7 2 3 2" xfId="14646"/>
    <cellStyle name="Percent 10 7 2 4" xfId="10422"/>
    <cellStyle name="Percent 10 7 3" xfId="3028"/>
    <cellStyle name="Percent 10 7 3 2" xfId="7254"/>
    <cellStyle name="Percent 10 7 3 2 2" xfId="15702"/>
    <cellStyle name="Percent 10 7 3 3" xfId="11478"/>
    <cellStyle name="Percent 10 7 4" xfId="5142"/>
    <cellStyle name="Percent 10 7 4 2" xfId="13590"/>
    <cellStyle name="Percent 10 7 5" xfId="9366"/>
    <cellStyle name="Percent 10 8" xfId="1262"/>
    <cellStyle name="Percent 10 8 2" xfId="2324"/>
    <cellStyle name="Percent 10 8 2 2" xfId="4436"/>
    <cellStyle name="Percent 10 8 2 2 2" xfId="8662"/>
    <cellStyle name="Percent 10 8 2 2 2 2" xfId="17110"/>
    <cellStyle name="Percent 10 8 2 2 3" xfId="12886"/>
    <cellStyle name="Percent 10 8 2 3" xfId="6550"/>
    <cellStyle name="Percent 10 8 2 3 2" xfId="14998"/>
    <cellStyle name="Percent 10 8 2 4" xfId="10774"/>
    <cellStyle name="Percent 10 8 3" xfId="3380"/>
    <cellStyle name="Percent 10 8 3 2" xfId="7606"/>
    <cellStyle name="Percent 10 8 3 2 2" xfId="16054"/>
    <cellStyle name="Percent 10 8 3 3" xfId="11830"/>
    <cellStyle name="Percent 10 8 4" xfId="5494"/>
    <cellStyle name="Percent 10 8 4 2" xfId="13942"/>
    <cellStyle name="Percent 10 8 5" xfId="9718"/>
    <cellStyle name="Percent 10 9" xfId="1444"/>
    <cellStyle name="Percent 10 9 2" xfId="2500"/>
    <cellStyle name="Percent 10 9 2 2" xfId="4612"/>
    <cellStyle name="Percent 10 9 2 2 2" xfId="8838"/>
    <cellStyle name="Percent 10 9 2 2 2 2" xfId="17286"/>
    <cellStyle name="Percent 10 9 2 2 3" xfId="13062"/>
    <cellStyle name="Percent 10 9 2 3" xfId="6726"/>
    <cellStyle name="Percent 10 9 2 3 2" xfId="15174"/>
    <cellStyle name="Percent 10 9 2 4" xfId="10950"/>
    <cellStyle name="Percent 10 9 3" xfId="3556"/>
    <cellStyle name="Percent 10 9 3 2" xfId="7782"/>
    <cellStyle name="Percent 10 9 3 2 2" xfId="16230"/>
    <cellStyle name="Percent 10 9 3 3" xfId="12006"/>
    <cellStyle name="Percent 10 9 4" xfId="5670"/>
    <cellStyle name="Percent 10 9 4 2" xfId="14118"/>
    <cellStyle name="Percent 10 9 5" xfId="9894"/>
    <cellStyle name="Percent 11" xfId="460"/>
    <cellStyle name="Percent 11 10" xfId="1626"/>
    <cellStyle name="Percent 11 10 2" xfId="3738"/>
    <cellStyle name="Percent 11 10 2 2" xfId="7964"/>
    <cellStyle name="Percent 11 10 2 2 2" xfId="16412"/>
    <cellStyle name="Percent 11 10 2 3" xfId="12188"/>
    <cellStyle name="Percent 11 10 3" xfId="5852"/>
    <cellStyle name="Percent 11 10 3 2" xfId="14300"/>
    <cellStyle name="Percent 11 10 4" xfId="10076"/>
    <cellStyle name="Percent 11 11" xfId="2682"/>
    <cellStyle name="Percent 11 11 2" xfId="6908"/>
    <cellStyle name="Percent 11 11 2 2" xfId="15356"/>
    <cellStyle name="Percent 11 11 3" xfId="11132"/>
    <cellStyle name="Percent 11 12" xfId="4795"/>
    <cellStyle name="Percent 11 12 2" xfId="13244"/>
    <cellStyle name="Percent 11 13" xfId="9020"/>
    <cellStyle name="Percent 11 2" xfId="461"/>
    <cellStyle name="Percent 11 2 10" xfId="4796"/>
    <cellStyle name="Percent 11 2 10 2" xfId="13245"/>
    <cellStyle name="Percent 11 2 11" xfId="9021"/>
    <cellStyle name="Percent 11 2 2" xfId="462"/>
    <cellStyle name="Percent 11 2 2 2" xfId="742"/>
    <cellStyle name="Percent 11 2 2 2 2" xfId="1094"/>
    <cellStyle name="Percent 11 2 2 2 2 2" xfId="2156"/>
    <cellStyle name="Percent 11 2 2 2 2 2 2" xfId="4268"/>
    <cellStyle name="Percent 11 2 2 2 2 2 2 2" xfId="8494"/>
    <cellStyle name="Percent 11 2 2 2 2 2 2 2 2" xfId="16942"/>
    <cellStyle name="Percent 11 2 2 2 2 2 2 3" xfId="12718"/>
    <cellStyle name="Percent 11 2 2 2 2 2 3" xfId="6382"/>
    <cellStyle name="Percent 11 2 2 2 2 2 3 2" xfId="14830"/>
    <cellStyle name="Percent 11 2 2 2 2 2 4" xfId="10606"/>
    <cellStyle name="Percent 11 2 2 2 2 3" xfId="3212"/>
    <cellStyle name="Percent 11 2 2 2 2 3 2" xfId="7438"/>
    <cellStyle name="Percent 11 2 2 2 2 3 2 2" xfId="15886"/>
    <cellStyle name="Percent 11 2 2 2 2 3 3" xfId="11662"/>
    <cellStyle name="Percent 11 2 2 2 2 4" xfId="5326"/>
    <cellStyle name="Percent 11 2 2 2 2 4 2" xfId="13774"/>
    <cellStyle name="Percent 11 2 2 2 2 5" xfId="9550"/>
    <cellStyle name="Percent 11 2 2 2 3" xfId="1804"/>
    <cellStyle name="Percent 11 2 2 2 3 2" xfId="3916"/>
    <cellStyle name="Percent 11 2 2 2 3 2 2" xfId="8142"/>
    <cellStyle name="Percent 11 2 2 2 3 2 2 2" xfId="16590"/>
    <cellStyle name="Percent 11 2 2 2 3 2 3" xfId="12366"/>
    <cellStyle name="Percent 11 2 2 2 3 3" xfId="6030"/>
    <cellStyle name="Percent 11 2 2 2 3 3 2" xfId="14478"/>
    <cellStyle name="Percent 11 2 2 2 3 4" xfId="10254"/>
    <cellStyle name="Percent 11 2 2 2 4" xfId="2860"/>
    <cellStyle name="Percent 11 2 2 2 4 2" xfId="7086"/>
    <cellStyle name="Percent 11 2 2 2 4 2 2" xfId="15534"/>
    <cellStyle name="Percent 11 2 2 2 4 3" xfId="11310"/>
    <cellStyle name="Percent 11 2 2 2 5" xfId="4974"/>
    <cellStyle name="Percent 11 2 2 2 5 2" xfId="13422"/>
    <cellStyle name="Percent 11 2 2 2 6" xfId="9198"/>
    <cellStyle name="Percent 11 2 2 3" xfId="918"/>
    <cellStyle name="Percent 11 2 2 3 2" xfId="1980"/>
    <cellStyle name="Percent 11 2 2 3 2 2" xfId="4092"/>
    <cellStyle name="Percent 11 2 2 3 2 2 2" xfId="8318"/>
    <cellStyle name="Percent 11 2 2 3 2 2 2 2" xfId="16766"/>
    <cellStyle name="Percent 11 2 2 3 2 2 3" xfId="12542"/>
    <cellStyle name="Percent 11 2 2 3 2 3" xfId="6206"/>
    <cellStyle name="Percent 11 2 2 3 2 3 2" xfId="14654"/>
    <cellStyle name="Percent 11 2 2 3 2 4" xfId="10430"/>
    <cellStyle name="Percent 11 2 2 3 3" xfId="3036"/>
    <cellStyle name="Percent 11 2 2 3 3 2" xfId="7262"/>
    <cellStyle name="Percent 11 2 2 3 3 2 2" xfId="15710"/>
    <cellStyle name="Percent 11 2 2 3 3 3" xfId="11486"/>
    <cellStyle name="Percent 11 2 2 3 4" xfId="5150"/>
    <cellStyle name="Percent 11 2 2 3 4 2" xfId="13598"/>
    <cellStyle name="Percent 11 2 2 3 5" xfId="9374"/>
    <cellStyle name="Percent 11 2 2 4" xfId="1270"/>
    <cellStyle name="Percent 11 2 2 4 2" xfId="2332"/>
    <cellStyle name="Percent 11 2 2 4 2 2" xfId="4444"/>
    <cellStyle name="Percent 11 2 2 4 2 2 2" xfId="8670"/>
    <cellStyle name="Percent 11 2 2 4 2 2 2 2" xfId="17118"/>
    <cellStyle name="Percent 11 2 2 4 2 2 3" xfId="12894"/>
    <cellStyle name="Percent 11 2 2 4 2 3" xfId="6558"/>
    <cellStyle name="Percent 11 2 2 4 2 3 2" xfId="15006"/>
    <cellStyle name="Percent 11 2 2 4 2 4" xfId="10782"/>
    <cellStyle name="Percent 11 2 2 4 3" xfId="3388"/>
    <cellStyle name="Percent 11 2 2 4 3 2" xfId="7614"/>
    <cellStyle name="Percent 11 2 2 4 3 2 2" xfId="16062"/>
    <cellStyle name="Percent 11 2 2 4 3 3" xfId="11838"/>
    <cellStyle name="Percent 11 2 2 4 4" xfId="5502"/>
    <cellStyle name="Percent 11 2 2 4 4 2" xfId="13950"/>
    <cellStyle name="Percent 11 2 2 4 5" xfId="9726"/>
    <cellStyle name="Percent 11 2 2 5" xfId="1452"/>
    <cellStyle name="Percent 11 2 2 5 2" xfId="2508"/>
    <cellStyle name="Percent 11 2 2 5 2 2" xfId="4620"/>
    <cellStyle name="Percent 11 2 2 5 2 2 2" xfId="8846"/>
    <cellStyle name="Percent 11 2 2 5 2 2 2 2" xfId="17294"/>
    <cellStyle name="Percent 11 2 2 5 2 2 3" xfId="13070"/>
    <cellStyle name="Percent 11 2 2 5 2 3" xfId="6734"/>
    <cellStyle name="Percent 11 2 2 5 2 3 2" xfId="15182"/>
    <cellStyle name="Percent 11 2 2 5 2 4" xfId="10958"/>
    <cellStyle name="Percent 11 2 2 5 3" xfId="3564"/>
    <cellStyle name="Percent 11 2 2 5 3 2" xfId="7790"/>
    <cellStyle name="Percent 11 2 2 5 3 2 2" xfId="16238"/>
    <cellStyle name="Percent 11 2 2 5 3 3" xfId="12014"/>
    <cellStyle name="Percent 11 2 2 5 4" xfId="5678"/>
    <cellStyle name="Percent 11 2 2 5 4 2" xfId="14126"/>
    <cellStyle name="Percent 11 2 2 5 5" xfId="9902"/>
    <cellStyle name="Percent 11 2 2 6" xfId="1628"/>
    <cellStyle name="Percent 11 2 2 6 2" xfId="3740"/>
    <cellStyle name="Percent 11 2 2 6 2 2" xfId="7966"/>
    <cellStyle name="Percent 11 2 2 6 2 2 2" xfId="16414"/>
    <cellStyle name="Percent 11 2 2 6 2 3" xfId="12190"/>
    <cellStyle name="Percent 11 2 2 6 3" xfId="5854"/>
    <cellStyle name="Percent 11 2 2 6 3 2" xfId="14302"/>
    <cellStyle name="Percent 11 2 2 6 4" xfId="10078"/>
    <cellStyle name="Percent 11 2 2 7" xfId="2684"/>
    <cellStyle name="Percent 11 2 2 7 2" xfId="6910"/>
    <cellStyle name="Percent 11 2 2 7 2 2" xfId="15358"/>
    <cellStyle name="Percent 11 2 2 7 3" xfId="11134"/>
    <cellStyle name="Percent 11 2 2 8" xfId="4797"/>
    <cellStyle name="Percent 11 2 2 8 2" xfId="13246"/>
    <cellStyle name="Percent 11 2 2 9" xfId="9022"/>
    <cellStyle name="Percent 11 2 3" xfId="463"/>
    <cellStyle name="Percent 11 2 3 2" xfId="743"/>
    <cellStyle name="Percent 11 2 3 2 2" xfId="1095"/>
    <cellStyle name="Percent 11 2 3 2 2 2" xfId="2157"/>
    <cellStyle name="Percent 11 2 3 2 2 2 2" xfId="4269"/>
    <cellStyle name="Percent 11 2 3 2 2 2 2 2" xfId="8495"/>
    <cellStyle name="Percent 11 2 3 2 2 2 2 2 2" xfId="16943"/>
    <cellStyle name="Percent 11 2 3 2 2 2 2 3" xfId="12719"/>
    <cellStyle name="Percent 11 2 3 2 2 2 3" xfId="6383"/>
    <cellStyle name="Percent 11 2 3 2 2 2 3 2" xfId="14831"/>
    <cellStyle name="Percent 11 2 3 2 2 2 4" xfId="10607"/>
    <cellStyle name="Percent 11 2 3 2 2 3" xfId="3213"/>
    <cellStyle name="Percent 11 2 3 2 2 3 2" xfId="7439"/>
    <cellStyle name="Percent 11 2 3 2 2 3 2 2" xfId="15887"/>
    <cellStyle name="Percent 11 2 3 2 2 3 3" xfId="11663"/>
    <cellStyle name="Percent 11 2 3 2 2 4" xfId="5327"/>
    <cellStyle name="Percent 11 2 3 2 2 4 2" xfId="13775"/>
    <cellStyle name="Percent 11 2 3 2 2 5" xfId="9551"/>
    <cellStyle name="Percent 11 2 3 2 3" xfId="1805"/>
    <cellStyle name="Percent 11 2 3 2 3 2" xfId="3917"/>
    <cellStyle name="Percent 11 2 3 2 3 2 2" xfId="8143"/>
    <cellStyle name="Percent 11 2 3 2 3 2 2 2" xfId="16591"/>
    <cellStyle name="Percent 11 2 3 2 3 2 3" xfId="12367"/>
    <cellStyle name="Percent 11 2 3 2 3 3" xfId="6031"/>
    <cellStyle name="Percent 11 2 3 2 3 3 2" xfId="14479"/>
    <cellStyle name="Percent 11 2 3 2 3 4" xfId="10255"/>
    <cellStyle name="Percent 11 2 3 2 4" xfId="2861"/>
    <cellStyle name="Percent 11 2 3 2 4 2" xfId="7087"/>
    <cellStyle name="Percent 11 2 3 2 4 2 2" xfId="15535"/>
    <cellStyle name="Percent 11 2 3 2 4 3" xfId="11311"/>
    <cellStyle name="Percent 11 2 3 2 5" xfId="4975"/>
    <cellStyle name="Percent 11 2 3 2 5 2" xfId="13423"/>
    <cellStyle name="Percent 11 2 3 2 6" xfId="9199"/>
    <cellStyle name="Percent 11 2 3 3" xfId="919"/>
    <cellStyle name="Percent 11 2 3 3 2" xfId="1981"/>
    <cellStyle name="Percent 11 2 3 3 2 2" xfId="4093"/>
    <cellStyle name="Percent 11 2 3 3 2 2 2" xfId="8319"/>
    <cellStyle name="Percent 11 2 3 3 2 2 2 2" xfId="16767"/>
    <cellStyle name="Percent 11 2 3 3 2 2 3" xfId="12543"/>
    <cellStyle name="Percent 11 2 3 3 2 3" xfId="6207"/>
    <cellStyle name="Percent 11 2 3 3 2 3 2" xfId="14655"/>
    <cellStyle name="Percent 11 2 3 3 2 4" xfId="10431"/>
    <cellStyle name="Percent 11 2 3 3 3" xfId="3037"/>
    <cellStyle name="Percent 11 2 3 3 3 2" xfId="7263"/>
    <cellStyle name="Percent 11 2 3 3 3 2 2" xfId="15711"/>
    <cellStyle name="Percent 11 2 3 3 3 3" xfId="11487"/>
    <cellStyle name="Percent 11 2 3 3 4" xfId="5151"/>
    <cellStyle name="Percent 11 2 3 3 4 2" xfId="13599"/>
    <cellStyle name="Percent 11 2 3 3 5" xfId="9375"/>
    <cellStyle name="Percent 11 2 3 4" xfId="1271"/>
    <cellStyle name="Percent 11 2 3 4 2" xfId="2333"/>
    <cellStyle name="Percent 11 2 3 4 2 2" xfId="4445"/>
    <cellStyle name="Percent 11 2 3 4 2 2 2" xfId="8671"/>
    <cellStyle name="Percent 11 2 3 4 2 2 2 2" xfId="17119"/>
    <cellStyle name="Percent 11 2 3 4 2 2 3" xfId="12895"/>
    <cellStyle name="Percent 11 2 3 4 2 3" xfId="6559"/>
    <cellStyle name="Percent 11 2 3 4 2 3 2" xfId="15007"/>
    <cellStyle name="Percent 11 2 3 4 2 4" xfId="10783"/>
    <cellStyle name="Percent 11 2 3 4 3" xfId="3389"/>
    <cellStyle name="Percent 11 2 3 4 3 2" xfId="7615"/>
    <cellStyle name="Percent 11 2 3 4 3 2 2" xfId="16063"/>
    <cellStyle name="Percent 11 2 3 4 3 3" xfId="11839"/>
    <cellStyle name="Percent 11 2 3 4 4" xfId="5503"/>
    <cellStyle name="Percent 11 2 3 4 4 2" xfId="13951"/>
    <cellStyle name="Percent 11 2 3 4 5" xfId="9727"/>
    <cellStyle name="Percent 11 2 3 5" xfId="1453"/>
    <cellStyle name="Percent 11 2 3 5 2" xfId="2509"/>
    <cellStyle name="Percent 11 2 3 5 2 2" xfId="4621"/>
    <cellStyle name="Percent 11 2 3 5 2 2 2" xfId="8847"/>
    <cellStyle name="Percent 11 2 3 5 2 2 2 2" xfId="17295"/>
    <cellStyle name="Percent 11 2 3 5 2 2 3" xfId="13071"/>
    <cellStyle name="Percent 11 2 3 5 2 3" xfId="6735"/>
    <cellStyle name="Percent 11 2 3 5 2 3 2" xfId="15183"/>
    <cellStyle name="Percent 11 2 3 5 2 4" xfId="10959"/>
    <cellStyle name="Percent 11 2 3 5 3" xfId="3565"/>
    <cellStyle name="Percent 11 2 3 5 3 2" xfId="7791"/>
    <cellStyle name="Percent 11 2 3 5 3 2 2" xfId="16239"/>
    <cellStyle name="Percent 11 2 3 5 3 3" xfId="12015"/>
    <cellStyle name="Percent 11 2 3 5 4" xfId="5679"/>
    <cellStyle name="Percent 11 2 3 5 4 2" xfId="14127"/>
    <cellStyle name="Percent 11 2 3 5 5" xfId="9903"/>
    <cellStyle name="Percent 11 2 3 6" xfId="1629"/>
    <cellStyle name="Percent 11 2 3 6 2" xfId="3741"/>
    <cellStyle name="Percent 11 2 3 6 2 2" xfId="7967"/>
    <cellStyle name="Percent 11 2 3 6 2 2 2" xfId="16415"/>
    <cellStyle name="Percent 11 2 3 6 2 3" xfId="12191"/>
    <cellStyle name="Percent 11 2 3 6 3" xfId="5855"/>
    <cellStyle name="Percent 11 2 3 6 3 2" xfId="14303"/>
    <cellStyle name="Percent 11 2 3 6 4" xfId="10079"/>
    <cellStyle name="Percent 11 2 3 7" xfId="2685"/>
    <cellStyle name="Percent 11 2 3 7 2" xfId="6911"/>
    <cellStyle name="Percent 11 2 3 7 2 2" xfId="15359"/>
    <cellStyle name="Percent 11 2 3 7 3" xfId="11135"/>
    <cellStyle name="Percent 11 2 3 8" xfId="4798"/>
    <cellStyle name="Percent 11 2 3 8 2" xfId="13247"/>
    <cellStyle name="Percent 11 2 3 9" xfId="9023"/>
    <cellStyle name="Percent 11 2 4" xfId="741"/>
    <cellStyle name="Percent 11 2 4 2" xfId="1093"/>
    <cellStyle name="Percent 11 2 4 2 2" xfId="2155"/>
    <cellStyle name="Percent 11 2 4 2 2 2" xfId="4267"/>
    <cellStyle name="Percent 11 2 4 2 2 2 2" xfId="8493"/>
    <cellStyle name="Percent 11 2 4 2 2 2 2 2" xfId="16941"/>
    <cellStyle name="Percent 11 2 4 2 2 2 3" xfId="12717"/>
    <cellStyle name="Percent 11 2 4 2 2 3" xfId="6381"/>
    <cellStyle name="Percent 11 2 4 2 2 3 2" xfId="14829"/>
    <cellStyle name="Percent 11 2 4 2 2 4" xfId="10605"/>
    <cellStyle name="Percent 11 2 4 2 3" xfId="3211"/>
    <cellStyle name="Percent 11 2 4 2 3 2" xfId="7437"/>
    <cellStyle name="Percent 11 2 4 2 3 2 2" xfId="15885"/>
    <cellStyle name="Percent 11 2 4 2 3 3" xfId="11661"/>
    <cellStyle name="Percent 11 2 4 2 4" xfId="5325"/>
    <cellStyle name="Percent 11 2 4 2 4 2" xfId="13773"/>
    <cellStyle name="Percent 11 2 4 2 5" xfId="9549"/>
    <cellStyle name="Percent 11 2 4 3" xfId="1803"/>
    <cellStyle name="Percent 11 2 4 3 2" xfId="3915"/>
    <cellStyle name="Percent 11 2 4 3 2 2" xfId="8141"/>
    <cellStyle name="Percent 11 2 4 3 2 2 2" xfId="16589"/>
    <cellStyle name="Percent 11 2 4 3 2 3" xfId="12365"/>
    <cellStyle name="Percent 11 2 4 3 3" xfId="6029"/>
    <cellStyle name="Percent 11 2 4 3 3 2" xfId="14477"/>
    <cellStyle name="Percent 11 2 4 3 4" xfId="10253"/>
    <cellStyle name="Percent 11 2 4 4" xfId="2859"/>
    <cellStyle name="Percent 11 2 4 4 2" xfId="7085"/>
    <cellStyle name="Percent 11 2 4 4 2 2" xfId="15533"/>
    <cellStyle name="Percent 11 2 4 4 3" xfId="11309"/>
    <cellStyle name="Percent 11 2 4 5" xfId="4973"/>
    <cellStyle name="Percent 11 2 4 5 2" xfId="13421"/>
    <cellStyle name="Percent 11 2 4 6" xfId="9197"/>
    <cellStyle name="Percent 11 2 5" xfId="917"/>
    <cellStyle name="Percent 11 2 5 2" xfId="1979"/>
    <cellStyle name="Percent 11 2 5 2 2" xfId="4091"/>
    <cellStyle name="Percent 11 2 5 2 2 2" xfId="8317"/>
    <cellStyle name="Percent 11 2 5 2 2 2 2" xfId="16765"/>
    <cellStyle name="Percent 11 2 5 2 2 3" xfId="12541"/>
    <cellStyle name="Percent 11 2 5 2 3" xfId="6205"/>
    <cellStyle name="Percent 11 2 5 2 3 2" xfId="14653"/>
    <cellStyle name="Percent 11 2 5 2 4" xfId="10429"/>
    <cellStyle name="Percent 11 2 5 3" xfId="3035"/>
    <cellStyle name="Percent 11 2 5 3 2" xfId="7261"/>
    <cellStyle name="Percent 11 2 5 3 2 2" xfId="15709"/>
    <cellStyle name="Percent 11 2 5 3 3" xfId="11485"/>
    <cellStyle name="Percent 11 2 5 4" xfId="5149"/>
    <cellStyle name="Percent 11 2 5 4 2" xfId="13597"/>
    <cellStyle name="Percent 11 2 5 5" xfId="9373"/>
    <cellStyle name="Percent 11 2 6" xfId="1269"/>
    <cellStyle name="Percent 11 2 6 2" xfId="2331"/>
    <cellStyle name="Percent 11 2 6 2 2" xfId="4443"/>
    <cellStyle name="Percent 11 2 6 2 2 2" xfId="8669"/>
    <cellStyle name="Percent 11 2 6 2 2 2 2" xfId="17117"/>
    <cellStyle name="Percent 11 2 6 2 2 3" xfId="12893"/>
    <cellStyle name="Percent 11 2 6 2 3" xfId="6557"/>
    <cellStyle name="Percent 11 2 6 2 3 2" xfId="15005"/>
    <cellStyle name="Percent 11 2 6 2 4" xfId="10781"/>
    <cellStyle name="Percent 11 2 6 3" xfId="3387"/>
    <cellStyle name="Percent 11 2 6 3 2" xfId="7613"/>
    <cellStyle name="Percent 11 2 6 3 2 2" xfId="16061"/>
    <cellStyle name="Percent 11 2 6 3 3" xfId="11837"/>
    <cellStyle name="Percent 11 2 6 4" xfId="5501"/>
    <cellStyle name="Percent 11 2 6 4 2" xfId="13949"/>
    <cellStyle name="Percent 11 2 6 5" xfId="9725"/>
    <cellStyle name="Percent 11 2 7" xfId="1451"/>
    <cellStyle name="Percent 11 2 7 2" xfId="2507"/>
    <cellStyle name="Percent 11 2 7 2 2" xfId="4619"/>
    <cellStyle name="Percent 11 2 7 2 2 2" xfId="8845"/>
    <cellStyle name="Percent 11 2 7 2 2 2 2" xfId="17293"/>
    <cellStyle name="Percent 11 2 7 2 2 3" xfId="13069"/>
    <cellStyle name="Percent 11 2 7 2 3" xfId="6733"/>
    <cellStyle name="Percent 11 2 7 2 3 2" xfId="15181"/>
    <cellStyle name="Percent 11 2 7 2 4" xfId="10957"/>
    <cellStyle name="Percent 11 2 7 3" xfId="3563"/>
    <cellStyle name="Percent 11 2 7 3 2" xfId="7789"/>
    <cellStyle name="Percent 11 2 7 3 2 2" xfId="16237"/>
    <cellStyle name="Percent 11 2 7 3 3" xfId="12013"/>
    <cellStyle name="Percent 11 2 7 4" xfId="5677"/>
    <cellStyle name="Percent 11 2 7 4 2" xfId="14125"/>
    <cellStyle name="Percent 11 2 7 5" xfId="9901"/>
    <cellStyle name="Percent 11 2 8" xfId="1627"/>
    <cellStyle name="Percent 11 2 8 2" xfId="3739"/>
    <cellStyle name="Percent 11 2 8 2 2" xfId="7965"/>
    <cellStyle name="Percent 11 2 8 2 2 2" xfId="16413"/>
    <cellStyle name="Percent 11 2 8 2 3" xfId="12189"/>
    <cellStyle name="Percent 11 2 8 3" xfId="5853"/>
    <cellStyle name="Percent 11 2 8 3 2" xfId="14301"/>
    <cellStyle name="Percent 11 2 8 4" xfId="10077"/>
    <cellStyle name="Percent 11 2 9" xfId="2683"/>
    <cellStyle name="Percent 11 2 9 2" xfId="6909"/>
    <cellStyle name="Percent 11 2 9 2 2" xfId="15357"/>
    <cellStyle name="Percent 11 2 9 3" xfId="11133"/>
    <cellStyle name="Percent 11 3" xfId="464"/>
    <cellStyle name="Percent 11 4" xfId="465"/>
    <cellStyle name="Percent 11 4 2" xfId="744"/>
    <cellStyle name="Percent 11 4 2 2" xfId="1096"/>
    <cellStyle name="Percent 11 4 2 2 2" xfId="2158"/>
    <cellStyle name="Percent 11 4 2 2 2 2" xfId="4270"/>
    <cellStyle name="Percent 11 4 2 2 2 2 2" xfId="8496"/>
    <cellStyle name="Percent 11 4 2 2 2 2 2 2" xfId="16944"/>
    <cellStyle name="Percent 11 4 2 2 2 2 3" xfId="12720"/>
    <cellStyle name="Percent 11 4 2 2 2 3" xfId="6384"/>
    <cellStyle name="Percent 11 4 2 2 2 3 2" xfId="14832"/>
    <cellStyle name="Percent 11 4 2 2 2 4" xfId="10608"/>
    <cellStyle name="Percent 11 4 2 2 3" xfId="3214"/>
    <cellStyle name="Percent 11 4 2 2 3 2" xfId="7440"/>
    <cellStyle name="Percent 11 4 2 2 3 2 2" xfId="15888"/>
    <cellStyle name="Percent 11 4 2 2 3 3" xfId="11664"/>
    <cellStyle name="Percent 11 4 2 2 4" xfId="5328"/>
    <cellStyle name="Percent 11 4 2 2 4 2" xfId="13776"/>
    <cellStyle name="Percent 11 4 2 2 5" xfId="9552"/>
    <cellStyle name="Percent 11 4 2 3" xfId="1806"/>
    <cellStyle name="Percent 11 4 2 3 2" xfId="3918"/>
    <cellStyle name="Percent 11 4 2 3 2 2" xfId="8144"/>
    <cellStyle name="Percent 11 4 2 3 2 2 2" xfId="16592"/>
    <cellStyle name="Percent 11 4 2 3 2 3" xfId="12368"/>
    <cellStyle name="Percent 11 4 2 3 3" xfId="6032"/>
    <cellStyle name="Percent 11 4 2 3 3 2" xfId="14480"/>
    <cellStyle name="Percent 11 4 2 3 4" xfId="10256"/>
    <cellStyle name="Percent 11 4 2 4" xfId="2862"/>
    <cellStyle name="Percent 11 4 2 4 2" xfId="7088"/>
    <cellStyle name="Percent 11 4 2 4 2 2" xfId="15536"/>
    <cellStyle name="Percent 11 4 2 4 3" xfId="11312"/>
    <cellStyle name="Percent 11 4 2 5" xfId="4976"/>
    <cellStyle name="Percent 11 4 2 5 2" xfId="13424"/>
    <cellStyle name="Percent 11 4 2 6" xfId="9200"/>
    <cellStyle name="Percent 11 4 3" xfId="920"/>
    <cellStyle name="Percent 11 4 3 2" xfId="1982"/>
    <cellStyle name="Percent 11 4 3 2 2" xfId="4094"/>
    <cellStyle name="Percent 11 4 3 2 2 2" xfId="8320"/>
    <cellStyle name="Percent 11 4 3 2 2 2 2" xfId="16768"/>
    <cellStyle name="Percent 11 4 3 2 2 3" xfId="12544"/>
    <cellStyle name="Percent 11 4 3 2 3" xfId="6208"/>
    <cellStyle name="Percent 11 4 3 2 3 2" xfId="14656"/>
    <cellStyle name="Percent 11 4 3 2 4" xfId="10432"/>
    <cellStyle name="Percent 11 4 3 3" xfId="3038"/>
    <cellStyle name="Percent 11 4 3 3 2" xfId="7264"/>
    <cellStyle name="Percent 11 4 3 3 2 2" xfId="15712"/>
    <cellStyle name="Percent 11 4 3 3 3" xfId="11488"/>
    <cellStyle name="Percent 11 4 3 4" xfId="5152"/>
    <cellStyle name="Percent 11 4 3 4 2" xfId="13600"/>
    <cellStyle name="Percent 11 4 3 5" xfId="9376"/>
    <cellStyle name="Percent 11 4 4" xfId="1272"/>
    <cellStyle name="Percent 11 4 4 2" xfId="2334"/>
    <cellStyle name="Percent 11 4 4 2 2" xfId="4446"/>
    <cellStyle name="Percent 11 4 4 2 2 2" xfId="8672"/>
    <cellStyle name="Percent 11 4 4 2 2 2 2" xfId="17120"/>
    <cellStyle name="Percent 11 4 4 2 2 3" xfId="12896"/>
    <cellStyle name="Percent 11 4 4 2 3" xfId="6560"/>
    <cellStyle name="Percent 11 4 4 2 3 2" xfId="15008"/>
    <cellStyle name="Percent 11 4 4 2 4" xfId="10784"/>
    <cellStyle name="Percent 11 4 4 3" xfId="3390"/>
    <cellStyle name="Percent 11 4 4 3 2" xfId="7616"/>
    <cellStyle name="Percent 11 4 4 3 2 2" xfId="16064"/>
    <cellStyle name="Percent 11 4 4 3 3" xfId="11840"/>
    <cellStyle name="Percent 11 4 4 4" xfId="5504"/>
    <cellStyle name="Percent 11 4 4 4 2" xfId="13952"/>
    <cellStyle name="Percent 11 4 4 5" xfId="9728"/>
    <cellStyle name="Percent 11 4 5" xfId="1454"/>
    <cellStyle name="Percent 11 4 5 2" xfId="2510"/>
    <cellStyle name="Percent 11 4 5 2 2" xfId="4622"/>
    <cellStyle name="Percent 11 4 5 2 2 2" xfId="8848"/>
    <cellStyle name="Percent 11 4 5 2 2 2 2" xfId="17296"/>
    <cellStyle name="Percent 11 4 5 2 2 3" xfId="13072"/>
    <cellStyle name="Percent 11 4 5 2 3" xfId="6736"/>
    <cellStyle name="Percent 11 4 5 2 3 2" xfId="15184"/>
    <cellStyle name="Percent 11 4 5 2 4" xfId="10960"/>
    <cellStyle name="Percent 11 4 5 3" xfId="3566"/>
    <cellStyle name="Percent 11 4 5 3 2" xfId="7792"/>
    <cellStyle name="Percent 11 4 5 3 2 2" xfId="16240"/>
    <cellStyle name="Percent 11 4 5 3 3" xfId="12016"/>
    <cellStyle name="Percent 11 4 5 4" xfId="5680"/>
    <cellStyle name="Percent 11 4 5 4 2" xfId="14128"/>
    <cellStyle name="Percent 11 4 5 5" xfId="9904"/>
    <cellStyle name="Percent 11 4 6" xfId="1630"/>
    <cellStyle name="Percent 11 4 6 2" xfId="3742"/>
    <cellStyle name="Percent 11 4 6 2 2" xfId="7968"/>
    <cellStyle name="Percent 11 4 6 2 2 2" xfId="16416"/>
    <cellStyle name="Percent 11 4 6 2 3" xfId="12192"/>
    <cellStyle name="Percent 11 4 6 3" xfId="5856"/>
    <cellStyle name="Percent 11 4 6 3 2" xfId="14304"/>
    <cellStyle name="Percent 11 4 6 4" xfId="10080"/>
    <cellStyle name="Percent 11 4 7" xfId="2686"/>
    <cellStyle name="Percent 11 4 7 2" xfId="6912"/>
    <cellStyle name="Percent 11 4 7 2 2" xfId="15360"/>
    <cellStyle name="Percent 11 4 7 3" xfId="11136"/>
    <cellStyle name="Percent 11 4 8" xfId="4799"/>
    <cellStyle name="Percent 11 4 8 2" xfId="13248"/>
    <cellStyle name="Percent 11 4 9" xfId="9024"/>
    <cellStyle name="Percent 11 5" xfId="466"/>
    <cellStyle name="Percent 11 5 2" xfId="745"/>
    <cellStyle name="Percent 11 5 2 2" xfId="1097"/>
    <cellStyle name="Percent 11 5 2 2 2" xfId="2159"/>
    <cellStyle name="Percent 11 5 2 2 2 2" xfId="4271"/>
    <cellStyle name="Percent 11 5 2 2 2 2 2" xfId="8497"/>
    <cellStyle name="Percent 11 5 2 2 2 2 2 2" xfId="16945"/>
    <cellStyle name="Percent 11 5 2 2 2 2 3" xfId="12721"/>
    <cellStyle name="Percent 11 5 2 2 2 3" xfId="6385"/>
    <cellStyle name="Percent 11 5 2 2 2 3 2" xfId="14833"/>
    <cellStyle name="Percent 11 5 2 2 2 4" xfId="10609"/>
    <cellStyle name="Percent 11 5 2 2 3" xfId="3215"/>
    <cellStyle name="Percent 11 5 2 2 3 2" xfId="7441"/>
    <cellStyle name="Percent 11 5 2 2 3 2 2" xfId="15889"/>
    <cellStyle name="Percent 11 5 2 2 3 3" xfId="11665"/>
    <cellStyle name="Percent 11 5 2 2 4" xfId="5329"/>
    <cellStyle name="Percent 11 5 2 2 4 2" xfId="13777"/>
    <cellStyle name="Percent 11 5 2 2 5" xfId="9553"/>
    <cellStyle name="Percent 11 5 2 3" xfId="1807"/>
    <cellStyle name="Percent 11 5 2 3 2" xfId="3919"/>
    <cellStyle name="Percent 11 5 2 3 2 2" xfId="8145"/>
    <cellStyle name="Percent 11 5 2 3 2 2 2" xfId="16593"/>
    <cellStyle name="Percent 11 5 2 3 2 3" xfId="12369"/>
    <cellStyle name="Percent 11 5 2 3 3" xfId="6033"/>
    <cellStyle name="Percent 11 5 2 3 3 2" xfId="14481"/>
    <cellStyle name="Percent 11 5 2 3 4" xfId="10257"/>
    <cellStyle name="Percent 11 5 2 4" xfId="2863"/>
    <cellStyle name="Percent 11 5 2 4 2" xfId="7089"/>
    <cellStyle name="Percent 11 5 2 4 2 2" xfId="15537"/>
    <cellStyle name="Percent 11 5 2 4 3" xfId="11313"/>
    <cellStyle name="Percent 11 5 2 5" xfId="4977"/>
    <cellStyle name="Percent 11 5 2 5 2" xfId="13425"/>
    <cellStyle name="Percent 11 5 2 6" xfId="9201"/>
    <cellStyle name="Percent 11 5 3" xfId="921"/>
    <cellStyle name="Percent 11 5 3 2" xfId="1983"/>
    <cellStyle name="Percent 11 5 3 2 2" xfId="4095"/>
    <cellStyle name="Percent 11 5 3 2 2 2" xfId="8321"/>
    <cellStyle name="Percent 11 5 3 2 2 2 2" xfId="16769"/>
    <cellStyle name="Percent 11 5 3 2 2 3" xfId="12545"/>
    <cellStyle name="Percent 11 5 3 2 3" xfId="6209"/>
    <cellStyle name="Percent 11 5 3 2 3 2" xfId="14657"/>
    <cellStyle name="Percent 11 5 3 2 4" xfId="10433"/>
    <cellStyle name="Percent 11 5 3 3" xfId="3039"/>
    <cellStyle name="Percent 11 5 3 3 2" xfId="7265"/>
    <cellStyle name="Percent 11 5 3 3 2 2" xfId="15713"/>
    <cellStyle name="Percent 11 5 3 3 3" xfId="11489"/>
    <cellStyle name="Percent 11 5 3 4" xfId="5153"/>
    <cellStyle name="Percent 11 5 3 4 2" xfId="13601"/>
    <cellStyle name="Percent 11 5 3 5" xfId="9377"/>
    <cellStyle name="Percent 11 5 4" xfId="1273"/>
    <cellStyle name="Percent 11 5 4 2" xfId="2335"/>
    <cellStyle name="Percent 11 5 4 2 2" xfId="4447"/>
    <cellStyle name="Percent 11 5 4 2 2 2" xfId="8673"/>
    <cellStyle name="Percent 11 5 4 2 2 2 2" xfId="17121"/>
    <cellStyle name="Percent 11 5 4 2 2 3" xfId="12897"/>
    <cellStyle name="Percent 11 5 4 2 3" xfId="6561"/>
    <cellStyle name="Percent 11 5 4 2 3 2" xfId="15009"/>
    <cellStyle name="Percent 11 5 4 2 4" xfId="10785"/>
    <cellStyle name="Percent 11 5 4 3" xfId="3391"/>
    <cellStyle name="Percent 11 5 4 3 2" xfId="7617"/>
    <cellStyle name="Percent 11 5 4 3 2 2" xfId="16065"/>
    <cellStyle name="Percent 11 5 4 3 3" xfId="11841"/>
    <cellStyle name="Percent 11 5 4 4" xfId="5505"/>
    <cellStyle name="Percent 11 5 4 4 2" xfId="13953"/>
    <cellStyle name="Percent 11 5 4 5" xfId="9729"/>
    <cellStyle name="Percent 11 5 5" xfId="1455"/>
    <cellStyle name="Percent 11 5 5 2" xfId="2511"/>
    <cellStyle name="Percent 11 5 5 2 2" xfId="4623"/>
    <cellStyle name="Percent 11 5 5 2 2 2" xfId="8849"/>
    <cellStyle name="Percent 11 5 5 2 2 2 2" xfId="17297"/>
    <cellStyle name="Percent 11 5 5 2 2 3" xfId="13073"/>
    <cellStyle name="Percent 11 5 5 2 3" xfId="6737"/>
    <cellStyle name="Percent 11 5 5 2 3 2" xfId="15185"/>
    <cellStyle name="Percent 11 5 5 2 4" xfId="10961"/>
    <cellStyle name="Percent 11 5 5 3" xfId="3567"/>
    <cellStyle name="Percent 11 5 5 3 2" xfId="7793"/>
    <cellStyle name="Percent 11 5 5 3 2 2" xfId="16241"/>
    <cellStyle name="Percent 11 5 5 3 3" xfId="12017"/>
    <cellStyle name="Percent 11 5 5 4" xfId="5681"/>
    <cellStyle name="Percent 11 5 5 4 2" xfId="14129"/>
    <cellStyle name="Percent 11 5 5 5" xfId="9905"/>
    <cellStyle name="Percent 11 5 6" xfId="1631"/>
    <cellStyle name="Percent 11 5 6 2" xfId="3743"/>
    <cellStyle name="Percent 11 5 6 2 2" xfId="7969"/>
    <cellStyle name="Percent 11 5 6 2 2 2" xfId="16417"/>
    <cellStyle name="Percent 11 5 6 2 3" xfId="12193"/>
    <cellStyle name="Percent 11 5 6 3" xfId="5857"/>
    <cellStyle name="Percent 11 5 6 3 2" xfId="14305"/>
    <cellStyle name="Percent 11 5 6 4" xfId="10081"/>
    <cellStyle name="Percent 11 5 7" xfId="2687"/>
    <cellStyle name="Percent 11 5 7 2" xfId="6913"/>
    <cellStyle name="Percent 11 5 7 2 2" xfId="15361"/>
    <cellStyle name="Percent 11 5 7 3" xfId="11137"/>
    <cellStyle name="Percent 11 5 8" xfId="4800"/>
    <cellStyle name="Percent 11 5 8 2" xfId="13249"/>
    <cellStyle name="Percent 11 5 9" xfId="9025"/>
    <cellStyle name="Percent 11 6" xfId="740"/>
    <cellStyle name="Percent 11 6 2" xfId="1092"/>
    <cellStyle name="Percent 11 6 2 2" xfId="2154"/>
    <cellStyle name="Percent 11 6 2 2 2" xfId="4266"/>
    <cellStyle name="Percent 11 6 2 2 2 2" xfId="8492"/>
    <cellStyle name="Percent 11 6 2 2 2 2 2" xfId="16940"/>
    <cellStyle name="Percent 11 6 2 2 2 3" xfId="12716"/>
    <cellStyle name="Percent 11 6 2 2 3" xfId="6380"/>
    <cellStyle name="Percent 11 6 2 2 3 2" xfId="14828"/>
    <cellStyle name="Percent 11 6 2 2 4" xfId="10604"/>
    <cellStyle name="Percent 11 6 2 3" xfId="3210"/>
    <cellStyle name="Percent 11 6 2 3 2" xfId="7436"/>
    <cellStyle name="Percent 11 6 2 3 2 2" xfId="15884"/>
    <cellStyle name="Percent 11 6 2 3 3" xfId="11660"/>
    <cellStyle name="Percent 11 6 2 4" xfId="5324"/>
    <cellStyle name="Percent 11 6 2 4 2" xfId="13772"/>
    <cellStyle name="Percent 11 6 2 5" xfId="9548"/>
    <cellStyle name="Percent 11 6 3" xfId="1802"/>
    <cellStyle name="Percent 11 6 3 2" xfId="3914"/>
    <cellStyle name="Percent 11 6 3 2 2" xfId="8140"/>
    <cellStyle name="Percent 11 6 3 2 2 2" xfId="16588"/>
    <cellStyle name="Percent 11 6 3 2 3" xfId="12364"/>
    <cellStyle name="Percent 11 6 3 3" xfId="6028"/>
    <cellStyle name="Percent 11 6 3 3 2" xfId="14476"/>
    <cellStyle name="Percent 11 6 3 4" xfId="10252"/>
    <cellStyle name="Percent 11 6 4" xfId="2858"/>
    <cellStyle name="Percent 11 6 4 2" xfId="7084"/>
    <cellStyle name="Percent 11 6 4 2 2" xfId="15532"/>
    <cellStyle name="Percent 11 6 4 3" xfId="11308"/>
    <cellStyle name="Percent 11 6 5" xfId="4972"/>
    <cellStyle name="Percent 11 6 5 2" xfId="13420"/>
    <cellStyle name="Percent 11 6 6" xfId="9196"/>
    <cellStyle name="Percent 11 7" xfId="916"/>
    <cellStyle name="Percent 11 7 2" xfId="1978"/>
    <cellStyle name="Percent 11 7 2 2" xfId="4090"/>
    <cellStyle name="Percent 11 7 2 2 2" xfId="8316"/>
    <cellStyle name="Percent 11 7 2 2 2 2" xfId="16764"/>
    <cellStyle name="Percent 11 7 2 2 3" xfId="12540"/>
    <cellStyle name="Percent 11 7 2 3" xfId="6204"/>
    <cellStyle name="Percent 11 7 2 3 2" xfId="14652"/>
    <cellStyle name="Percent 11 7 2 4" xfId="10428"/>
    <cellStyle name="Percent 11 7 3" xfId="3034"/>
    <cellStyle name="Percent 11 7 3 2" xfId="7260"/>
    <cellStyle name="Percent 11 7 3 2 2" xfId="15708"/>
    <cellStyle name="Percent 11 7 3 3" xfId="11484"/>
    <cellStyle name="Percent 11 7 4" xfId="5148"/>
    <cellStyle name="Percent 11 7 4 2" xfId="13596"/>
    <cellStyle name="Percent 11 7 5" xfId="9372"/>
    <cellStyle name="Percent 11 8" xfId="1268"/>
    <cellStyle name="Percent 11 8 2" xfId="2330"/>
    <cellStyle name="Percent 11 8 2 2" xfId="4442"/>
    <cellStyle name="Percent 11 8 2 2 2" xfId="8668"/>
    <cellStyle name="Percent 11 8 2 2 2 2" xfId="17116"/>
    <cellStyle name="Percent 11 8 2 2 3" xfId="12892"/>
    <cellStyle name="Percent 11 8 2 3" xfId="6556"/>
    <cellStyle name="Percent 11 8 2 3 2" xfId="15004"/>
    <cellStyle name="Percent 11 8 2 4" xfId="10780"/>
    <cellStyle name="Percent 11 8 3" xfId="3386"/>
    <cellStyle name="Percent 11 8 3 2" xfId="7612"/>
    <cellStyle name="Percent 11 8 3 2 2" xfId="16060"/>
    <cellStyle name="Percent 11 8 3 3" xfId="11836"/>
    <cellStyle name="Percent 11 8 4" xfId="5500"/>
    <cellStyle name="Percent 11 8 4 2" xfId="13948"/>
    <cellStyle name="Percent 11 8 5" xfId="9724"/>
    <cellStyle name="Percent 11 9" xfId="1450"/>
    <cellStyle name="Percent 11 9 2" xfId="2506"/>
    <cellStyle name="Percent 11 9 2 2" xfId="4618"/>
    <cellStyle name="Percent 11 9 2 2 2" xfId="8844"/>
    <cellStyle name="Percent 11 9 2 2 2 2" xfId="17292"/>
    <cellStyle name="Percent 11 9 2 2 3" xfId="13068"/>
    <cellStyle name="Percent 11 9 2 3" xfId="6732"/>
    <cellStyle name="Percent 11 9 2 3 2" xfId="15180"/>
    <cellStyle name="Percent 11 9 2 4" xfId="10956"/>
    <cellStyle name="Percent 11 9 3" xfId="3562"/>
    <cellStyle name="Percent 11 9 3 2" xfId="7788"/>
    <cellStyle name="Percent 11 9 3 2 2" xfId="16236"/>
    <cellStyle name="Percent 11 9 3 3" xfId="12012"/>
    <cellStyle name="Percent 11 9 4" xfId="5676"/>
    <cellStyle name="Percent 11 9 4 2" xfId="14124"/>
    <cellStyle name="Percent 11 9 5" xfId="9900"/>
    <cellStyle name="Percent 12" xfId="467"/>
    <cellStyle name="Percent 12 10" xfId="1632"/>
    <cellStyle name="Percent 12 10 2" xfId="3744"/>
    <cellStyle name="Percent 12 10 2 2" xfId="7970"/>
    <cellStyle name="Percent 12 10 2 2 2" xfId="16418"/>
    <cellStyle name="Percent 12 10 2 3" xfId="12194"/>
    <cellStyle name="Percent 12 10 3" xfId="5858"/>
    <cellStyle name="Percent 12 10 3 2" xfId="14306"/>
    <cellStyle name="Percent 12 10 4" xfId="10082"/>
    <cellStyle name="Percent 12 11" xfId="2688"/>
    <cellStyle name="Percent 12 11 2" xfId="6914"/>
    <cellStyle name="Percent 12 11 2 2" xfId="15362"/>
    <cellStyle name="Percent 12 11 3" xfId="11138"/>
    <cellStyle name="Percent 12 12" xfId="4801"/>
    <cellStyle name="Percent 12 12 2" xfId="13250"/>
    <cellStyle name="Percent 12 13" xfId="9026"/>
    <cellStyle name="Percent 12 2" xfId="468"/>
    <cellStyle name="Percent 12 2 10" xfId="4802"/>
    <cellStyle name="Percent 12 2 10 2" xfId="13251"/>
    <cellStyle name="Percent 12 2 11" xfId="9027"/>
    <cellStyle name="Percent 12 2 2" xfId="469"/>
    <cellStyle name="Percent 12 2 2 2" xfId="748"/>
    <cellStyle name="Percent 12 2 2 2 2" xfId="1100"/>
    <cellStyle name="Percent 12 2 2 2 2 2" xfId="2162"/>
    <cellStyle name="Percent 12 2 2 2 2 2 2" xfId="4274"/>
    <cellStyle name="Percent 12 2 2 2 2 2 2 2" xfId="8500"/>
    <cellStyle name="Percent 12 2 2 2 2 2 2 2 2" xfId="16948"/>
    <cellStyle name="Percent 12 2 2 2 2 2 2 3" xfId="12724"/>
    <cellStyle name="Percent 12 2 2 2 2 2 3" xfId="6388"/>
    <cellStyle name="Percent 12 2 2 2 2 2 3 2" xfId="14836"/>
    <cellStyle name="Percent 12 2 2 2 2 2 4" xfId="10612"/>
    <cellStyle name="Percent 12 2 2 2 2 3" xfId="3218"/>
    <cellStyle name="Percent 12 2 2 2 2 3 2" xfId="7444"/>
    <cellStyle name="Percent 12 2 2 2 2 3 2 2" xfId="15892"/>
    <cellStyle name="Percent 12 2 2 2 2 3 3" xfId="11668"/>
    <cellStyle name="Percent 12 2 2 2 2 4" xfId="5332"/>
    <cellStyle name="Percent 12 2 2 2 2 4 2" xfId="13780"/>
    <cellStyle name="Percent 12 2 2 2 2 5" xfId="9556"/>
    <cellStyle name="Percent 12 2 2 2 3" xfId="1810"/>
    <cellStyle name="Percent 12 2 2 2 3 2" xfId="3922"/>
    <cellStyle name="Percent 12 2 2 2 3 2 2" xfId="8148"/>
    <cellStyle name="Percent 12 2 2 2 3 2 2 2" xfId="16596"/>
    <cellStyle name="Percent 12 2 2 2 3 2 3" xfId="12372"/>
    <cellStyle name="Percent 12 2 2 2 3 3" xfId="6036"/>
    <cellStyle name="Percent 12 2 2 2 3 3 2" xfId="14484"/>
    <cellStyle name="Percent 12 2 2 2 3 4" xfId="10260"/>
    <cellStyle name="Percent 12 2 2 2 4" xfId="2866"/>
    <cellStyle name="Percent 12 2 2 2 4 2" xfId="7092"/>
    <cellStyle name="Percent 12 2 2 2 4 2 2" xfId="15540"/>
    <cellStyle name="Percent 12 2 2 2 4 3" xfId="11316"/>
    <cellStyle name="Percent 12 2 2 2 5" xfId="4980"/>
    <cellStyle name="Percent 12 2 2 2 5 2" xfId="13428"/>
    <cellStyle name="Percent 12 2 2 2 6" xfId="9204"/>
    <cellStyle name="Percent 12 2 2 3" xfId="924"/>
    <cellStyle name="Percent 12 2 2 3 2" xfId="1986"/>
    <cellStyle name="Percent 12 2 2 3 2 2" xfId="4098"/>
    <cellStyle name="Percent 12 2 2 3 2 2 2" xfId="8324"/>
    <cellStyle name="Percent 12 2 2 3 2 2 2 2" xfId="16772"/>
    <cellStyle name="Percent 12 2 2 3 2 2 3" xfId="12548"/>
    <cellStyle name="Percent 12 2 2 3 2 3" xfId="6212"/>
    <cellStyle name="Percent 12 2 2 3 2 3 2" xfId="14660"/>
    <cellStyle name="Percent 12 2 2 3 2 4" xfId="10436"/>
    <cellStyle name="Percent 12 2 2 3 3" xfId="3042"/>
    <cellStyle name="Percent 12 2 2 3 3 2" xfId="7268"/>
    <cellStyle name="Percent 12 2 2 3 3 2 2" xfId="15716"/>
    <cellStyle name="Percent 12 2 2 3 3 3" xfId="11492"/>
    <cellStyle name="Percent 12 2 2 3 4" xfId="5156"/>
    <cellStyle name="Percent 12 2 2 3 4 2" xfId="13604"/>
    <cellStyle name="Percent 12 2 2 3 5" xfId="9380"/>
    <cellStyle name="Percent 12 2 2 4" xfId="1276"/>
    <cellStyle name="Percent 12 2 2 4 2" xfId="2338"/>
    <cellStyle name="Percent 12 2 2 4 2 2" xfId="4450"/>
    <cellStyle name="Percent 12 2 2 4 2 2 2" xfId="8676"/>
    <cellStyle name="Percent 12 2 2 4 2 2 2 2" xfId="17124"/>
    <cellStyle name="Percent 12 2 2 4 2 2 3" xfId="12900"/>
    <cellStyle name="Percent 12 2 2 4 2 3" xfId="6564"/>
    <cellStyle name="Percent 12 2 2 4 2 3 2" xfId="15012"/>
    <cellStyle name="Percent 12 2 2 4 2 4" xfId="10788"/>
    <cellStyle name="Percent 12 2 2 4 3" xfId="3394"/>
    <cellStyle name="Percent 12 2 2 4 3 2" xfId="7620"/>
    <cellStyle name="Percent 12 2 2 4 3 2 2" xfId="16068"/>
    <cellStyle name="Percent 12 2 2 4 3 3" xfId="11844"/>
    <cellStyle name="Percent 12 2 2 4 4" xfId="5508"/>
    <cellStyle name="Percent 12 2 2 4 4 2" xfId="13956"/>
    <cellStyle name="Percent 12 2 2 4 5" xfId="9732"/>
    <cellStyle name="Percent 12 2 2 5" xfId="1458"/>
    <cellStyle name="Percent 12 2 2 5 2" xfId="2514"/>
    <cellStyle name="Percent 12 2 2 5 2 2" xfId="4626"/>
    <cellStyle name="Percent 12 2 2 5 2 2 2" xfId="8852"/>
    <cellStyle name="Percent 12 2 2 5 2 2 2 2" xfId="17300"/>
    <cellStyle name="Percent 12 2 2 5 2 2 3" xfId="13076"/>
    <cellStyle name="Percent 12 2 2 5 2 3" xfId="6740"/>
    <cellStyle name="Percent 12 2 2 5 2 3 2" xfId="15188"/>
    <cellStyle name="Percent 12 2 2 5 2 4" xfId="10964"/>
    <cellStyle name="Percent 12 2 2 5 3" xfId="3570"/>
    <cellStyle name="Percent 12 2 2 5 3 2" xfId="7796"/>
    <cellStyle name="Percent 12 2 2 5 3 2 2" xfId="16244"/>
    <cellStyle name="Percent 12 2 2 5 3 3" xfId="12020"/>
    <cellStyle name="Percent 12 2 2 5 4" xfId="5684"/>
    <cellStyle name="Percent 12 2 2 5 4 2" xfId="14132"/>
    <cellStyle name="Percent 12 2 2 5 5" xfId="9908"/>
    <cellStyle name="Percent 12 2 2 6" xfId="1634"/>
    <cellStyle name="Percent 12 2 2 6 2" xfId="3746"/>
    <cellStyle name="Percent 12 2 2 6 2 2" xfId="7972"/>
    <cellStyle name="Percent 12 2 2 6 2 2 2" xfId="16420"/>
    <cellStyle name="Percent 12 2 2 6 2 3" xfId="12196"/>
    <cellStyle name="Percent 12 2 2 6 3" xfId="5860"/>
    <cellStyle name="Percent 12 2 2 6 3 2" xfId="14308"/>
    <cellStyle name="Percent 12 2 2 6 4" xfId="10084"/>
    <cellStyle name="Percent 12 2 2 7" xfId="2690"/>
    <cellStyle name="Percent 12 2 2 7 2" xfId="6916"/>
    <cellStyle name="Percent 12 2 2 7 2 2" xfId="15364"/>
    <cellStyle name="Percent 12 2 2 7 3" xfId="11140"/>
    <cellStyle name="Percent 12 2 2 8" xfId="4803"/>
    <cellStyle name="Percent 12 2 2 8 2" xfId="13252"/>
    <cellStyle name="Percent 12 2 2 9" xfId="9028"/>
    <cellStyle name="Percent 12 2 3" xfId="470"/>
    <cellStyle name="Percent 12 2 3 2" xfId="749"/>
    <cellStyle name="Percent 12 2 3 2 2" xfId="1101"/>
    <cellStyle name="Percent 12 2 3 2 2 2" xfId="2163"/>
    <cellStyle name="Percent 12 2 3 2 2 2 2" xfId="4275"/>
    <cellStyle name="Percent 12 2 3 2 2 2 2 2" xfId="8501"/>
    <cellStyle name="Percent 12 2 3 2 2 2 2 2 2" xfId="16949"/>
    <cellStyle name="Percent 12 2 3 2 2 2 2 3" xfId="12725"/>
    <cellStyle name="Percent 12 2 3 2 2 2 3" xfId="6389"/>
    <cellStyle name="Percent 12 2 3 2 2 2 3 2" xfId="14837"/>
    <cellStyle name="Percent 12 2 3 2 2 2 4" xfId="10613"/>
    <cellStyle name="Percent 12 2 3 2 2 3" xfId="3219"/>
    <cellStyle name="Percent 12 2 3 2 2 3 2" xfId="7445"/>
    <cellStyle name="Percent 12 2 3 2 2 3 2 2" xfId="15893"/>
    <cellStyle name="Percent 12 2 3 2 2 3 3" xfId="11669"/>
    <cellStyle name="Percent 12 2 3 2 2 4" xfId="5333"/>
    <cellStyle name="Percent 12 2 3 2 2 4 2" xfId="13781"/>
    <cellStyle name="Percent 12 2 3 2 2 5" xfId="9557"/>
    <cellStyle name="Percent 12 2 3 2 3" xfId="1811"/>
    <cellStyle name="Percent 12 2 3 2 3 2" xfId="3923"/>
    <cellStyle name="Percent 12 2 3 2 3 2 2" xfId="8149"/>
    <cellStyle name="Percent 12 2 3 2 3 2 2 2" xfId="16597"/>
    <cellStyle name="Percent 12 2 3 2 3 2 3" xfId="12373"/>
    <cellStyle name="Percent 12 2 3 2 3 3" xfId="6037"/>
    <cellStyle name="Percent 12 2 3 2 3 3 2" xfId="14485"/>
    <cellStyle name="Percent 12 2 3 2 3 4" xfId="10261"/>
    <cellStyle name="Percent 12 2 3 2 4" xfId="2867"/>
    <cellStyle name="Percent 12 2 3 2 4 2" xfId="7093"/>
    <cellStyle name="Percent 12 2 3 2 4 2 2" xfId="15541"/>
    <cellStyle name="Percent 12 2 3 2 4 3" xfId="11317"/>
    <cellStyle name="Percent 12 2 3 2 5" xfId="4981"/>
    <cellStyle name="Percent 12 2 3 2 5 2" xfId="13429"/>
    <cellStyle name="Percent 12 2 3 2 6" xfId="9205"/>
    <cellStyle name="Percent 12 2 3 3" xfId="925"/>
    <cellStyle name="Percent 12 2 3 3 2" xfId="1987"/>
    <cellStyle name="Percent 12 2 3 3 2 2" xfId="4099"/>
    <cellStyle name="Percent 12 2 3 3 2 2 2" xfId="8325"/>
    <cellStyle name="Percent 12 2 3 3 2 2 2 2" xfId="16773"/>
    <cellStyle name="Percent 12 2 3 3 2 2 3" xfId="12549"/>
    <cellStyle name="Percent 12 2 3 3 2 3" xfId="6213"/>
    <cellStyle name="Percent 12 2 3 3 2 3 2" xfId="14661"/>
    <cellStyle name="Percent 12 2 3 3 2 4" xfId="10437"/>
    <cellStyle name="Percent 12 2 3 3 3" xfId="3043"/>
    <cellStyle name="Percent 12 2 3 3 3 2" xfId="7269"/>
    <cellStyle name="Percent 12 2 3 3 3 2 2" xfId="15717"/>
    <cellStyle name="Percent 12 2 3 3 3 3" xfId="11493"/>
    <cellStyle name="Percent 12 2 3 3 4" xfId="5157"/>
    <cellStyle name="Percent 12 2 3 3 4 2" xfId="13605"/>
    <cellStyle name="Percent 12 2 3 3 5" xfId="9381"/>
    <cellStyle name="Percent 12 2 3 4" xfId="1277"/>
    <cellStyle name="Percent 12 2 3 4 2" xfId="2339"/>
    <cellStyle name="Percent 12 2 3 4 2 2" xfId="4451"/>
    <cellStyle name="Percent 12 2 3 4 2 2 2" xfId="8677"/>
    <cellStyle name="Percent 12 2 3 4 2 2 2 2" xfId="17125"/>
    <cellStyle name="Percent 12 2 3 4 2 2 3" xfId="12901"/>
    <cellStyle name="Percent 12 2 3 4 2 3" xfId="6565"/>
    <cellStyle name="Percent 12 2 3 4 2 3 2" xfId="15013"/>
    <cellStyle name="Percent 12 2 3 4 2 4" xfId="10789"/>
    <cellStyle name="Percent 12 2 3 4 3" xfId="3395"/>
    <cellStyle name="Percent 12 2 3 4 3 2" xfId="7621"/>
    <cellStyle name="Percent 12 2 3 4 3 2 2" xfId="16069"/>
    <cellStyle name="Percent 12 2 3 4 3 3" xfId="11845"/>
    <cellStyle name="Percent 12 2 3 4 4" xfId="5509"/>
    <cellStyle name="Percent 12 2 3 4 4 2" xfId="13957"/>
    <cellStyle name="Percent 12 2 3 4 5" xfId="9733"/>
    <cellStyle name="Percent 12 2 3 5" xfId="1459"/>
    <cellStyle name="Percent 12 2 3 5 2" xfId="2515"/>
    <cellStyle name="Percent 12 2 3 5 2 2" xfId="4627"/>
    <cellStyle name="Percent 12 2 3 5 2 2 2" xfId="8853"/>
    <cellStyle name="Percent 12 2 3 5 2 2 2 2" xfId="17301"/>
    <cellStyle name="Percent 12 2 3 5 2 2 3" xfId="13077"/>
    <cellStyle name="Percent 12 2 3 5 2 3" xfId="6741"/>
    <cellStyle name="Percent 12 2 3 5 2 3 2" xfId="15189"/>
    <cellStyle name="Percent 12 2 3 5 2 4" xfId="10965"/>
    <cellStyle name="Percent 12 2 3 5 3" xfId="3571"/>
    <cellStyle name="Percent 12 2 3 5 3 2" xfId="7797"/>
    <cellStyle name="Percent 12 2 3 5 3 2 2" xfId="16245"/>
    <cellStyle name="Percent 12 2 3 5 3 3" xfId="12021"/>
    <cellStyle name="Percent 12 2 3 5 4" xfId="5685"/>
    <cellStyle name="Percent 12 2 3 5 4 2" xfId="14133"/>
    <cellStyle name="Percent 12 2 3 5 5" xfId="9909"/>
    <cellStyle name="Percent 12 2 3 6" xfId="1635"/>
    <cellStyle name="Percent 12 2 3 6 2" xfId="3747"/>
    <cellStyle name="Percent 12 2 3 6 2 2" xfId="7973"/>
    <cellStyle name="Percent 12 2 3 6 2 2 2" xfId="16421"/>
    <cellStyle name="Percent 12 2 3 6 2 3" xfId="12197"/>
    <cellStyle name="Percent 12 2 3 6 3" xfId="5861"/>
    <cellStyle name="Percent 12 2 3 6 3 2" xfId="14309"/>
    <cellStyle name="Percent 12 2 3 6 4" xfId="10085"/>
    <cellStyle name="Percent 12 2 3 7" xfId="2691"/>
    <cellStyle name="Percent 12 2 3 7 2" xfId="6917"/>
    <cellStyle name="Percent 12 2 3 7 2 2" xfId="15365"/>
    <cellStyle name="Percent 12 2 3 7 3" xfId="11141"/>
    <cellStyle name="Percent 12 2 3 8" xfId="4804"/>
    <cellStyle name="Percent 12 2 3 8 2" xfId="13253"/>
    <cellStyle name="Percent 12 2 3 9" xfId="9029"/>
    <cellStyle name="Percent 12 2 4" xfId="747"/>
    <cellStyle name="Percent 12 2 4 2" xfId="1099"/>
    <cellStyle name="Percent 12 2 4 2 2" xfId="2161"/>
    <cellStyle name="Percent 12 2 4 2 2 2" xfId="4273"/>
    <cellStyle name="Percent 12 2 4 2 2 2 2" xfId="8499"/>
    <cellStyle name="Percent 12 2 4 2 2 2 2 2" xfId="16947"/>
    <cellStyle name="Percent 12 2 4 2 2 2 3" xfId="12723"/>
    <cellStyle name="Percent 12 2 4 2 2 3" xfId="6387"/>
    <cellStyle name="Percent 12 2 4 2 2 3 2" xfId="14835"/>
    <cellStyle name="Percent 12 2 4 2 2 4" xfId="10611"/>
    <cellStyle name="Percent 12 2 4 2 3" xfId="3217"/>
    <cellStyle name="Percent 12 2 4 2 3 2" xfId="7443"/>
    <cellStyle name="Percent 12 2 4 2 3 2 2" xfId="15891"/>
    <cellStyle name="Percent 12 2 4 2 3 3" xfId="11667"/>
    <cellStyle name="Percent 12 2 4 2 4" xfId="5331"/>
    <cellStyle name="Percent 12 2 4 2 4 2" xfId="13779"/>
    <cellStyle name="Percent 12 2 4 2 5" xfId="9555"/>
    <cellStyle name="Percent 12 2 4 3" xfId="1809"/>
    <cellStyle name="Percent 12 2 4 3 2" xfId="3921"/>
    <cellStyle name="Percent 12 2 4 3 2 2" xfId="8147"/>
    <cellStyle name="Percent 12 2 4 3 2 2 2" xfId="16595"/>
    <cellStyle name="Percent 12 2 4 3 2 3" xfId="12371"/>
    <cellStyle name="Percent 12 2 4 3 3" xfId="6035"/>
    <cellStyle name="Percent 12 2 4 3 3 2" xfId="14483"/>
    <cellStyle name="Percent 12 2 4 3 4" xfId="10259"/>
    <cellStyle name="Percent 12 2 4 4" xfId="2865"/>
    <cellStyle name="Percent 12 2 4 4 2" xfId="7091"/>
    <cellStyle name="Percent 12 2 4 4 2 2" xfId="15539"/>
    <cellStyle name="Percent 12 2 4 4 3" xfId="11315"/>
    <cellStyle name="Percent 12 2 4 5" xfId="4979"/>
    <cellStyle name="Percent 12 2 4 5 2" xfId="13427"/>
    <cellStyle name="Percent 12 2 4 6" xfId="9203"/>
    <cellStyle name="Percent 12 2 5" xfId="923"/>
    <cellStyle name="Percent 12 2 5 2" xfId="1985"/>
    <cellStyle name="Percent 12 2 5 2 2" xfId="4097"/>
    <cellStyle name="Percent 12 2 5 2 2 2" xfId="8323"/>
    <cellStyle name="Percent 12 2 5 2 2 2 2" xfId="16771"/>
    <cellStyle name="Percent 12 2 5 2 2 3" xfId="12547"/>
    <cellStyle name="Percent 12 2 5 2 3" xfId="6211"/>
    <cellStyle name="Percent 12 2 5 2 3 2" xfId="14659"/>
    <cellStyle name="Percent 12 2 5 2 4" xfId="10435"/>
    <cellStyle name="Percent 12 2 5 3" xfId="3041"/>
    <cellStyle name="Percent 12 2 5 3 2" xfId="7267"/>
    <cellStyle name="Percent 12 2 5 3 2 2" xfId="15715"/>
    <cellStyle name="Percent 12 2 5 3 3" xfId="11491"/>
    <cellStyle name="Percent 12 2 5 4" xfId="5155"/>
    <cellStyle name="Percent 12 2 5 4 2" xfId="13603"/>
    <cellStyle name="Percent 12 2 5 5" xfId="9379"/>
    <cellStyle name="Percent 12 2 6" xfId="1275"/>
    <cellStyle name="Percent 12 2 6 2" xfId="2337"/>
    <cellStyle name="Percent 12 2 6 2 2" xfId="4449"/>
    <cellStyle name="Percent 12 2 6 2 2 2" xfId="8675"/>
    <cellStyle name="Percent 12 2 6 2 2 2 2" xfId="17123"/>
    <cellStyle name="Percent 12 2 6 2 2 3" xfId="12899"/>
    <cellStyle name="Percent 12 2 6 2 3" xfId="6563"/>
    <cellStyle name="Percent 12 2 6 2 3 2" xfId="15011"/>
    <cellStyle name="Percent 12 2 6 2 4" xfId="10787"/>
    <cellStyle name="Percent 12 2 6 3" xfId="3393"/>
    <cellStyle name="Percent 12 2 6 3 2" xfId="7619"/>
    <cellStyle name="Percent 12 2 6 3 2 2" xfId="16067"/>
    <cellStyle name="Percent 12 2 6 3 3" xfId="11843"/>
    <cellStyle name="Percent 12 2 6 4" xfId="5507"/>
    <cellStyle name="Percent 12 2 6 4 2" xfId="13955"/>
    <cellStyle name="Percent 12 2 6 5" xfId="9731"/>
    <cellStyle name="Percent 12 2 7" xfId="1457"/>
    <cellStyle name="Percent 12 2 7 2" xfId="2513"/>
    <cellStyle name="Percent 12 2 7 2 2" xfId="4625"/>
    <cellStyle name="Percent 12 2 7 2 2 2" xfId="8851"/>
    <cellStyle name="Percent 12 2 7 2 2 2 2" xfId="17299"/>
    <cellStyle name="Percent 12 2 7 2 2 3" xfId="13075"/>
    <cellStyle name="Percent 12 2 7 2 3" xfId="6739"/>
    <cellStyle name="Percent 12 2 7 2 3 2" xfId="15187"/>
    <cellStyle name="Percent 12 2 7 2 4" xfId="10963"/>
    <cellStyle name="Percent 12 2 7 3" xfId="3569"/>
    <cellStyle name="Percent 12 2 7 3 2" xfId="7795"/>
    <cellStyle name="Percent 12 2 7 3 2 2" xfId="16243"/>
    <cellStyle name="Percent 12 2 7 3 3" xfId="12019"/>
    <cellStyle name="Percent 12 2 7 4" xfId="5683"/>
    <cellStyle name="Percent 12 2 7 4 2" xfId="14131"/>
    <cellStyle name="Percent 12 2 7 5" xfId="9907"/>
    <cellStyle name="Percent 12 2 8" xfId="1633"/>
    <cellStyle name="Percent 12 2 8 2" xfId="3745"/>
    <cellStyle name="Percent 12 2 8 2 2" xfId="7971"/>
    <cellStyle name="Percent 12 2 8 2 2 2" xfId="16419"/>
    <cellStyle name="Percent 12 2 8 2 3" xfId="12195"/>
    <cellStyle name="Percent 12 2 8 3" xfId="5859"/>
    <cellStyle name="Percent 12 2 8 3 2" xfId="14307"/>
    <cellStyle name="Percent 12 2 8 4" xfId="10083"/>
    <cellStyle name="Percent 12 2 9" xfId="2689"/>
    <cellStyle name="Percent 12 2 9 2" xfId="6915"/>
    <cellStyle name="Percent 12 2 9 2 2" xfId="15363"/>
    <cellStyle name="Percent 12 2 9 3" xfId="11139"/>
    <cellStyle name="Percent 12 3" xfId="471"/>
    <cellStyle name="Percent 12 4" xfId="472"/>
    <cellStyle name="Percent 12 4 2" xfId="750"/>
    <cellStyle name="Percent 12 4 2 2" xfId="1102"/>
    <cellStyle name="Percent 12 4 2 2 2" xfId="2164"/>
    <cellStyle name="Percent 12 4 2 2 2 2" xfId="4276"/>
    <cellStyle name="Percent 12 4 2 2 2 2 2" xfId="8502"/>
    <cellStyle name="Percent 12 4 2 2 2 2 2 2" xfId="16950"/>
    <cellStyle name="Percent 12 4 2 2 2 2 3" xfId="12726"/>
    <cellStyle name="Percent 12 4 2 2 2 3" xfId="6390"/>
    <cellStyle name="Percent 12 4 2 2 2 3 2" xfId="14838"/>
    <cellStyle name="Percent 12 4 2 2 2 4" xfId="10614"/>
    <cellStyle name="Percent 12 4 2 2 3" xfId="3220"/>
    <cellStyle name="Percent 12 4 2 2 3 2" xfId="7446"/>
    <cellStyle name="Percent 12 4 2 2 3 2 2" xfId="15894"/>
    <cellStyle name="Percent 12 4 2 2 3 3" xfId="11670"/>
    <cellStyle name="Percent 12 4 2 2 4" xfId="5334"/>
    <cellStyle name="Percent 12 4 2 2 4 2" xfId="13782"/>
    <cellStyle name="Percent 12 4 2 2 5" xfId="9558"/>
    <cellStyle name="Percent 12 4 2 3" xfId="1812"/>
    <cellStyle name="Percent 12 4 2 3 2" xfId="3924"/>
    <cellStyle name="Percent 12 4 2 3 2 2" xfId="8150"/>
    <cellStyle name="Percent 12 4 2 3 2 2 2" xfId="16598"/>
    <cellStyle name="Percent 12 4 2 3 2 3" xfId="12374"/>
    <cellStyle name="Percent 12 4 2 3 3" xfId="6038"/>
    <cellStyle name="Percent 12 4 2 3 3 2" xfId="14486"/>
    <cellStyle name="Percent 12 4 2 3 4" xfId="10262"/>
    <cellStyle name="Percent 12 4 2 4" xfId="2868"/>
    <cellStyle name="Percent 12 4 2 4 2" xfId="7094"/>
    <cellStyle name="Percent 12 4 2 4 2 2" xfId="15542"/>
    <cellStyle name="Percent 12 4 2 4 3" xfId="11318"/>
    <cellStyle name="Percent 12 4 2 5" xfId="4982"/>
    <cellStyle name="Percent 12 4 2 5 2" xfId="13430"/>
    <cellStyle name="Percent 12 4 2 6" xfId="9206"/>
    <cellStyle name="Percent 12 4 3" xfId="926"/>
    <cellStyle name="Percent 12 4 3 2" xfId="1988"/>
    <cellStyle name="Percent 12 4 3 2 2" xfId="4100"/>
    <cellStyle name="Percent 12 4 3 2 2 2" xfId="8326"/>
    <cellStyle name="Percent 12 4 3 2 2 2 2" xfId="16774"/>
    <cellStyle name="Percent 12 4 3 2 2 3" xfId="12550"/>
    <cellStyle name="Percent 12 4 3 2 3" xfId="6214"/>
    <cellStyle name="Percent 12 4 3 2 3 2" xfId="14662"/>
    <cellStyle name="Percent 12 4 3 2 4" xfId="10438"/>
    <cellStyle name="Percent 12 4 3 3" xfId="3044"/>
    <cellStyle name="Percent 12 4 3 3 2" xfId="7270"/>
    <cellStyle name="Percent 12 4 3 3 2 2" xfId="15718"/>
    <cellStyle name="Percent 12 4 3 3 3" xfId="11494"/>
    <cellStyle name="Percent 12 4 3 4" xfId="5158"/>
    <cellStyle name="Percent 12 4 3 4 2" xfId="13606"/>
    <cellStyle name="Percent 12 4 3 5" xfId="9382"/>
    <cellStyle name="Percent 12 4 4" xfId="1278"/>
    <cellStyle name="Percent 12 4 4 2" xfId="2340"/>
    <cellStyle name="Percent 12 4 4 2 2" xfId="4452"/>
    <cellStyle name="Percent 12 4 4 2 2 2" xfId="8678"/>
    <cellStyle name="Percent 12 4 4 2 2 2 2" xfId="17126"/>
    <cellStyle name="Percent 12 4 4 2 2 3" xfId="12902"/>
    <cellStyle name="Percent 12 4 4 2 3" xfId="6566"/>
    <cellStyle name="Percent 12 4 4 2 3 2" xfId="15014"/>
    <cellStyle name="Percent 12 4 4 2 4" xfId="10790"/>
    <cellStyle name="Percent 12 4 4 3" xfId="3396"/>
    <cellStyle name="Percent 12 4 4 3 2" xfId="7622"/>
    <cellStyle name="Percent 12 4 4 3 2 2" xfId="16070"/>
    <cellStyle name="Percent 12 4 4 3 3" xfId="11846"/>
    <cellStyle name="Percent 12 4 4 4" xfId="5510"/>
    <cellStyle name="Percent 12 4 4 4 2" xfId="13958"/>
    <cellStyle name="Percent 12 4 4 5" xfId="9734"/>
    <cellStyle name="Percent 12 4 5" xfId="1460"/>
    <cellStyle name="Percent 12 4 5 2" xfId="2516"/>
    <cellStyle name="Percent 12 4 5 2 2" xfId="4628"/>
    <cellStyle name="Percent 12 4 5 2 2 2" xfId="8854"/>
    <cellStyle name="Percent 12 4 5 2 2 2 2" xfId="17302"/>
    <cellStyle name="Percent 12 4 5 2 2 3" xfId="13078"/>
    <cellStyle name="Percent 12 4 5 2 3" xfId="6742"/>
    <cellStyle name="Percent 12 4 5 2 3 2" xfId="15190"/>
    <cellStyle name="Percent 12 4 5 2 4" xfId="10966"/>
    <cellStyle name="Percent 12 4 5 3" xfId="3572"/>
    <cellStyle name="Percent 12 4 5 3 2" xfId="7798"/>
    <cellStyle name="Percent 12 4 5 3 2 2" xfId="16246"/>
    <cellStyle name="Percent 12 4 5 3 3" xfId="12022"/>
    <cellStyle name="Percent 12 4 5 4" xfId="5686"/>
    <cellStyle name="Percent 12 4 5 4 2" xfId="14134"/>
    <cellStyle name="Percent 12 4 5 5" xfId="9910"/>
    <cellStyle name="Percent 12 4 6" xfId="1636"/>
    <cellStyle name="Percent 12 4 6 2" xfId="3748"/>
    <cellStyle name="Percent 12 4 6 2 2" xfId="7974"/>
    <cellStyle name="Percent 12 4 6 2 2 2" xfId="16422"/>
    <cellStyle name="Percent 12 4 6 2 3" xfId="12198"/>
    <cellStyle name="Percent 12 4 6 3" xfId="5862"/>
    <cellStyle name="Percent 12 4 6 3 2" xfId="14310"/>
    <cellStyle name="Percent 12 4 6 4" xfId="10086"/>
    <cellStyle name="Percent 12 4 7" xfId="2692"/>
    <cellStyle name="Percent 12 4 7 2" xfId="6918"/>
    <cellStyle name="Percent 12 4 7 2 2" xfId="15366"/>
    <cellStyle name="Percent 12 4 7 3" xfId="11142"/>
    <cellStyle name="Percent 12 4 8" xfId="4805"/>
    <cellStyle name="Percent 12 4 8 2" xfId="13254"/>
    <cellStyle name="Percent 12 4 9" xfId="9030"/>
    <cellStyle name="Percent 12 5" xfId="473"/>
    <cellStyle name="Percent 12 5 2" xfId="751"/>
    <cellStyle name="Percent 12 5 2 2" xfId="1103"/>
    <cellStyle name="Percent 12 5 2 2 2" xfId="2165"/>
    <cellStyle name="Percent 12 5 2 2 2 2" xfId="4277"/>
    <cellStyle name="Percent 12 5 2 2 2 2 2" xfId="8503"/>
    <cellStyle name="Percent 12 5 2 2 2 2 2 2" xfId="16951"/>
    <cellStyle name="Percent 12 5 2 2 2 2 3" xfId="12727"/>
    <cellStyle name="Percent 12 5 2 2 2 3" xfId="6391"/>
    <cellStyle name="Percent 12 5 2 2 2 3 2" xfId="14839"/>
    <cellStyle name="Percent 12 5 2 2 2 4" xfId="10615"/>
    <cellStyle name="Percent 12 5 2 2 3" xfId="3221"/>
    <cellStyle name="Percent 12 5 2 2 3 2" xfId="7447"/>
    <cellStyle name="Percent 12 5 2 2 3 2 2" xfId="15895"/>
    <cellStyle name="Percent 12 5 2 2 3 3" xfId="11671"/>
    <cellStyle name="Percent 12 5 2 2 4" xfId="5335"/>
    <cellStyle name="Percent 12 5 2 2 4 2" xfId="13783"/>
    <cellStyle name="Percent 12 5 2 2 5" xfId="9559"/>
    <cellStyle name="Percent 12 5 2 3" xfId="1813"/>
    <cellStyle name="Percent 12 5 2 3 2" xfId="3925"/>
    <cellStyle name="Percent 12 5 2 3 2 2" xfId="8151"/>
    <cellStyle name="Percent 12 5 2 3 2 2 2" xfId="16599"/>
    <cellStyle name="Percent 12 5 2 3 2 3" xfId="12375"/>
    <cellStyle name="Percent 12 5 2 3 3" xfId="6039"/>
    <cellStyle name="Percent 12 5 2 3 3 2" xfId="14487"/>
    <cellStyle name="Percent 12 5 2 3 4" xfId="10263"/>
    <cellStyle name="Percent 12 5 2 4" xfId="2869"/>
    <cellStyle name="Percent 12 5 2 4 2" xfId="7095"/>
    <cellStyle name="Percent 12 5 2 4 2 2" xfId="15543"/>
    <cellStyle name="Percent 12 5 2 4 3" xfId="11319"/>
    <cellStyle name="Percent 12 5 2 5" xfId="4983"/>
    <cellStyle name="Percent 12 5 2 5 2" xfId="13431"/>
    <cellStyle name="Percent 12 5 2 6" xfId="9207"/>
    <cellStyle name="Percent 12 5 3" xfId="927"/>
    <cellStyle name="Percent 12 5 3 2" xfId="1989"/>
    <cellStyle name="Percent 12 5 3 2 2" xfId="4101"/>
    <cellStyle name="Percent 12 5 3 2 2 2" xfId="8327"/>
    <cellStyle name="Percent 12 5 3 2 2 2 2" xfId="16775"/>
    <cellStyle name="Percent 12 5 3 2 2 3" xfId="12551"/>
    <cellStyle name="Percent 12 5 3 2 3" xfId="6215"/>
    <cellStyle name="Percent 12 5 3 2 3 2" xfId="14663"/>
    <cellStyle name="Percent 12 5 3 2 4" xfId="10439"/>
    <cellStyle name="Percent 12 5 3 3" xfId="3045"/>
    <cellStyle name="Percent 12 5 3 3 2" xfId="7271"/>
    <cellStyle name="Percent 12 5 3 3 2 2" xfId="15719"/>
    <cellStyle name="Percent 12 5 3 3 3" xfId="11495"/>
    <cellStyle name="Percent 12 5 3 4" xfId="5159"/>
    <cellStyle name="Percent 12 5 3 4 2" xfId="13607"/>
    <cellStyle name="Percent 12 5 3 5" xfId="9383"/>
    <cellStyle name="Percent 12 5 4" xfId="1279"/>
    <cellStyle name="Percent 12 5 4 2" xfId="2341"/>
    <cellStyle name="Percent 12 5 4 2 2" xfId="4453"/>
    <cellStyle name="Percent 12 5 4 2 2 2" xfId="8679"/>
    <cellStyle name="Percent 12 5 4 2 2 2 2" xfId="17127"/>
    <cellStyle name="Percent 12 5 4 2 2 3" xfId="12903"/>
    <cellStyle name="Percent 12 5 4 2 3" xfId="6567"/>
    <cellStyle name="Percent 12 5 4 2 3 2" xfId="15015"/>
    <cellStyle name="Percent 12 5 4 2 4" xfId="10791"/>
    <cellStyle name="Percent 12 5 4 3" xfId="3397"/>
    <cellStyle name="Percent 12 5 4 3 2" xfId="7623"/>
    <cellStyle name="Percent 12 5 4 3 2 2" xfId="16071"/>
    <cellStyle name="Percent 12 5 4 3 3" xfId="11847"/>
    <cellStyle name="Percent 12 5 4 4" xfId="5511"/>
    <cellStyle name="Percent 12 5 4 4 2" xfId="13959"/>
    <cellStyle name="Percent 12 5 4 5" xfId="9735"/>
    <cellStyle name="Percent 12 5 5" xfId="1461"/>
    <cellStyle name="Percent 12 5 5 2" xfId="2517"/>
    <cellStyle name="Percent 12 5 5 2 2" xfId="4629"/>
    <cellStyle name="Percent 12 5 5 2 2 2" xfId="8855"/>
    <cellStyle name="Percent 12 5 5 2 2 2 2" xfId="17303"/>
    <cellStyle name="Percent 12 5 5 2 2 3" xfId="13079"/>
    <cellStyle name="Percent 12 5 5 2 3" xfId="6743"/>
    <cellStyle name="Percent 12 5 5 2 3 2" xfId="15191"/>
    <cellStyle name="Percent 12 5 5 2 4" xfId="10967"/>
    <cellStyle name="Percent 12 5 5 3" xfId="3573"/>
    <cellStyle name="Percent 12 5 5 3 2" xfId="7799"/>
    <cellStyle name="Percent 12 5 5 3 2 2" xfId="16247"/>
    <cellStyle name="Percent 12 5 5 3 3" xfId="12023"/>
    <cellStyle name="Percent 12 5 5 4" xfId="5687"/>
    <cellStyle name="Percent 12 5 5 4 2" xfId="14135"/>
    <cellStyle name="Percent 12 5 5 5" xfId="9911"/>
    <cellStyle name="Percent 12 5 6" xfId="1637"/>
    <cellStyle name="Percent 12 5 6 2" xfId="3749"/>
    <cellStyle name="Percent 12 5 6 2 2" xfId="7975"/>
    <cellStyle name="Percent 12 5 6 2 2 2" xfId="16423"/>
    <cellStyle name="Percent 12 5 6 2 3" xfId="12199"/>
    <cellStyle name="Percent 12 5 6 3" xfId="5863"/>
    <cellStyle name="Percent 12 5 6 3 2" xfId="14311"/>
    <cellStyle name="Percent 12 5 6 4" xfId="10087"/>
    <cellStyle name="Percent 12 5 7" xfId="2693"/>
    <cellStyle name="Percent 12 5 7 2" xfId="6919"/>
    <cellStyle name="Percent 12 5 7 2 2" xfId="15367"/>
    <cellStyle name="Percent 12 5 7 3" xfId="11143"/>
    <cellStyle name="Percent 12 5 8" xfId="4806"/>
    <cellStyle name="Percent 12 5 8 2" xfId="13255"/>
    <cellStyle name="Percent 12 5 9" xfId="9031"/>
    <cellStyle name="Percent 12 6" xfId="746"/>
    <cellStyle name="Percent 12 6 2" xfId="1098"/>
    <cellStyle name="Percent 12 6 2 2" xfId="2160"/>
    <cellStyle name="Percent 12 6 2 2 2" xfId="4272"/>
    <cellStyle name="Percent 12 6 2 2 2 2" xfId="8498"/>
    <cellStyle name="Percent 12 6 2 2 2 2 2" xfId="16946"/>
    <cellStyle name="Percent 12 6 2 2 2 3" xfId="12722"/>
    <cellStyle name="Percent 12 6 2 2 3" xfId="6386"/>
    <cellStyle name="Percent 12 6 2 2 3 2" xfId="14834"/>
    <cellStyle name="Percent 12 6 2 2 4" xfId="10610"/>
    <cellStyle name="Percent 12 6 2 3" xfId="3216"/>
    <cellStyle name="Percent 12 6 2 3 2" xfId="7442"/>
    <cellStyle name="Percent 12 6 2 3 2 2" xfId="15890"/>
    <cellStyle name="Percent 12 6 2 3 3" xfId="11666"/>
    <cellStyle name="Percent 12 6 2 4" xfId="5330"/>
    <cellStyle name="Percent 12 6 2 4 2" xfId="13778"/>
    <cellStyle name="Percent 12 6 2 5" xfId="9554"/>
    <cellStyle name="Percent 12 6 3" xfId="1808"/>
    <cellStyle name="Percent 12 6 3 2" xfId="3920"/>
    <cellStyle name="Percent 12 6 3 2 2" xfId="8146"/>
    <cellStyle name="Percent 12 6 3 2 2 2" xfId="16594"/>
    <cellStyle name="Percent 12 6 3 2 3" xfId="12370"/>
    <cellStyle name="Percent 12 6 3 3" xfId="6034"/>
    <cellStyle name="Percent 12 6 3 3 2" xfId="14482"/>
    <cellStyle name="Percent 12 6 3 4" xfId="10258"/>
    <cellStyle name="Percent 12 6 4" xfId="2864"/>
    <cellStyle name="Percent 12 6 4 2" xfId="7090"/>
    <cellStyle name="Percent 12 6 4 2 2" xfId="15538"/>
    <cellStyle name="Percent 12 6 4 3" xfId="11314"/>
    <cellStyle name="Percent 12 6 5" xfId="4978"/>
    <cellStyle name="Percent 12 6 5 2" xfId="13426"/>
    <cellStyle name="Percent 12 6 6" xfId="9202"/>
    <cellStyle name="Percent 12 7" xfId="922"/>
    <cellStyle name="Percent 12 7 2" xfId="1984"/>
    <cellStyle name="Percent 12 7 2 2" xfId="4096"/>
    <cellStyle name="Percent 12 7 2 2 2" xfId="8322"/>
    <cellStyle name="Percent 12 7 2 2 2 2" xfId="16770"/>
    <cellStyle name="Percent 12 7 2 2 3" xfId="12546"/>
    <cellStyle name="Percent 12 7 2 3" xfId="6210"/>
    <cellStyle name="Percent 12 7 2 3 2" xfId="14658"/>
    <cellStyle name="Percent 12 7 2 4" xfId="10434"/>
    <cellStyle name="Percent 12 7 3" xfId="3040"/>
    <cellStyle name="Percent 12 7 3 2" xfId="7266"/>
    <cellStyle name="Percent 12 7 3 2 2" xfId="15714"/>
    <cellStyle name="Percent 12 7 3 3" xfId="11490"/>
    <cellStyle name="Percent 12 7 4" xfId="5154"/>
    <cellStyle name="Percent 12 7 4 2" xfId="13602"/>
    <cellStyle name="Percent 12 7 5" xfId="9378"/>
    <cellStyle name="Percent 12 8" xfId="1274"/>
    <cellStyle name="Percent 12 8 2" xfId="2336"/>
    <cellStyle name="Percent 12 8 2 2" xfId="4448"/>
    <cellStyle name="Percent 12 8 2 2 2" xfId="8674"/>
    <cellStyle name="Percent 12 8 2 2 2 2" xfId="17122"/>
    <cellStyle name="Percent 12 8 2 2 3" xfId="12898"/>
    <cellStyle name="Percent 12 8 2 3" xfId="6562"/>
    <cellStyle name="Percent 12 8 2 3 2" xfId="15010"/>
    <cellStyle name="Percent 12 8 2 4" xfId="10786"/>
    <cellStyle name="Percent 12 8 3" xfId="3392"/>
    <cellStyle name="Percent 12 8 3 2" xfId="7618"/>
    <cellStyle name="Percent 12 8 3 2 2" xfId="16066"/>
    <cellStyle name="Percent 12 8 3 3" xfId="11842"/>
    <cellStyle name="Percent 12 8 4" xfId="5506"/>
    <cellStyle name="Percent 12 8 4 2" xfId="13954"/>
    <cellStyle name="Percent 12 8 5" xfId="9730"/>
    <cellStyle name="Percent 12 9" xfId="1456"/>
    <cellStyle name="Percent 12 9 2" xfId="2512"/>
    <cellStyle name="Percent 12 9 2 2" xfId="4624"/>
    <cellStyle name="Percent 12 9 2 2 2" xfId="8850"/>
    <cellStyle name="Percent 12 9 2 2 2 2" xfId="17298"/>
    <cellStyle name="Percent 12 9 2 2 3" xfId="13074"/>
    <cellStyle name="Percent 12 9 2 3" xfId="6738"/>
    <cellStyle name="Percent 12 9 2 3 2" xfId="15186"/>
    <cellStyle name="Percent 12 9 2 4" xfId="10962"/>
    <cellStyle name="Percent 12 9 3" xfId="3568"/>
    <cellStyle name="Percent 12 9 3 2" xfId="7794"/>
    <cellStyle name="Percent 12 9 3 2 2" xfId="16242"/>
    <cellStyle name="Percent 12 9 3 3" xfId="12018"/>
    <cellStyle name="Percent 12 9 4" xfId="5682"/>
    <cellStyle name="Percent 12 9 4 2" xfId="14130"/>
    <cellStyle name="Percent 12 9 5" xfId="9906"/>
    <cellStyle name="Percent 13" xfId="474"/>
    <cellStyle name="Percent 14" xfId="475"/>
    <cellStyle name="Percent 15" xfId="476"/>
    <cellStyle name="Percent 15 2" xfId="477"/>
    <cellStyle name="Percent 16" xfId="478"/>
    <cellStyle name="Percent 16 2" xfId="479"/>
    <cellStyle name="Percent 17" xfId="480"/>
    <cellStyle name="Percent 18" xfId="481"/>
    <cellStyle name="Percent 19" xfId="482"/>
    <cellStyle name="Percent 2" xfId="483"/>
    <cellStyle name="Percent 2 2" xfId="484"/>
    <cellStyle name="Percent 2 2 2" xfId="485"/>
    <cellStyle name="Percent 2 2 3" xfId="486"/>
    <cellStyle name="Percent 20" xfId="487"/>
    <cellStyle name="Percent 3" xfId="488"/>
    <cellStyle name="Percent 3 10" xfId="2694"/>
    <cellStyle name="Percent 3 10 2" xfId="6920"/>
    <cellStyle name="Percent 3 10 2 2" xfId="15368"/>
    <cellStyle name="Percent 3 10 3" xfId="11144"/>
    <cellStyle name="Percent 3 11" xfId="4807"/>
    <cellStyle name="Percent 3 11 2" xfId="13256"/>
    <cellStyle name="Percent 3 12" xfId="9032"/>
    <cellStyle name="Percent 3 2" xfId="489"/>
    <cellStyle name="Percent 3 3" xfId="490"/>
    <cellStyle name="Percent 3 3 2" xfId="753"/>
    <cellStyle name="Percent 3 3 2 2" xfId="1105"/>
    <cellStyle name="Percent 3 3 2 2 2" xfId="2167"/>
    <cellStyle name="Percent 3 3 2 2 2 2" xfId="4279"/>
    <cellStyle name="Percent 3 3 2 2 2 2 2" xfId="8505"/>
    <cellStyle name="Percent 3 3 2 2 2 2 2 2" xfId="16953"/>
    <cellStyle name="Percent 3 3 2 2 2 2 3" xfId="12729"/>
    <cellStyle name="Percent 3 3 2 2 2 3" xfId="6393"/>
    <cellStyle name="Percent 3 3 2 2 2 3 2" xfId="14841"/>
    <cellStyle name="Percent 3 3 2 2 2 4" xfId="10617"/>
    <cellStyle name="Percent 3 3 2 2 3" xfId="3223"/>
    <cellStyle name="Percent 3 3 2 2 3 2" xfId="7449"/>
    <cellStyle name="Percent 3 3 2 2 3 2 2" xfId="15897"/>
    <cellStyle name="Percent 3 3 2 2 3 3" xfId="11673"/>
    <cellStyle name="Percent 3 3 2 2 4" xfId="5337"/>
    <cellStyle name="Percent 3 3 2 2 4 2" xfId="13785"/>
    <cellStyle name="Percent 3 3 2 2 5" xfId="9561"/>
    <cellStyle name="Percent 3 3 2 3" xfId="1815"/>
    <cellStyle name="Percent 3 3 2 3 2" xfId="3927"/>
    <cellStyle name="Percent 3 3 2 3 2 2" xfId="8153"/>
    <cellStyle name="Percent 3 3 2 3 2 2 2" xfId="16601"/>
    <cellStyle name="Percent 3 3 2 3 2 3" xfId="12377"/>
    <cellStyle name="Percent 3 3 2 3 3" xfId="6041"/>
    <cellStyle name="Percent 3 3 2 3 3 2" xfId="14489"/>
    <cellStyle name="Percent 3 3 2 3 4" xfId="10265"/>
    <cellStyle name="Percent 3 3 2 4" xfId="2871"/>
    <cellStyle name="Percent 3 3 2 4 2" xfId="7097"/>
    <cellStyle name="Percent 3 3 2 4 2 2" xfId="15545"/>
    <cellStyle name="Percent 3 3 2 4 3" xfId="11321"/>
    <cellStyle name="Percent 3 3 2 5" xfId="4985"/>
    <cellStyle name="Percent 3 3 2 5 2" xfId="13433"/>
    <cellStyle name="Percent 3 3 2 6" xfId="9209"/>
    <cellStyle name="Percent 3 3 3" xfId="929"/>
    <cellStyle name="Percent 3 3 3 2" xfId="1991"/>
    <cellStyle name="Percent 3 3 3 2 2" xfId="4103"/>
    <cellStyle name="Percent 3 3 3 2 2 2" xfId="8329"/>
    <cellStyle name="Percent 3 3 3 2 2 2 2" xfId="16777"/>
    <cellStyle name="Percent 3 3 3 2 2 3" xfId="12553"/>
    <cellStyle name="Percent 3 3 3 2 3" xfId="6217"/>
    <cellStyle name="Percent 3 3 3 2 3 2" xfId="14665"/>
    <cellStyle name="Percent 3 3 3 2 4" xfId="10441"/>
    <cellStyle name="Percent 3 3 3 3" xfId="3047"/>
    <cellStyle name="Percent 3 3 3 3 2" xfId="7273"/>
    <cellStyle name="Percent 3 3 3 3 2 2" xfId="15721"/>
    <cellStyle name="Percent 3 3 3 3 3" xfId="11497"/>
    <cellStyle name="Percent 3 3 3 4" xfId="5161"/>
    <cellStyle name="Percent 3 3 3 4 2" xfId="13609"/>
    <cellStyle name="Percent 3 3 3 5" xfId="9385"/>
    <cellStyle name="Percent 3 3 4" xfId="1281"/>
    <cellStyle name="Percent 3 3 4 2" xfId="2343"/>
    <cellStyle name="Percent 3 3 4 2 2" xfId="4455"/>
    <cellStyle name="Percent 3 3 4 2 2 2" xfId="8681"/>
    <cellStyle name="Percent 3 3 4 2 2 2 2" xfId="17129"/>
    <cellStyle name="Percent 3 3 4 2 2 3" xfId="12905"/>
    <cellStyle name="Percent 3 3 4 2 3" xfId="6569"/>
    <cellStyle name="Percent 3 3 4 2 3 2" xfId="15017"/>
    <cellStyle name="Percent 3 3 4 2 4" xfId="10793"/>
    <cellStyle name="Percent 3 3 4 3" xfId="3399"/>
    <cellStyle name="Percent 3 3 4 3 2" xfId="7625"/>
    <cellStyle name="Percent 3 3 4 3 2 2" xfId="16073"/>
    <cellStyle name="Percent 3 3 4 3 3" xfId="11849"/>
    <cellStyle name="Percent 3 3 4 4" xfId="5513"/>
    <cellStyle name="Percent 3 3 4 4 2" xfId="13961"/>
    <cellStyle name="Percent 3 3 4 5" xfId="9737"/>
    <cellStyle name="Percent 3 3 5" xfId="1463"/>
    <cellStyle name="Percent 3 3 5 2" xfId="2519"/>
    <cellStyle name="Percent 3 3 5 2 2" xfId="4631"/>
    <cellStyle name="Percent 3 3 5 2 2 2" xfId="8857"/>
    <cellStyle name="Percent 3 3 5 2 2 2 2" xfId="17305"/>
    <cellStyle name="Percent 3 3 5 2 2 3" xfId="13081"/>
    <cellStyle name="Percent 3 3 5 2 3" xfId="6745"/>
    <cellStyle name="Percent 3 3 5 2 3 2" xfId="15193"/>
    <cellStyle name="Percent 3 3 5 2 4" xfId="10969"/>
    <cellStyle name="Percent 3 3 5 3" xfId="3575"/>
    <cellStyle name="Percent 3 3 5 3 2" xfId="7801"/>
    <cellStyle name="Percent 3 3 5 3 2 2" xfId="16249"/>
    <cellStyle name="Percent 3 3 5 3 3" xfId="12025"/>
    <cellStyle name="Percent 3 3 5 4" xfId="5689"/>
    <cellStyle name="Percent 3 3 5 4 2" xfId="14137"/>
    <cellStyle name="Percent 3 3 5 5" xfId="9913"/>
    <cellStyle name="Percent 3 3 6" xfId="1639"/>
    <cellStyle name="Percent 3 3 6 2" xfId="3751"/>
    <cellStyle name="Percent 3 3 6 2 2" xfId="7977"/>
    <cellStyle name="Percent 3 3 6 2 2 2" xfId="16425"/>
    <cellStyle name="Percent 3 3 6 2 3" xfId="12201"/>
    <cellStyle name="Percent 3 3 6 3" xfId="5865"/>
    <cellStyle name="Percent 3 3 6 3 2" xfId="14313"/>
    <cellStyle name="Percent 3 3 6 4" xfId="10089"/>
    <cellStyle name="Percent 3 3 7" xfId="2695"/>
    <cellStyle name="Percent 3 3 7 2" xfId="6921"/>
    <cellStyle name="Percent 3 3 7 2 2" xfId="15369"/>
    <cellStyle name="Percent 3 3 7 3" xfId="11145"/>
    <cellStyle name="Percent 3 3 8" xfId="4808"/>
    <cellStyle name="Percent 3 3 8 2" xfId="13257"/>
    <cellStyle name="Percent 3 3 9" xfId="9033"/>
    <cellStyle name="Percent 3 4" xfId="491"/>
    <cellStyle name="Percent 3 4 2" xfId="754"/>
    <cellStyle name="Percent 3 4 2 2" xfId="1106"/>
    <cellStyle name="Percent 3 4 2 2 2" xfId="2168"/>
    <cellStyle name="Percent 3 4 2 2 2 2" xfId="4280"/>
    <cellStyle name="Percent 3 4 2 2 2 2 2" xfId="8506"/>
    <cellStyle name="Percent 3 4 2 2 2 2 2 2" xfId="16954"/>
    <cellStyle name="Percent 3 4 2 2 2 2 3" xfId="12730"/>
    <cellStyle name="Percent 3 4 2 2 2 3" xfId="6394"/>
    <cellStyle name="Percent 3 4 2 2 2 3 2" xfId="14842"/>
    <cellStyle name="Percent 3 4 2 2 2 4" xfId="10618"/>
    <cellStyle name="Percent 3 4 2 2 3" xfId="3224"/>
    <cellStyle name="Percent 3 4 2 2 3 2" xfId="7450"/>
    <cellStyle name="Percent 3 4 2 2 3 2 2" xfId="15898"/>
    <cellStyle name="Percent 3 4 2 2 3 3" xfId="11674"/>
    <cellStyle name="Percent 3 4 2 2 4" xfId="5338"/>
    <cellStyle name="Percent 3 4 2 2 4 2" xfId="13786"/>
    <cellStyle name="Percent 3 4 2 2 5" xfId="9562"/>
    <cellStyle name="Percent 3 4 2 3" xfId="1816"/>
    <cellStyle name="Percent 3 4 2 3 2" xfId="3928"/>
    <cellStyle name="Percent 3 4 2 3 2 2" xfId="8154"/>
    <cellStyle name="Percent 3 4 2 3 2 2 2" xfId="16602"/>
    <cellStyle name="Percent 3 4 2 3 2 3" xfId="12378"/>
    <cellStyle name="Percent 3 4 2 3 3" xfId="6042"/>
    <cellStyle name="Percent 3 4 2 3 3 2" xfId="14490"/>
    <cellStyle name="Percent 3 4 2 3 4" xfId="10266"/>
    <cellStyle name="Percent 3 4 2 4" xfId="2872"/>
    <cellStyle name="Percent 3 4 2 4 2" xfId="7098"/>
    <cellStyle name="Percent 3 4 2 4 2 2" xfId="15546"/>
    <cellStyle name="Percent 3 4 2 4 3" xfId="11322"/>
    <cellStyle name="Percent 3 4 2 5" xfId="4986"/>
    <cellStyle name="Percent 3 4 2 5 2" xfId="13434"/>
    <cellStyle name="Percent 3 4 2 6" xfId="9210"/>
    <cellStyle name="Percent 3 4 3" xfId="930"/>
    <cellStyle name="Percent 3 4 3 2" xfId="1992"/>
    <cellStyle name="Percent 3 4 3 2 2" xfId="4104"/>
    <cellStyle name="Percent 3 4 3 2 2 2" xfId="8330"/>
    <cellStyle name="Percent 3 4 3 2 2 2 2" xfId="16778"/>
    <cellStyle name="Percent 3 4 3 2 2 3" xfId="12554"/>
    <cellStyle name="Percent 3 4 3 2 3" xfId="6218"/>
    <cellStyle name="Percent 3 4 3 2 3 2" xfId="14666"/>
    <cellStyle name="Percent 3 4 3 2 4" xfId="10442"/>
    <cellStyle name="Percent 3 4 3 3" xfId="3048"/>
    <cellStyle name="Percent 3 4 3 3 2" xfId="7274"/>
    <cellStyle name="Percent 3 4 3 3 2 2" xfId="15722"/>
    <cellStyle name="Percent 3 4 3 3 3" xfId="11498"/>
    <cellStyle name="Percent 3 4 3 4" xfId="5162"/>
    <cellStyle name="Percent 3 4 3 4 2" xfId="13610"/>
    <cellStyle name="Percent 3 4 3 5" xfId="9386"/>
    <cellStyle name="Percent 3 4 4" xfId="1282"/>
    <cellStyle name="Percent 3 4 4 2" xfId="2344"/>
    <cellStyle name="Percent 3 4 4 2 2" xfId="4456"/>
    <cellStyle name="Percent 3 4 4 2 2 2" xfId="8682"/>
    <cellStyle name="Percent 3 4 4 2 2 2 2" xfId="17130"/>
    <cellStyle name="Percent 3 4 4 2 2 3" xfId="12906"/>
    <cellStyle name="Percent 3 4 4 2 3" xfId="6570"/>
    <cellStyle name="Percent 3 4 4 2 3 2" xfId="15018"/>
    <cellStyle name="Percent 3 4 4 2 4" xfId="10794"/>
    <cellStyle name="Percent 3 4 4 3" xfId="3400"/>
    <cellStyle name="Percent 3 4 4 3 2" xfId="7626"/>
    <cellStyle name="Percent 3 4 4 3 2 2" xfId="16074"/>
    <cellStyle name="Percent 3 4 4 3 3" xfId="11850"/>
    <cellStyle name="Percent 3 4 4 4" xfId="5514"/>
    <cellStyle name="Percent 3 4 4 4 2" xfId="13962"/>
    <cellStyle name="Percent 3 4 4 5" xfId="9738"/>
    <cellStyle name="Percent 3 4 5" xfId="1464"/>
    <cellStyle name="Percent 3 4 5 2" xfId="2520"/>
    <cellStyle name="Percent 3 4 5 2 2" xfId="4632"/>
    <cellStyle name="Percent 3 4 5 2 2 2" xfId="8858"/>
    <cellStyle name="Percent 3 4 5 2 2 2 2" xfId="17306"/>
    <cellStyle name="Percent 3 4 5 2 2 3" xfId="13082"/>
    <cellStyle name="Percent 3 4 5 2 3" xfId="6746"/>
    <cellStyle name="Percent 3 4 5 2 3 2" xfId="15194"/>
    <cellStyle name="Percent 3 4 5 2 4" xfId="10970"/>
    <cellStyle name="Percent 3 4 5 3" xfId="3576"/>
    <cellStyle name="Percent 3 4 5 3 2" xfId="7802"/>
    <cellStyle name="Percent 3 4 5 3 2 2" xfId="16250"/>
    <cellStyle name="Percent 3 4 5 3 3" xfId="12026"/>
    <cellStyle name="Percent 3 4 5 4" xfId="5690"/>
    <cellStyle name="Percent 3 4 5 4 2" xfId="14138"/>
    <cellStyle name="Percent 3 4 5 5" xfId="9914"/>
    <cellStyle name="Percent 3 4 6" xfId="1640"/>
    <cellStyle name="Percent 3 4 6 2" xfId="3752"/>
    <cellStyle name="Percent 3 4 6 2 2" xfId="7978"/>
    <cellStyle name="Percent 3 4 6 2 2 2" xfId="16426"/>
    <cellStyle name="Percent 3 4 6 2 3" xfId="12202"/>
    <cellStyle name="Percent 3 4 6 3" xfId="5866"/>
    <cellStyle name="Percent 3 4 6 3 2" xfId="14314"/>
    <cellStyle name="Percent 3 4 6 4" xfId="10090"/>
    <cellStyle name="Percent 3 4 7" xfId="2696"/>
    <cellStyle name="Percent 3 4 7 2" xfId="6922"/>
    <cellStyle name="Percent 3 4 7 2 2" xfId="15370"/>
    <cellStyle name="Percent 3 4 7 3" xfId="11146"/>
    <cellStyle name="Percent 3 4 8" xfId="4809"/>
    <cellStyle name="Percent 3 4 8 2" xfId="13258"/>
    <cellStyle name="Percent 3 4 9" xfId="9034"/>
    <cellStyle name="Percent 3 5" xfId="752"/>
    <cellStyle name="Percent 3 5 2" xfId="1104"/>
    <cellStyle name="Percent 3 5 2 2" xfId="2166"/>
    <cellStyle name="Percent 3 5 2 2 2" xfId="4278"/>
    <cellStyle name="Percent 3 5 2 2 2 2" xfId="8504"/>
    <cellStyle name="Percent 3 5 2 2 2 2 2" xfId="16952"/>
    <cellStyle name="Percent 3 5 2 2 2 3" xfId="12728"/>
    <cellStyle name="Percent 3 5 2 2 3" xfId="6392"/>
    <cellStyle name="Percent 3 5 2 2 3 2" xfId="14840"/>
    <cellStyle name="Percent 3 5 2 2 4" xfId="10616"/>
    <cellStyle name="Percent 3 5 2 3" xfId="3222"/>
    <cellStyle name="Percent 3 5 2 3 2" xfId="7448"/>
    <cellStyle name="Percent 3 5 2 3 2 2" xfId="15896"/>
    <cellStyle name="Percent 3 5 2 3 3" xfId="11672"/>
    <cellStyle name="Percent 3 5 2 4" xfId="5336"/>
    <cellStyle name="Percent 3 5 2 4 2" xfId="13784"/>
    <cellStyle name="Percent 3 5 2 5" xfId="9560"/>
    <cellStyle name="Percent 3 5 3" xfId="1814"/>
    <cellStyle name="Percent 3 5 3 2" xfId="3926"/>
    <cellStyle name="Percent 3 5 3 2 2" xfId="8152"/>
    <cellStyle name="Percent 3 5 3 2 2 2" xfId="16600"/>
    <cellStyle name="Percent 3 5 3 2 3" xfId="12376"/>
    <cellStyle name="Percent 3 5 3 3" xfId="6040"/>
    <cellStyle name="Percent 3 5 3 3 2" xfId="14488"/>
    <cellStyle name="Percent 3 5 3 4" xfId="10264"/>
    <cellStyle name="Percent 3 5 4" xfId="2870"/>
    <cellStyle name="Percent 3 5 4 2" xfId="7096"/>
    <cellStyle name="Percent 3 5 4 2 2" xfId="15544"/>
    <cellStyle name="Percent 3 5 4 3" xfId="11320"/>
    <cellStyle name="Percent 3 5 5" xfId="4984"/>
    <cellStyle name="Percent 3 5 5 2" xfId="13432"/>
    <cellStyle name="Percent 3 5 6" xfId="9208"/>
    <cellStyle name="Percent 3 6" xfId="928"/>
    <cellStyle name="Percent 3 6 2" xfId="1990"/>
    <cellStyle name="Percent 3 6 2 2" xfId="4102"/>
    <cellStyle name="Percent 3 6 2 2 2" xfId="8328"/>
    <cellStyle name="Percent 3 6 2 2 2 2" xfId="16776"/>
    <cellStyle name="Percent 3 6 2 2 3" xfId="12552"/>
    <cellStyle name="Percent 3 6 2 3" xfId="6216"/>
    <cellStyle name="Percent 3 6 2 3 2" xfId="14664"/>
    <cellStyle name="Percent 3 6 2 4" xfId="10440"/>
    <cellStyle name="Percent 3 6 3" xfId="3046"/>
    <cellStyle name="Percent 3 6 3 2" xfId="7272"/>
    <cellStyle name="Percent 3 6 3 2 2" xfId="15720"/>
    <cellStyle name="Percent 3 6 3 3" xfId="11496"/>
    <cellStyle name="Percent 3 6 4" xfId="5160"/>
    <cellStyle name="Percent 3 6 4 2" xfId="13608"/>
    <cellStyle name="Percent 3 6 5" xfId="9384"/>
    <cellStyle name="Percent 3 7" xfId="1280"/>
    <cellStyle name="Percent 3 7 2" xfId="2342"/>
    <cellStyle name="Percent 3 7 2 2" xfId="4454"/>
    <cellStyle name="Percent 3 7 2 2 2" xfId="8680"/>
    <cellStyle name="Percent 3 7 2 2 2 2" xfId="17128"/>
    <cellStyle name="Percent 3 7 2 2 3" xfId="12904"/>
    <cellStyle name="Percent 3 7 2 3" xfId="6568"/>
    <cellStyle name="Percent 3 7 2 3 2" xfId="15016"/>
    <cellStyle name="Percent 3 7 2 4" xfId="10792"/>
    <cellStyle name="Percent 3 7 3" xfId="3398"/>
    <cellStyle name="Percent 3 7 3 2" xfId="7624"/>
    <cellStyle name="Percent 3 7 3 2 2" xfId="16072"/>
    <cellStyle name="Percent 3 7 3 3" xfId="11848"/>
    <cellStyle name="Percent 3 7 4" xfId="5512"/>
    <cellStyle name="Percent 3 7 4 2" xfId="13960"/>
    <cellStyle name="Percent 3 7 5" xfId="9736"/>
    <cellStyle name="Percent 3 8" xfId="1462"/>
    <cellStyle name="Percent 3 8 2" xfId="2518"/>
    <cellStyle name="Percent 3 8 2 2" xfId="4630"/>
    <cellStyle name="Percent 3 8 2 2 2" xfId="8856"/>
    <cellStyle name="Percent 3 8 2 2 2 2" xfId="17304"/>
    <cellStyle name="Percent 3 8 2 2 3" xfId="13080"/>
    <cellStyle name="Percent 3 8 2 3" xfId="6744"/>
    <cellStyle name="Percent 3 8 2 3 2" xfId="15192"/>
    <cellStyle name="Percent 3 8 2 4" xfId="10968"/>
    <cellStyle name="Percent 3 8 3" xfId="3574"/>
    <cellStyle name="Percent 3 8 3 2" xfId="7800"/>
    <cellStyle name="Percent 3 8 3 2 2" xfId="16248"/>
    <cellStyle name="Percent 3 8 3 3" xfId="12024"/>
    <cellStyle name="Percent 3 8 4" xfId="5688"/>
    <cellStyle name="Percent 3 8 4 2" xfId="14136"/>
    <cellStyle name="Percent 3 8 5" xfId="9912"/>
    <cellStyle name="Percent 3 9" xfId="1638"/>
    <cellStyle name="Percent 3 9 2" xfId="3750"/>
    <cellStyle name="Percent 3 9 2 2" xfId="7976"/>
    <cellStyle name="Percent 3 9 2 2 2" xfId="16424"/>
    <cellStyle name="Percent 3 9 2 3" xfId="12200"/>
    <cellStyle name="Percent 3 9 3" xfId="5864"/>
    <cellStyle name="Percent 3 9 3 2" xfId="14312"/>
    <cellStyle name="Percent 3 9 4" xfId="10088"/>
    <cellStyle name="Percent 4" xfId="492"/>
    <cellStyle name="Percent 4 2" xfId="493"/>
    <cellStyle name="Percent 4 3" xfId="494"/>
    <cellStyle name="Percent 5" xfId="495"/>
    <cellStyle name="Percent 5 2" xfId="496"/>
    <cellStyle name="Percent 5 3" xfId="497"/>
    <cellStyle name="Percent 6" xfId="498"/>
    <cellStyle name="Percent 6 2" xfId="499"/>
    <cellStyle name="Percent 6 3" xfId="500"/>
    <cellStyle name="Percent 7" xfId="501"/>
    <cellStyle name="Percent 7 2" xfId="502"/>
    <cellStyle name="Percent 7 2 2" xfId="17372"/>
    <cellStyle name="Percent 7 3" xfId="503"/>
    <cellStyle name="Percent 7 4" xfId="504"/>
    <cellStyle name="Percent 8" xfId="505"/>
    <cellStyle name="Percent 8 10" xfId="1641"/>
    <cellStyle name="Percent 8 10 2" xfId="3753"/>
    <cellStyle name="Percent 8 10 2 2" xfId="7979"/>
    <cellStyle name="Percent 8 10 2 2 2" xfId="16427"/>
    <cellStyle name="Percent 8 10 2 3" xfId="12203"/>
    <cellStyle name="Percent 8 10 3" xfId="5867"/>
    <cellStyle name="Percent 8 10 3 2" xfId="14315"/>
    <cellStyle name="Percent 8 10 4" xfId="10091"/>
    <cellStyle name="Percent 8 11" xfId="2697"/>
    <cellStyle name="Percent 8 11 2" xfId="6923"/>
    <cellStyle name="Percent 8 11 2 2" xfId="15371"/>
    <cellStyle name="Percent 8 11 3" xfId="11147"/>
    <cellStyle name="Percent 8 12" xfId="4810"/>
    <cellStyle name="Percent 8 12 2" xfId="13259"/>
    <cellStyle name="Percent 8 13" xfId="9035"/>
    <cellStyle name="Percent 8 2" xfId="506"/>
    <cellStyle name="Percent 8 2 10" xfId="4811"/>
    <cellStyle name="Percent 8 2 10 2" xfId="13260"/>
    <cellStyle name="Percent 8 2 11" xfId="9036"/>
    <cellStyle name="Percent 8 2 2" xfId="507"/>
    <cellStyle name="Percent 8 2 2 2" xfId="757"/>
    <cellStyle name="Percent 8 2 2 2 2" xfId="1109"/>
    <cellStyle name="Percent 8 2 2 2 2 2" xfId="2171"/>
    <cellStyle name="Percent 8 2 2 2 2 2 2" xfId="4283"/>
    <cellStyle name="Percent 8 2 2 2 2 2 2 2" xfId="8509"/>
    <cellStyle name="Percent 8 2 2 2 2 2 2 2 2" xfId="16957"/>
    <cellStyle name="Percent 8 2 2 2 2 2 2 3" xfId="12733"/>
    <cellStyle name="Percent 8 2 2 2 2 2 3" xfId="6397"/>
    <cellStyle name="Percent 8 2 2 2 2 2 3 2" xfId="14845"/>
    <cellStyle name="Percent 8 2 2 2 2 2 4" xfId="10621"/>
    <cellStyle name="Percent 8 2 2 2 2 3" xfId="3227"/>
    <cellStyle name="Percent 8 2 2 2 2 3 2" xfId="7453"/>
    <cellStyle name="Percent 8 2 2 2 2 3 2 2" xfId="15901"/>
    <cellStyle name="Percent 8 2 2 2 2 3 3" xfId="11677"/>
    <cellStyle name="Percent 8 2 2 2 2 4" xfId="5341"/>
    <cellStyle name="Percent 8 2 2 2 2 4 2" xfId="13789"/>
    <cellStyle name="Percent 8 2 2 2 2 5" xfId="9565"/>
    <cellStyle name="Percent 8 2 2 2 3" xfId="1819"/>
    <cellStyle name="Percent 8 2 2 2 3 2" xfId="3931"/>
    <cellStyle name="Percent 8 2 2 2 3 2 2" xfId="8157"/>
    <cellStyle name="Percent 8 2 2 2 3 2 2 2" xfId="16605"/>
    <cellStyle name="Percent 8 2 2 2 3 2 3" xfId="12381"/>
    <cellStyle name="Percent 8 2 2 2 3 3" xfId="6045"/>
    <cellStyle name="Percent 8 2 2 2 3 3 2" xfId="14493"/>
    <cellStyle name="Percent 8 2 2 2 3 4" xfId="10269"/>
    <cellStyle name="Percent 8 2 2 2 4" xfId="2875"/>
    <cellStyle name="Percent 8 2 2 2 4 2" xfId="7101"/>
    <cellStyle name="Percent 8 2 2 2 4 2 2" xfId="15549"/>
    <cellStyle name="Percent 8 2 2 2 4 3" xfId="11325"/>
    <cellStyle name="Percent 8 2 2 2 5" xfId="4989"/>
    <cellStyle name="Percent 8 2 2 2 5 2" xfId="13437"/>
    <cellStyle name="Percent 8 2 2 2 6" xfId="9213"/>
    <cellStyle name="Percent 8 2 2 3" xfId="933"/>
    <cellStyle name="Percent 8 2 2 3 2" xfId="1995"/>
    <cellStyle name="Percent 8 2 2 3 2 2" xfId="4107"/>
    <cellStyle name="Percent 8 2 2 3 2 2 2" xfId="8333"/>
    <cellStyle name="Percent 8 2 2 3 2 2 2 2" xfId="16781"/>
    <cellStyle name="Percent 8 2 2 3 2 2 3" xfId="12557"/>
    <cellStyle name="Percent 8 2 2 3 2 3" xfId="6221"/>
    <cellStyle name="Percent 8 2 2 3 2 3 2" xfId="14669"/>
    <cellStyle name="Percent 8 2 2 3 2 4" xfId="10445"/>
    <cellStyle name="Percent 8 2 2 3 3" xfId="3051"/>
    <cellStyle name="Percent 8 2 2 3 3 2" xfId="7277"/>
    <cellStyle name="Percent 8 2 2 3 3 2 2" xfId="15725"/>
    <cellStyle name="Percent 8 2 2 3 3 3" xfId="11501"/>
    <cellStyle name="Percent 8 2 2 3 4" xfId="5165"/>
    <cellStyle name="Percent 8 2 2 3 4 2" xfId="13613"/>
    <cellStyle name="Percent 8 2 2 3 5" xfId="9389"/>
    <cellStyle name="Percent 8 2 2 4" xfId="1285"/>
    <cellStyle name="Percent 8 2 2 4 2" xfId="2347"/>
    <cellStyle name="Percent 8 2 2 4 2 2" xfId="4459"/>
    <cellStyle name="Percent 8 2 2 4 2 2 2" xfId="8685"/>
    <cellStyle name="Percent 8 2 2 4 2 2 2 2" xfId="17133"/>
    <cellStyle name="Percent 8 2 2 4 2 2 3" xfId="12909"/>
    <cellStyle name="Percent 8 2 2 4 2 3" xfId="6573"/>
    <cellStyle name="Percent 8 2 2 4 2 3 2" xfId="15021"/>
    <cellStyle name="Percent 8 2 2 4 2 4" xfId="10797"/>
    <cellStyle name="Percent 8 2 2 4 3" xfId="3403"/>
    <cellStyle name="Percent 8 2 2 4 3 2" xfId="7629"/>
    <cellStyle name="Percent 8 2 2 4 3 2 2" xfId="16077"/>
    <cellStyle name="Percent 8 2 2 4 3 3" xfId="11853"/>
    <cellStyle name="Percent 8 2 2 4 4" xfId="5517"/>
    <cellStyle name="Percent 8 2 2 4 4 2" xfId="13965"/>
    <cellStyle name="Percent 8 2 2 4 5" xfId="9741"/>
    <cellStyle name="Percent 8 2 2 5" xfId="1467"/>
    <cellStyle name="Percent 8 2 2 5 2" xfId="2523"/>
    <cellStyle name="Percent 8 2 2 5 2 2" xfId="4635"/>
    <cellStyle name="Percent 8 2 2 5 2 2 2" xfId="8861"/>
    <cellStyle name="Percent 8 2 2 5 2 2 2 2" xfId="17309"/>
    <cellStyle name="Percent 8 2 2 5 2 2 3" xfId="13085"/>
    <cellStyle name="Percent 8 2 2 5 2 3" xfId="6749"/>
    <cellStyle name="Percent 8 2 2 5 2 3 2" xfId="15197"/>
    <cellStyle name="Percent 8 2 2 5 2 4" xfId="10973"/>
    <cellStyle name="Percent 8 2 2 5 3" xfId="3579"/>
    <cellStyle name="Percent 8 2 2 5 3 2" xfId="7805"/>
    <cellStyle name="Percent 8 2 2 5 3 2 2" xfId="16253"/>
    <cellStyle name="Percent 8 2 2 5 3 3" xfId="12029"/>
    <cellStyle name="Percent 8 2 2 5 4" xfId="5693"/>
    <cellStyle name="Percent 8 2 2 5 4 2" xfId="14141"/>
    <cellStyle name="Percent 8 2 2 5 5" xfId="9917"/>
    <cellStyle name="Percent 8 2 2 6" xfId="1643"/>
    <cellStyle name="Percent 8 2 2 6 2" xfId="3755"/>
    <cellStyle name="Percent 8 2 2 6 2 2" xfId="7981"/>
    <cellStyle name="Percent 8 2 2 6 2 2 2" xfId="16429"/>
    <cellStyle name="Percent 8 2 2 6 2 3" xfId="12205"/>
    <cellStyle name="Percent 8 2 2 6 3" xfId="5869"/>
    <cellStyle name="Percent 8 2 2 6 3 2" xfId="14317"/>
    <cellStyle name="Percent 8 2 2 6 4" xfId="10093"/>
    <cellStyle name="Percent 8 2 2 7" xfId="2699"/>
    <cellStyle name="Percent 8 2 2 7 2" xfId="6925"/>
    <cellStyle name="Percent 8 2 2 7 2 2" xfId="15373"/>
    <cellStyle name="Percent 8 2 2 7 3" xfId="11149"/>
    <cellStyle name="Percent 8 2 2 8" xfId="4812"/>
    <cellStyle name="Percent 8 2 2 8 2" xfId="13261"/>
    <cellStyle name="Percent 8 2 2 9" xfId="9037"/>
    <cellStyle name="Percent 8 2 3" xfId="508"/>
    <cellStyle name="Percent 8 2 3 2" xfId="758"/>
    <cellStyle name="Percent 8 2 3 2 2" xfId="1110"/>
    <cellStyle name="Percent 8 2 3 2 2 2" xfId="2172"/>
    <cellStyle name="Percent 8 2 3 2 2 2 2" xfId="4284"/>
    <cellStyle name="Percent 8 2 3 2 2 2 2 2" xfId="8510"/>
    <cellStyle name="Percent 8 2 3 2 2 2 2 2 2" xfId="16958"/>
    <cellStyle name="Percent 8 2 3 2 2 2 2 3" xfId="12734"/>
    <cellStyle name="Percent 8 2 3 2 2 2 3" xfId="6398"/>
    <cellStyle name="Percent 8 2 3 2 2 2 3 2" xfId="14846"/>
    <cellStyle name="Percent 8 2 3 2 2 2 4" xfId="10622"/>
    <cellStyle name="Percent 8 2 3 2 2 3" xfId="3228"/>
    <cellStyle name="Percent 8 2 3 2 2 3 2" xfId="7454"/>
    <cellStyle name="Percent 8 2 3 2 2 3 2 2" xfId="15902"/>
    <cellStyle name="Percent 8 2 3 2 2 3 3" xfId="11678"/>
    <cellStyle name="Percent 8 2 3 2 2 4" xfId="5342"/>
    <cellStyle name="Percent 8 2 3 2 2 4 2" xfId="13790"/>
    <cellStyle name="Percent 8 2 3 2 2 5" xfId="9566"/>
    <cellStyle name="Percent 8 2 3 2 3" xfId="1820"/>
    <cellStyle name="Percent 8 2 3 2 3 2" xfId="3932"/>
    <cellStyle name="Percent 8 2 3 2 3 2 2" xfId="8158"/>
    <cellStyle name="Percent 8 2 3 2 3 2 2 2" xfId="16606"/>
    <cellStyle name="Percent 8 2 3 2 3 2 3" xfId="12382"/>
    <cellStyle name="Percent 8 2 3 2 3 3" xfId="6046"/>
    <cellStyle name="Percent 8 2 3 2 3 3 2" xfId="14494"/>
    <cellStyle name="Percent 8 2 3 2 3 4" xfId="10270"/>
    <cellStyle name="Percent 8 2 3 2 4" xfId="2876"/>
    <cellStyle name="Percent 8 2 3 2 4 2" xfId="7102"/>
    <cellStyle name="Percent 8 2 3 2 4 2 2" xfId="15550"/>
    <cellStyle name="Percent 8 2 3 2 4 3" xfId="11326"/>
    <cellStyle name="Percent 8 2 3 2 5" xfId="4990"/>
    <cellStyle name="Percent 8 2 3 2 5 2" xfId="13438"/>
    <cellStyle name="Percent 8 2 3 2 6" xfId="9214"/>
    <cellStyle name="Percent 8 2 3 3" xfId="934"/>
    <cellStyle name="Percent 8 2 3 3 2" xfId="1996"/>
    <cellStyle name="Percent 8 2 3 3 2 2" xfId="4108"/>
    <cellStyle name="Percent 8 2 3 3 2 2 2" xfId="8334"/>
    <cellStyle name="Percent 8 2 3 3 2 2 2 2" xfId="16782"/>
    <cellStyle name="Percent 8 2 3 3 2 2 3" xfId="12558"/>
    <cellStyle name="Percent 8 2 3 3 2 3" xfId="6222"/>
    <cellStyle name="Percent 8 2 3 3 2 3 2" xfId="14670"/>
    <cellStyle name="Percent 8 2 3 3 2 4" xfId="10446"/>
    <cellStyle name="Percent 8 2 3 3 3" xfId="3052"/>
    <cellStyle name="Percent 8 2 3 3 3 2" xfId="7278"/>
    <cellStyle name="Percent 8 2 3 3 3 2 2" xfId="15726"/>
    <cellStyle name="Percent 8 2 3 3 3 3" xfId="11502"/>
    <cellStyle name="Percent 8 2 3 3 4" xfId="5166"/>
    <cellStyle name="Percent 8 2 3 3 4 2" xfId="13614"/>
    <cellStyle name="Percent 8 2 3 3 5" xfId="9390"/>
    <cellStyle name="Percent 8 2 3 4" xfId="1286"/>
    <cellStyle name="Percent 8 2 3 4 2" xfId="2348"/>
    <cellStyle name="Percent 8 2 3 4 2 2" xfId="4460"/>
    <cellStyle name="Percent 8 2 3 4 2 2 2" xfId="8686"/>
    <cellStyle name="Percent 8 2 3 4 2 2 2 2" xfId="17134"/>
    <cellStyle name="Percent 8 2 3 4 2 2 3" xfId="12910"/>
    <cellStyle name="Percent 8 2 3 4 2 3" xfId="6574"/>
    <cellStyle name="Percent 8 2 3 4 2 3 2" xfId="15022"/>
    <cellStyle name="Percent 8 2 3 4 2 4" xfId="10798"/>
    <cellStyle name="Percent 8 2 3 4 3" xfId="3404"/>
    <cellStyle name="Percent 8 2 3 4 3 2" xfId="7630"/>
    <cellStyle name="Percent 8 2 3 4 3 2 2" xfId="16078"/>
    <cellStyle name="Percent 8 2 3 4 3 3" xfId="11854"/>
    <cellStyle name="Percent 8 2 3 4 4" xfId="5518"/>
    <cellStyle name="Percent 8 2 3 4 4 2" xfId="13966"/>
    <cellStyle name="Percent 8 2 3 4 5" xfId="9742"/>
    <cellStyle name="Percent 8 2 3 5" xfId="1468"/>
    <cellStyle name="Percent 8 2 3 5 2" xfId="2524"/>
    <cellStyle name="Percent 8 2 3 5 2 2" xfId="4636"/>
    <cellStyle name="Percent 8 2 3 5 2 2 2" xfId="8862"/>
    <cellStyle name="Percent 8 2 3 5 2 2 2 2" xfId="17310"/>
    <cellStyle name="Percent 8 2 3 5 2 2 3" xfId="13086"/>
    <cellStyle name="Percent 8 2 3 5 2 3" xfId="6750"/>
    <cellStyle name="Percent 8 2 3 5 2 3 2" xfId="15198"/>
    <cellStyle name="Percent 8 2 3 5 2 4" xfId="10974"/>
    <cellStyle name="Percent 8 2 3 5 3" xfId="3580"/>
    <cellStyle name="Percent 8 2 3 5 3 2" xfId="7806"/>
    <cellStyle name="Percent 8 2 3 5 3 2 2" xfId="16254"/>
    <cellStyle name="Percent 8 2 3 5 3 3" xfId="12030"/>
    <cellStyle name="Percent 8 2 3 5 4" xfId="5694"/>
    <cellStyle name="Percent 8 2 3 5 4 2" xfId="14142"/>
    <cellStyle name="Percent 8 2 3 5 5" xfId="9918"/>
    <cellStyle name="Percent 8 2 3 6" xfId="1644"/>
    <cellStyle name="Percent 8 2 3 6 2" xfId="3756"/>
    <cellStyle name="Percent 8 2 3 6 2 2" xfId="7982"/>
    <cellStyle name="Percent 8 2 3 6 2 2 2" xfId="16430"/>
    <cellStyle name="Percent 8 2 3 6 2 3" xfId="12206"/>
    <cellStyle name="Percent 8 2 3 6 3" xfId="5870"/>
    <cellStyle name="Percent 8 2 3 6 3 2" xfId="14318"/>
    <cellStyle name="Percent 8 2 3 6 4" xfId="10094"/>
    <cellStyle name="Percent 8 2 3 7" xfId="2700"/>
    <cellStyle name="Percent 8 2 3 7 2" xfId="6926"/>
    <cellStyle name="Percent 8 2 3 7 2 2" xfId="15374"/>
    <cellStyle name="Percent 8 2 3 7 3" xfId="11150"/>
    <cellStyle name="Percent 8 2 3 8" xfId="4813"/>
    <cellStyle name="Percent 8 2 3 8 2" xfId="13262"/>
    <cellStyle name="Percent 8 2 3 9" xfId="9038"/>
    <cellStyle name="Percent 8 2 4" xfId="756"/>
    <cellStyle name="Percent 8 2 4 2" xfId="1108"/>
    <cellStyle name="Percent 8 2 4 2 2" xfId="2170"/>
    <cellStyle name="Percent 8 2 4 2 2 2" xfId="4282"/>
    <cellStyle name="Percent 8 2 4 2 2 2 2" xfId="8508"/>
    <cellStyle name="Percent 8 2 4 2 2 2 2 2" xfId="16956"/>
    <cellStyle name="Percent 8 2 4 2 2 2 3" xfId="12732"/>
    <cellStyle name="Percent 8 2 4 2 2 3" xfId="6396"/>
    <cellStyle name="Percent 8 2 4 2 2 3 2" xfId="14844"/>
    <cellStyle name="Percent 8 2 4 2 2 4" xfId="10620"/>
    <cellStyle name="Percent 8 2 4 2 3" xfId="3226"/>
    <cellStyle name="Percent 8 2 4 2 3 2" xfId="7452"/>
    <cellStyle name="Percent 8 2 4 2 3 2 2" xfId="15900"/>
    <cellStyle name="Percent 8 2 4 2 3 3" xfId="11676"/>
    <cellStyle name="Percent 8 2 4 2 4" xfId="5340"/>
    <cellStyle name="Percent 8 2 4 2 4 2" xfId="13788"/>
    <cellStyle name="Percent 8 2 4 2 5" xfId="9564"/>
    <cellStyle name="Percent 8 2 4 3" xfId="1818"/>
    <cellStyle name="Percent 8 2 4 3 2" xfId="3930"/>
    <cellStyle name="Percent 8 2 4 3 2 2" xfId="8156"/>
    <cellStyle name="Percent 8 2 4 3 2 2 2" xfId="16604"/>
    <cellStyle name="Percent 8 2 4 3 2 3" xfId="12380"/>
    <cellStyle name="Percent 8 2 4 3 3" xfId="6044"/>
    <cellStyle name="Percent 8 2 4 3 3 2" xfId="14492"/>
    <cellStyle name="Percent 8 2 4 3 4" xfId="10268"/>
    <cellStyle name="Percent 8 2 4 4" xfId="2874"/>
    <cellStyle name="Percent 8 2 4 4 2" xfId="7100"/>
    <cellStyle name="Percent 8 2 4 4 2 2" xfId="15548"/>
    <cellStyle name="Percent 8 2 4 4 3" xfId="11324"/>
    <cellStyle name="Percent 8 2 4 5" xfId="4988"/>
    <cellStyle name="Percent 8 2 4 5 2" xfId="13436"/>
    <cellStyle name="Percent 8 2 4 6" xfId="9212"/>
    <cellStyle name="Percent 8 2 5" xfId="932"/>
    <cellStyle name="Percent 8 2 5 2" xfId="1994"/>
    <cellStyle name="Percent 8 2 5 2 2" xfId="4106"/>
    <cellStyle name="Percent 8 2 5 2 2 2" xfId="8332"/>
    <cellStyle name="Percent 8 2 5 2 2 2 2" xfId="16780"/>
    <cellStyle name="Percent 8 2 5 2 2 3" xfId="12556"/>
    <cellStyle name="Percent 8 2 5 2 3" xfId="6220"/>
    <cellStyle name="Percent 8 2 5 2 3 2" xfId="14668"/>
    <cellStyle name="Percent 8 2 5 2 4" xfId="10444"/>
    <cellStyle name="Percent 8 2 5 3" xfId="3050"/>
    <cellStyle name="Percent 8 2 5 3 2" xfId="7276"/>
    <cellStyle name="Percent 8 2 5 3 2 2" xfId="15724"/>
    <cellStyle name="Percent 8 2 5 3 3" xfId="11500"/>
    <cellStyle name="Percent 8 2 5 4" xfId="5164"/>
    <cellStyle name="Percent 8 2 5 4 2" xfId="13612"/>
    <cellStyle name="Percent 8 2 5 5" xfId="9388"/>
    <cellStyle name="Percent 8 2 6" xfId="1284"/>
    <cellStyle name="Percent 8 2 6 2" xfId="2346"/>
    <cellStyle name="Percent 8 2 6 2 2" xfId="4458"/>
    <cellStyle name="Percent 8 2 6 2 2 2" xfId="8684"/>
    <cellStyle name="Percent 8 2 6 2 2 2 2" xfId="17132"/>
    <cellStyle name="Percent 8 2 6 2 2 3" xfId="12908"/>
    <cellStyle name="Percent 8 2 6 2 3" xfId="6572"/>
    <cellStyle name="Percent 8 2 6 2 3 2" xfId="15020"/>
    <cellStyle name="Percent 8 2 6 2 4" xfId="10796"/>
    <cellStyle name="Percent 8 2 6 3" xfId="3402"/>
    <cellStyle name="Percent 8 2 6 3 2" xfId="7628"/>
    <cellStyle name="Percent 8 2 6 3 2 2" xfId="16076"/>
    <cellStyle name="Percent 8 2 6 3 3" xfId="11852"/>
    <cellStyle name="Percent 8 2 6 4" xfId="5516"/>
    <cellStyle name="Percent 8 2 6 4 2" xfId="13964"/>
    <cellStyle name="Percent 8 2 6 5" xfId="9740"/>
    <cellStyle name="Percent 8 2 7" xfId="1466"/>
    <cellStyle name="Percent 8 2 7 2" xfId="2522"/>
    <cellStyle name="Percent 8 2 7 2 2" xfId="4634"/>
    <cellStyle name="Percent 8 2 7 2 2 2" xfId="8860"/>
    <cellStyle name="Percent 8 2 7 2 2 2 2" xfId="17308"/>
    <cellStyle name="Percent 8 2 7 2 2 3" xfId="13084"/>
    <cellStyle name="Percent 8 2 7 2 3" xfId="6748"/>
    <cellStyle name="Percent 8 2 7 2 3 2" xfId="15196"/>
    <cellStyle name="Percent 8 2 7 2 4" xfId="10972"/>
    <cellStyle name="Percent 8 2 7 3" xfId="3578"/>
    <cellStyle name="Percent 8 2 7 3 2" xfId="7804"/>
    <cellStyle name="Percent 8 2 7 3 2 2" xfId="16252"/>
    <cellStyle name="Percent 8 2 7 3 3" xfId="12028"/>
    <cellStyle name="Percent 8 2 7 4" xfId="5692"/>
    <cellStyle name="Percent 8 2 7 4 2" xfId="14140"/>
    <cellStyle name="Percent 8 2 7 5" xfId="9916"/>
    <cellStyle name="Percent 8 2 8" xfId="1642"/>
    <cellStyle name="Percent 8 2 8 2" xfId="3754"/>
    <cellStyle name="Percent 8 2 8 2 2" xfId="7980"/>
    <cellStyle name="Percent 8 2 8 2 2 2" xfId="16428"/>
    <cellStyle name="Percent 8 2 8 2 3" xfId="12204"/>
    <cellStyle name="Percent 8 2 8 3" xfId="5868"/>
    <cellStyle name="Percent 8 2 8 3 2" xfId="14316"/>
    <cellStyle name="Percent 8 2 8 4" xfId="10092"/>
    <cellStyle name="Percent 8 2 9" xfId="2698"/>
    <cellStyle name="Percent 8 2 9 2" xfId="6924"/>
    <cellStyle name="Percent 8 2 9 2 2" xfId="15372"/>
    <cellStyle name="Percent 8 2 9 3" xfId="11148"/>
    <cellStyle name="Percent 8 3" xfId="509"/>
    <cellStyle name="Percent 8 4" xfId="510"/>
    <cellStyle name="Percent 8 4 2" xfId="759"/>
    <cellStyle name="Percent 8 4 2 2" xfId="1111"/>
    <cellStyle name="Percent 8 4 2 2 2" xfId="2173"/>
    <cellStyle name="Percent 8 4 2 2 2 2" xfId="4285"/>
    <cellStyle name="Percent 8 4 2 2 2 2 2" xfId="8511"/>
    <cellStyle name="Percent 8 4 2 2 2 2 2 2" xfId="16959"/>
    <cellStyle name="Percent 8 4 2 2 2 2 3" xfId="12735"/>
    <cellStyle name="Percent 8 4 2 2 2 3" xfId="6399"/>
    <cellStyle name="Percent 8 4 2 2 2 3 2" xfId="14847"/>
    <cellStyle name="Percent 8 4 2 2 2 4" xfId="10623"/>
    <cellStyle name="Percent 8 4 2 2 3" xfId="3229"/>
    <cellStyle name="Percent 8 4 2 2 3 2" xfId="7455"/>
    <cellStyle name="Percent 8 4 2 2 3 2 2" xfId="15903"/>
    <cellStyle name="Percent 8 4 2 2 3 3" xfId="11679"/>
    <cellStyle name="Percent 8 4 2 2 4" xfId="5343"/>
    <cellStyle name="Percent 8 4 2 2 4 2" xfId="13791"/>
    <cellStyle name="Percent 8 4 2 2 5" xfId="9567"/>
    <cellStyle name="Percent 8 4 2 3" xfId="1821"/>
    <cellStyle name="Percent 8 4 2 3 2" xfId="3933"/>
    <cellStyle name="Percent 8 4 2 3 2 2" xfId="8159"/>
    <cellStyle name="Percent 8 4 2 3 2 2 2" xfId="16607"/>
    <cellStyle name="Percent 8 4 2 3 2 3" xfId="12383"/>
    <cellStyle name="Percent 8 4 2 3 3" xfId="6047"/>
    <cellStyle name="Percent 8 4 2 3 3 2" xfId="14495"/>
    <cellStyle name="Percent 8 4 2 3 4" xfId="10271"/>
    <cellStyle name="Percent 8 4 2 4" xfId="2877"/>
    <cellStyle name="Percent 8 4 2 4 2" xfId="7103"/>
    <cellStyle name="Percent 8 4 2 4 2 2" xfId="15551"/>
    <cellStyle name="Percent 8 4 2 4 3" xfId="11327"/>
    <cellStyle name="Percent 8 4 2 5" xfId="4991"/>
    <cellStyle name="Percent 8 4 2 5 2" xfId="13439"/>
    <cellStyle name="Percent 8 4 2 6" xfId="9215"/>
    <cellStyle name="Percent 8 4 3" xfId="935"/>
    <cellStyle name="Percent 8 4 3 2" xfId="1997"/>
    <cellStyle name="Percent 8 4 3 2 2" xfId="4109"/>
    <cellStyle name="Percent 8 4 3 2 2 2" xfId="8335"/>
    <cellStyle name="Percent 8 4 3 2 2 2 2" xfId="16783"/>
    <cellStyle name="Percent 8 4 3 2 2 3" xfId="12559"/>
    <cellStyle name="Percent 8 4 3 2 3" xfId="6223"/>
    <cellStyle name="Percent 8 4 3 2 3 2" xfId="14671"/>
    <cellStyle name="Percent 8 4 3 2 4" xfId="10447"/>
    <cellStyle name="Percent 8 4 3 3" xfId="3053"/>
    <cellStyle name="Percent 8 4 3 3 2" xfId="7279"/>
    <cellStyle name="Percent 8 4 3 3 2 2" xfId="15727"/>
    <cellStyle name="Percent 8 4 3 3 3" xfId="11503"/>
    <cellStyle name="Percent 8 4 3 4" xfId="5167"/>
    <cellStyle name="Percent 8 4 3 4 2" xfId="13615"/>
    <cellStyle name="Percent 8 4 3 5" xfId="9391"/>
    <cellStyle name="Percent 8 4 4" xfId="1287"/>
    <cellStyle name="Percent 8 4 4 2" xfId="2349"/>
    <cellStyle name="Percent 8 4 4 2 2" xfId="4461"/>
    <cellStyle name="Percent 8 4 4 2 2 2" xfId="8687"/>
    <cellStyle name="Percent 8 4 4 2 2 2 2" xfId="17135"/>
    <cellStyle name="Percent 8 4 4 2 2 3" xfId="12911"/>
    <cellStyle name="Percent 8 4 4 2 3" xfId="6575"/>
    <cellStyle name="Percent 8 4 4 2 3 2" xfId="15023"/>
    <cellStyle name="Percent 8 4 4 2 4" xfId="10799"/>
    <cellStyle name="Percent 8 4 4 3" xfId="3405"/>
    <cellStyle name="Percent 8 4 4 3 2" xfId="7631"/>
    <cellStyle name="Percent 8 4 4 3 2 2" xfId="16079"/>
    <cellStyle name="Percent 8 4 4 3 3" xfId="11855"/>
    <cellStyle name="Percent 8 4 4 4" xfId="5519"/>
    <cellStyle name="Percent 8 4 4 4 2" xfId="13967"/>
    <cellStyle name="Percent 8 4 4 5" xfId="9743"/>
    <cellStyle name="Percent 8 4 5" xfId="1469"/>
    <cellStyle name="Percent 8 4 5 2" xfId="2525"/>
    <cellStyle name="Percent 8 4 5 2 2" xfId="4637"/>
    <cellStyle name="Percent 8 4 5 2 2 2" xfId="8863"/>
    <cellStyle name="Percent 8 4 5 2 2 2 2" xfId="17311"/>
    <cellStyle name="Percent 8 4 5 2 2 3" xfId="13087"/>
    <cellStyle name="Percent 8 4 5 2 3" xfId="6751"/>
    <cellStyle name="Percent 8 4 5 2 3 2" xfId="15199"/>
    <cellStyle name="Percent 8 4 5 2 4" xfId="10975"/>
    <cellStyle name="Percent 8 4 5 3" xfId="3581"/>
    <cellStyle name="Percent 8 4 5 3 2" xfId="7807"/>
    <cellStyle name="Percent 8 4 5 3 2 2" xfId="16255"/>
    <cellStyle name="Percent 8 4 5 3 3" xfId="12031"/>
    <cellStyle name="Percent 8 4 5 4" xfId="5695"/>
    <cellStyle name="Percent 8 4 5 4 2" xfId="14143"/>
    <cellStyle name="Percent 8 4 5 5" xfId="9919"/>
    <cellStyle name="Percent 8 4 6" xfId="1645"/>
    <cellStyle name="Percent 8 4 6 2" xfId="3757"/>
    <cellStyle name="Percent 8 4 6 2 2" xfId="7983"/>
    <cellStyle name="Percent 8 4 6 2 2 2" xfId="16431"/>
    <cellStyle name="Percent 8 4 6 2 3" xfId="12207"/>
    <cellStyle name="Percent 8 4 6 3" xfId="5871"/>
    <cellStyle name="Percent 8 4 6 3 2" xfId="14319"/>
    <cellStyle name="Percent 8 4 6 4" xfId="10095"/>
    <cellStyle name="Percent 8 4 7" xfId="2701"/>
    <cellStyle name="Percent 8 4 7 2" xfId="6927"/>
    <cellStyle name="Percent 8 4 7 2 2" xfId="15375"/>
    <cellStyle name="Percent 8 4 7 3" xfId="11151"/>
    <cellStyle name="Percent 8 4 8" xfId="4814"/>
    <cellStyle name="Percent 8 4 8 2" xfId="13263"/>
    <cellStyle name="Percent 8 4 9" xfId="9039"/>
    <cellStyle name="Percent 8 5" xfId="511"/>
    <cellStyle name="Percent 8 5 2" xfId="760"/>
    <cellStyle name="Percent 8 5 2 2" xfId="1112"/>
    <cellStyle name="Percent 8 5 2 2 2" xfId="2174"/>
    <cellStyle name="Percent 8 5 2 2 2 2" xfId="4286"/>
    <cellStyle name="Percent 8 5 2 2 2 2 2" xfId="8512"/>
    <cellStyle name="Percent 8 5 2 2 2 2 2 2" xfId="16960"/>
    <cellStyle name="Percent 8 5 2 2 2 2 3" xfId="12736"/>
    <cellStyle name="Percent 8 5 2 2 2 3" xfId="6400"/>
    <cellStyle name="Percent 8 5 2 2 2 3 2" xfId="14848"/>
    <cellStyle name="Percent 8 5 2 2 2 4" xfId="10624"/>
    <cellStyle name="Percent 8 5 2 2 3" xfId="3230"/>
    <cellStyle name="Percent 8 5 2 2 3 2" xfId="7456"/>
    <cellStyle name="Percent 8 5 2 2 3 2 2" xfId="15904"/>
    <cellStyle name="Percent 8 5 2 2 3 3" xfId="11680"/>
    <cellStyle name="Percent 8 5 2 2 4" xfId="5344"/>
    <cellStyle name="Percent 8 5 2 2 4 2" xfId="13792"/>
    <cellStyle name="Percent 8 5 2 2 5" xfId="9568"/>
    <cellStyle name="Percent 8 5 2 3" xfId="1822"/>
    <cellStyle name="Percent 8 5 2 3 2" xfId="3934"/>
    <cellStyle name="Percent 8 5 2 3 2 2" xfId="8160"/>
    <cellStyle name="Percent 8 5 2 3 2 2 2" xfId="16608"/>
    <cellStyle name="Percent 8 5 2 3 2 3" xfId="12384"/>
    <cellStyle name="Percent 8 5 2 3 3" xfId="6048"/>
    <cellStyle name="Percent 8 5 2 3 3 2" xfId="14496"/>
    <cellStyle name="Percent 8 5 2 3 4" xfId="10272"/>
    <cellStyle name="Percent 8 5 2 4" xfId="2878"/>
    <cellStyle name="Percent 8 5 2 4 2" xfId="7104"/>
    <cellStyle name="Percent 8 5 2 4 2 2" xfId="15552"/>
    <cellStyle name="Percent 8 5 2 4 3" xfId="11328"/>
    <cellStyle name="Percent 8 5 2 5" xfId="4992"/>
    <cellStyle name="Percent 8 5 2 5 2" xfId="13440"/>
    <cellStyle name="Percent 8 5 2 6" xfId="9216"/>
    <cellStyle name="Percent 8 5 3" xfId="936"/>
    <cellStyle name="Percent 8 5 3 2" xfId="1998"/>
    <cellStyle name="Percent 8 5 3 2 2" xfId="4110"/>
    <cellStyle name="Percent 8 5 3 2 2 2" xfId="8336"/>
    <cellStyle name="Percent 8 5 3 2 2 2 2" xfId="16784"/>
    <cellStyle name="Percent 8 5 3 2 2 3" xfId="12560"/>
    <cellStyle name="Percent 8 5 3 2 3" xfId="6224"/>
    <cellStyle name="Percent 8 5 3 2 3 2" xfId="14672"/>
    <cellStyle name="Percent 8 5 3 2 4" xfId="10448"/>
    <cellStyle name="Percent 8 5 3 3" xfId="3054"/>
    <cellStyle name="Percent 8 5 3 3 2" xfId="7280"/>
    <cellStyle name="Percent 8 5 3 3 2 2" xfId="15728"/>
    <cellStyle name="Percent 8 5 3 3 3" xfId="11504"/>
    <cellStyle name="Percent 8 5 3 4" xfId="5168"/>
    <cellStyle name="Percent 8 5 3 4 2" xfId="13616"/>
    <cellStyle name="Percent 8 5 3 5" xfId="9392"/>
    <cellStyle name="Percent 8 5 4" xfId="1288"/>
    <cellStyle name="Percent 8 5 4 2" xfId="2350"/>
    <cellStyle name="Percent 8 5 4 2 2" xfId="4462"/>
    <cellStyle name="Percent 8 5 4 2 2 2" xfId="8688"/>
    <cellStyle name="Percent 8 5 4 2 2 2 2" xfId="17136"/>
    <cellStyle name="Percent 8 5 4 2 2 3" xfId="12912"/>
    <cellStyle name="Percent 8 5 4 2 3" xfId="6576"/>
    <cellStyle name="Percent 8 5 4 2 3 2" xfId="15024"/>
    <cellStyle name="Percent 8 5 4 2 4" xfId="10800"/>
    <cellStyle name="Percent 8 5 4 3" xfId="3406"/>
    <cellStyle name="Percent 8 5 4 3 2" xfId="7632"/>
    <cellStyle name="Percent 8 5 4 3 2 2" xfId="16080"/>
    <cellStyle name="Percent 8 5 4 3 3" xfId="11856"/>
    <cellStyle name="Percent 8 5 4 4" xfId="5520"/>
    <cellStyle name="Percent 8 5 4 4 2" xfId="13968"/>
    <cellStyle name="Percent 8 5 4 5" xfId="9744"/>
    <cellStyle name="Percent 8 5 5" xfId="1470"/>
    <cellStyle name="Percent 8 5 5 2" xfId="2526"/>
    <cellStyle name="Percent 8 5 5 2 2" xfId="4638"/>
    <cellStyle name="Percent 8 5 5 2 2 2" xfId="8864"/>
    <cellStyle name="Percent 8 5 5 2 2 2 2" xfId="17312"/>
    <cellStyle name="Percent 8 5 5 2 2 3" xfId="13088"/>
    <cellStyle name="Percent 8 5 5 2 3" xfId="6752"/>
    <cellStyle name="Percent 8 5 5 2 3 2" xfId="15200"/>
    <cellStyle name="Percent 8 5 5 2 4" xfId="10976"/>
    <cellStyle name="Percent 8 5 5 3" xfId="3582"/>
    <cellStyle name="Percent 8 5 5 3 2" xfId="7808"/>
    <cellStyle name="Percent 8 5 5 3 2 2" xfId="16256"/>
    <cellStyle name="Percent 8 5 5 3 3" xfId="12032"/>
    <cellStyle name="Percent 8 5 5 4" xfId="5696"/>
    <cellStyle name="Percent 8 5 5 4 2" xfId="14144"/>
    <cellStyle name="Percent 8 5 5 5" xfId="9920"/>
    <cellStyle name="Percent 8 5 6" xfId="1646"/>
    <cellStyle name="Percent 8 5 6 2" xfId="3758"/>
    <cellStyle name="Percent 8 5 6 2 2" xfId="7984"/>
    <cellStyle name="Percent 8 5 6 2 2 2" xfId="16432"/>
    <cellStyle name="Percent 8 5 6 2 3" xfId="12208"/>
    <cellStyle name="Percent 8 5 6 3" xfId="5872"/>
    <cellStyle name="Percent 8 5 6 3 2" xfId="14320"/>
    <cellStyle name="Percent 8 5 6 4" xfId="10096"/>
    <cellStyle name="Percent 8 5 7" xfId="2702"/>
    <cellStyle name="Percent 8 5 7 2" xfId="6928"/>
    <cellStyle name="Percent 8 5 7 2 2" xfId="15376"/>
    <cellStyle name="Percent 8 5 7 3" xfId="11152"/>
    <cellStyle name="Percent 8 5 8" xfId="4815"/>
    <cellStyle name="Percent 8 5 8 2" xfId="13264"/>
    <cellStyle name="Percent 8 5 9" xfId="9040"/>
    <cellStyle name="Percent 8 6" xfId="755"/>
    <cellStyle name="Percent 8 6 2" xfId="1107"/>
    <cellStyle name="Percent 8 6 2 2" xfId="2169"/>
    <cellStyle name="Percent 8 6 2 2 2" xfId="4281"/>
    <cellStyle name="Percent 8 6 2 2 2 2" xfId="8507"/>
    <cellStyle name="Percent 8 6 2 2 2 2 2" xfId="16955"/>
    <cellStyle name="Percent 8 6 2 2 2 3" xfId="12731"/>
    <cellStyle name="Percent 8 6 2 2 3" xfId="6395"/>
    <cellStyle name="Percent 8 6 2 2 3 2" xfId="14843"/>
    <cellStyle name="Percent 8 6 2 2 4" xfId="10619"/>
    <cellStyle name="Percent 8 6 2 3" xfId="3225"/>
    <cellStyle name="Percent 8 6 2 3 2" xfId="7451"/>
    <cellStyle name="Percent 8 6 2 3 2 2" xfId="15899"/>
    <cellStyle name="Percent 8 6 2 3 3" xfId="11675"/>
    <cellStyle name="Percent 8 6 2 4" xfId="5339"/>
    <cellStyle name="Percent 8 6 2 4 2" xfId="13787"/>
    <cellStyle name="Percent 8 6 2 5" xfId="9563"/>
    <cellStyle name="Percent 8 6 3" xfId="1817"/>
    <cellStyle name="Percent 8 6 3 2" xfId="3929"/>
    <cellStyle name="Percent 8 6 3 2 2" xfId="8155"/>
    <cellStyle name="Percent 8 6 3 2 2 2" xfId="16603"/>
    <cellStyle name="Percent 8 6 3 2 3" xfId="12379"/>
    <cellStyle name="Percent 8 6 3 3" xfId="6043"/>
    <cellStyle name="Percent 8 6 3 3 2" xfId="14491"/>
    <cellStyle name="Percent 8 6 3 4" xfId="10267"/>
    <cellStyle name="Percent 8 6 4" xfId="2873"/>
    <cellStyle name="Percent 8 6 4 2" xfId="7099"/>
    <cellStyle name="Percent 8 6 4 2 2" xfId="15547"/>
    <cellStyle name="Percent 8 6 4 3" xfId="11323"/>
    <cellStyle name="Percent 8 6 5" xfId="4987"/>
    <cellStyle name="Percent 8 6 5 2" xfId="13435"/>
    <cellStyle name="Percent 8 6 6" xfId="9211"/>
    <cellStyle name="Percent 8 7" xfId="931"/>
    <cellStyle name="Percent 8 7 2" xfId="1993"/>
    <cellStyle name="Percent 8 7 2 2" xfId="4105"/>
    <cellStyle name="Percent 8 7 2 2 2" xfId="8331"/>
    <cellStyle name="Percent 8 7 2 2 2 2" xfId="16779"/>
    <cellStyle name="Percent 8 7 2 2 3" xfId="12555"/>
    <cellStyle name="Percent 8 7 2 3" xfId="6219"/>
    <cellStyle name="Percent 8 7 2 3 2" xfId="14667"/>
    <cellStyle name="Percent 8 7 2 4" xfId="10443"/>
    <cellStyle name="Percent 8 7 3" xfId="3049"/>
    <cellStyle name="Percent 8 7 3 2" xfId="7275"/>
    <cellStyle name="Percent 8 7 3 2 2" xfId="15723"/>
    <cellStyle name="Percent 8 7 3 3" xfId="11499"/>
    <cellStyle name="Percent 8 7 4" xfId="5163"/>
    <cellStyle name="Percent 8 7 4 2" xfId="13611"/>
    <cellStyle name="Percent 8 7 5" xfId="9387"/>
    <cellStyle name="Percent 8 8" xfId="1283"/>
    <cellStyle name="Percent 8 8 2" xfId="2345"/>
    <cellStyle name="Percent 8 8 2 2" xfId="4457"/>
    <cellStyle name="Percent 8 8 2 2 2" xfId="8683"/>
    <cellStyle name="Percent 8 8 2 2 2 2" xfId="17131"/>
    <cellStyle name="Percent 8 8 2 2 3" xfId="12907"/>
    <cellStyle name="Percent 8 8 2 3" xfId="6571"/>
    <cellStyle name="Percent 8 8 2 3 2" xfId="15019"/>
    <cellStyle name="Percent 8 8 2 4" xfId="10795"/>
    <cellStyle name="Percent 8 8 3" xfId="3401"/>
    <cellStyle name="Percent 8 8 3 2" xfId="7627"/>
    <cellStyle name="Percent 8 8 3 2 2" xfId="16075"/>
    <cellStyle name="Percent 8 8 3 3" xfId="11851"/>
    <cellStyle name="Percent 8 8 4" xfId="5515"/>
    <cellStyle name="Percent 8 8 4 2" xfId="13963"/>
    <cellStyle name="Percent 8 8 5" xfId="9739"/>
    <cellStyle name="Percent 8 9" xfId="1465"/>
    <cellStyle name="Percent 8 9 2" xfId="2521"/>
    <cellStyle name="Percent 8 9 2 2" xfId="4633"/>
    <cellStyle name="Percent 8 9 2 2 2" xfId="8859"/>
    <cellStyle name="Percent 8 9 2 2 2 2" xfId="17307"/>
    <cellStyle name="Percent 8 9 2 2 3" xfId="13083"/>
    <cellStyle name="Percent 8 9 2 3" xfId="6747"/>
    <cellStyle name="Percent 8 9 2 3 2" xfId="15195"/>
    <cellStyle name="Percent 8 9 2 4" xfId="10971"/>
    <cellStyle name="Percent 8 9 3" xfId="3577"/>
    <cellStyle name="Percent 8 9 3 2" xfId="7803"/>
    <cellStyle name="Percent 8 9 3 2 2" xfId="16251"/>
    <cellStyle name="Percent 8 9 3 3" xfId="12027"/>
    <cellStyle name="Percent 8 9 4" xfId="5691"/>
    <cellStyle name="Percent 8 9 4 2" xfId="14139"/>
    <cellStyle name="Percent 8 9 5" xfId="9915"/>
    <cellStyle name="Percent 9" xfId="512"/>
    <cellStyle name="Percent 9 10" xfId="1647"/>
    <cellStyle name="Percent 9 10 2" xfId="3759"/>
    <cellStyle name="Percent 9 10 2 2" xfId="7985"/>
    <cellStyle name="Percent 9 10 2 2 2" xfId="16433"/>
    <cellStyle name="Percent 9 10 2 3" xfId="12209"/>
    <cellStyle name="Percent 9 10 3" xfId="5873"/>
    <cellStyle name="Percent 9 10 3 2" xfId="14321"/>
    <cellStyle name="Percent 9 10 4" xfId="10097"/>
    <cellStyle name="Percent 9 11" xfId="2703"/>
    <cellStyle name="Percent 9 11 2" xfId="6929"/>
    <cellStyle name="Percent 9 11 2 2" xfId="15377"/>
    <cellStyle name="Percent 9 11 3" xfId="11153"/>
    <cellStyle name="Percent 9 12" xfId="4816"/>
    <cellStyle name="Percent 9 12 2" xfId="13265"/>
    <cellStyle name="Percent 9 13" xfId="9041"/>
    <cellStyle name="Percent 9 2" xfId="513"/>
    <cellStyle name="Percent 9 2 10" xfId="4817"/>
    <cellStyle name="Percent 9 2 10 2" xfId="13266"/>
    <cellStyle name="Percent 9 2 11" xfId="9042"/>
    <cellStyle name="Percent 9 2 2" xfId="514"/>
    <cellStyle name="Percent 9 2 2 2" xfId="763"/>
    <cellStyle name="Percent 9 2 2 2 2" xfId="1115"/>
    <cellStyle name="Percent 9 2 2 2 2 2" xfId="2177"/>
    <cellStyle name="Percent 9 2 2 2 2 2 2" xfId="4289"/>
    <cellStyle name="Percent 9 2 2 2 2 2 2 2" xfId="8515"/>
    <cellStyle name="Percent 9 2 2 2 2 2 2 2 2" xfId="16963"/>
    <cellStyle name="Percent 9 2 2 2 2 2 2 3" xfId="12739"/>
    <cellStyle name="Percent 9 2 2 2 2 2 3" xfId="6403"/>
    <cellStyle name="Percent 9 2 2 2 2 2 3 2" xfId="14851"/>
    <cellStyle name="Percent 9 2 2 2 2 2 4" xfId="10627"/>
    <cellStyle name="Percent 9 2 2 2 2 3" xfId="3233"/>
    <cellStyle name="Percent 9 2 2 2 2 3 2" xfId="7459"/>
    <cellStyle name="Percent 9 2 2 2 2 3 2 2" xfId="15907"/>
    <cellStyle name="Percent 9 2 2 2 2 3 3" xfId="11683"/>
    <cellStyle name="Percent 9 2 2 2 2 4" xfId="5347"/>
    <cellStyle name="Percent 9 2 2 2 2 4 2" xfId="13795"/>
    <cellStyle name="Percent 9 2 2 2 2 5" xfId="9571"/>
    <cellStyle name="Percent 9 2 2 2 3" xfId="1825"/>
    <cellStyle name="Percent 9 2 2 2 3 2" xfId="3937"/>
    <cellStyle name="Percent 9 2 2 2 3 2 2" xfId="8163"/>
    <cellStyle name="Percent 9 2 2 2 3 2 2 2" xfId="16611"/>
    <cellStyle name="Percent 9 2 2 2 3 2 3" xfId="12387"/>
    <cellStyle name="Percent 9 2 2 2 3 3" xfId="6051"/>
    <cellStyle name="Percent 9 2 2 2 3 3 2" xfId="14499"/>
    <cellStyle name="Percent 9 2 2 2 3 4" xfId="10275"/>
    <cellStyle name="Percent 9 2 2 2 4" xfId="2881"/>
    <cellStyle name="Percent 9 2 2 2 4 2" xfId="7107"/>
    <cellStyle name="Percent 9 2 2 2 4 2 2" xfId="15555"/>
    <cellStyle name="Percent 9 2 2 2 4 3" xfId="11331"/>
    <cellStyle name="Percent 9 2 2 2 5" xfId="4995"/>
    <cellStyle name="Percent 9 2 2 2 5 2" xfId="13443"/>
    <cellStyle name="Percent 9 2 2 2 6" xfId="9219"/>
    <cellStyle name="Percent 9 2 2 3" xfId="939"/>
    <cellStyle name="Percent 9 2 2 3 2" xfId="2001"/>
    <cellStyle name="Percent 9 2 2 3 2 2" xfId="4113"/>
    <cellStyle name="Percent 9 2 2 3 2 2 2" xfId="8339"/>
    <cellStyle name="Percent 9 2 2 3 2 2 2 2" xfId="16787"/>
    <cellStyle name="Percent 9 2 2 3 2 2 3" xfId="12563"/>
    <cellStyle name="Percent 9 2 2 3 2 3" xfId="6227"/>
    <cellStyle name="Percent 9 2 2 3 2 3 2" xfId="14675"/>
    <cellStyle name="Percent 9 2 2 3 2 4" xfId="10451"/>
    <cellStyle name="Percent 9 2 2 3 3" xfId="3057"/>
    <cellStyle name="Percent 9 2 2 3 3 2" xfId="7283"/>
    <cellStyle name="Percent 9 2 2 3 3 2 2" xfId="15731"/>
    <cellStyle name="Percent 9 2 2 3 3 3" xfId="11507"/>
    <cellStyle name="Percent 9 2 2 3 4" xfId="5171"/>
    <cellStyle name="Percent 9 2 2 3 4 2" xfId="13619"/>
    <cellStyle name="Percent 9 2 2 3 5" xfId="9395"/>
    <cellStyle name="Percent 9 2 2 4" xfId="1291"/>
    <cellStyle name="Percent 9 2 2 4 2" xfId="2353"/>
    <cellStyle name="Percent 9 2 2 4 2 2" xfId="4465"/>
    <cellStyle name="Percent 9 2 2 4 2 2 2" xfId="8691"/>
    <cellStyle name="Percent 9 2 2 4 2 2 2 2" xfId="17139"/>
    <cellStyle name="Percent 9 2 2 4 2 2 3" xfId="12915"/>
    <cellStyle name="Percent 9 2 2 4 2 3" xfId="6579"/>
    <cellStyle name="Percent 9 2 2 4 2 3 2" xfId="15027"/>
    <cellStyle name="Percent 9 2 2 4 2 4" xfId="10803"/>
    <cellStyle name="Percent 9 2 2 4 3" xfId="3409"/>
    <cellStyle name="Percent 9 2 2 4 3 2" xfId="7635"/>
    <cellStyle name="Percent 9 2 2 4 3 2 2" xfId="16083"/>
    <cellStyle name="Percent 9 2 2 4 3 3" xfId="11859"/>
    <cellStyle name="Percent 9 2 2 4 4" xfId="5523"/>
    <cellStyle name="Percent 9 2 2 4 4 2" xfId="13971"/>
    <cellStyle name="Percent 9 2 2 4 5" xfId="9747"/>
    <cellStyle name="Percent 9 2 2 5" xfId="1473"/>
    <cellStyle name="Percent 9 2 2 5 2" xfId="2529"/>
    <cellStyle name="Percent 9 2 2 5 2 2" xfId="4641"/>
    <cellStyle name="Percent 9 2 2 5 2 2 2" xfId="8867"/>
    <cellStyle name="Percent 9 2 2 5 2 2 2 2" xfId="17315"/>
    <cellStyle name="Percent 9 2 2 5 2 2 3" xfId="13091"/>
    <cellStyle name="Percent 9 2 2 5 2 3" xfId="6755"/>
    <cellStyle name="Percent 9 2 2 5 2 3 2" xfId="15203"/>
    <cellStyle name="Percent 9 2 2 5 2 4" xfId="10979"/>
    <cellStyle name="Percent 9 2 2 5 3" xfId="3585"/>
    <cellStyle name="Percent 9 2 2 5 3 2" xfId="7811"/>
    <cellStyle name="Percent 9 2 2 5 3 2 2" xfId="16259"/>
    <cellStyle name="Percent 9 2 2 5 3 3" xfId="12035"/>
    <cellStyle name="Percent 9 2 2 5 4" xfId="5699"/>
    <cellStyle name="Percent 9 2 2 5 4 2" xfId="14147"/>
    <cellStyle name="Percent 9 2 2 5 5" xfId="9923"/>
    <cellStyle name="Percent 9 2 2 6" xfId="1649"/>
    <cellStyle name="Percent 9 2 2 6 2" xfId="3761"/>
    <cellStyle name="Percent 9 2 2 6 2 2" xfId="7987"/>
    <cellStyle name="Percent 9 2 2 6 2 2 2" xfId="16435"/>
    <cellStyle name="Percent 9 2 2 6 2 3" xfId="12211"/>
    <cellStyle name="Percent 9 2 2 6 3" xfId="5875"/>
    <cellStyle name="Percent 9 2 2 6 3 2" xfId="14323"/>
    <cellStyle name="Percent 9 2 2 6 4" xfId="10099"/>
    <cellStyle name="Percent 9 2 2 7" xfId="2705"/>
    <cellStyle name="Percent 9 2 2 7 2" xfId="6931"/>
    <cellStyle name="Percent 9 2 2 7 2 2" xfId="15379"/>
    <cellStyle name="Percent 9 2 2 7 3" xfId="11155"/>
    <cellStyle name="Percent 9 2 2 8" xfId="4818"/>
    <cellStyle name="Percent 9 2 2 8 2" xfId="13267"/>
    <cellStyle name="Percent 9 2 2 9" xfId="9043"/>
    <cellStyle name="Percent 9 2 3" xfId="515"/>
    <cellStyle name="Percent 9 2 3 2" xfId="764"/>
    <cellStyle name="Percent 9 2 3 2 2" xfId="1116"/>
    <cellStyle name="Percent 9 2 3 2 2 2" xfId="2178"/>
    <cellStyle name="Percent 9 2 3 2 2 2 2" xfId="4290"/>
    <cellStyle name="Percent 9 2 3 2 2 2 2 2" xfId="8516"/>
    <cellStyle name="Percent 9 2 3 2 2 2 2 2 2" xfId="16964"/>
    <cellStyle name="Percent 9 2 3 2 2 2 2 3" xfId="12740"/>
    <cellStyle name="Percent 9 2 3 2 2 2 3" xfId="6404"/>
    <cellStyle name="Percent 9 2 3 2 2 2 3 2" xfId="14852"/>
    <cellStyle name="Percent 9 2 3 2 2 2 4" xfId="10628"/>
    <cellStyle name="Percent 9 2 3 2 2 3" xfId="3234"/>
    <cellStyle name="Percent 9 2 3 2 2 3 2" xfId="7460"/>
    <cellStyle name="Percent 9 2 3 2 2 3 2 2" xfId="15908"/>
    <cellStyle name="Percent 9 2 3 2 2 3 3" xfId="11684"/>
    <cellStyle name="Percent 9 2 3 2 2 4" xfId="5348"/>
    <cellStyle name="Percent 9 2 3 2 2 4 2" xfId="13796"/>
    <cellStyle name="Percent 9 2 3 2 2 5" xfId="9572"/>
    <cellStyle name="Percent 9 2 3 2 3" xfId="1826"/>
    <cellStyle name="Percent 9 2 3 2 3 2" xfId="3938"/>
    <cellStyle name="Percent 9 2 3 2 3 2 2" xfId="8164"/>
    <cellStyle name="Percent 9 2 3 2 3 2 2 2" xfId="16612"/>
    <cellStyle name="Percent 9 2 3 2 3 2 3" xfId="12388"/>
    <cellStyle name="Percent 9 2 3 2 3 3" xfId="6052"/>
    <cellStyle name="Percent 9 2 3 2 3 3 2" xfId="14500"/>
    <cellStyle name="Percent 9 2 3 2 3 4" xfId="10276"/>
    <cellStyle name="Percent 9 2 3 2 4" xfId="2882"/>
    <cellStyle name="Percent 9 2 3 2 4 2" xfId="7108"/>
    <cellStyle name="Percent 9 2 3 2 4 2 2" xfId="15556"/>
    <cellStyle name="Percent 9 2 3 2 4 3" xfId="11332"/>
    <cellStyle name="Percent 9 2 3 2 5" xfId="4996"/>
    <cellStyle name="Percent 9 2 3 2 5 2" xfId="13444"/>
    <cellStyle name="Percent 9 2 3 2 6" xfId="9220"/>
    <cellStyle name="Percent 9 2 3 3" xfId="940"/>
    <cellStyle name="Percent 9 2 3 3 2" xfId="2002"/>
    <cellStyle name="Percent 9 2 3 3 2 2" xfId="4114"/>
    <cellStyle name="Percent 9 2 3 3 2 2 2" xfId="8340"/>
    <cellStyle name="Percent 9 2 3 3 2 2 2 2" xfId="16788"/>
    <cellStyle name="Percent 9 2 3 3 2 2 3" xfId="12564"/>
    <cellStyle name="Percent 9 2 3 3 2 3" xfId="6228"/>
    <cellStyle name="Percent 9 2 3 3 2 3 2" xfId="14676"/>
    <cellStyle name="Percent 9 2 3 3 2 4" xfId="10452"/>
    <cellStyle name="Percent 9 2 3 3 3" xfId="3058"/>
    <cellStyle name="Percent 9 2 3 3 3 2" xfId="7284"/>
    <cellStyle name="Percent 9 2 3 3 3 2 2" xfId="15732"/>
    <cellStyle name="Percent 9 2 3 3 3 3" xfId="11508"/>
    <cellStyle name="Percent 9 2 3 3 4" xfId="5172"/>
    <cellStyle name="Percent 9 2 3 3 4 2" xfId="13620"/>
    <cellStyle name="Percent 9 2 3 3 5" xfId="9396"/>
    <cellStyle name="Percent 9 2 3 4" xfId="1292"/>
    <cellStyle name="Percent 9 2 3 4 2" xfId="2354"/>
    <cellStyle name="Percent 9 2 3 4 2 2" xfId="4466"/>
    <cellStyle name="Percent 9 2 3 4 2 2 2" xfId="8692"/>
    <cellStyle name="Percent 9 2 3 4 2 2 2 2" xfId="17140"/>
    <cellStyle name="Percent 9 2 3 4 2 2 3" xfId="12916"/>
    <cellStyle name="Percent 9 2 3 4 2 3" xfId="6580"/>
    <cellStyle name="Percent 9 2 3 4 2 3 2" xfId="15028"/>
    <cellStyle name="Percent 9 2 3 4 2 4" xfId="10804"/>
    <cellStyle name="Percent 9 2 3 4 3" xfId="3410"/>
    <cellStyle name="Percent 9 2 3 4 3 2" xfId="7636"/>
    <cellStyle name="Percent 9 2 3 4 3 2 2" xfId="16084"/>
    <cellStyle name="Percent 9 2 3 4 3 3" xfId="11860"/>
    <cellStyle name="Percent 9 2 3 4 4" xfId="5524"/>
    <cellStyle name="Percent 9 2 3 4 4 2" xfId="13972"/>
    <cellStyle name="Percent 9 2 3 4 5" xfId="9748"/>
    <cellStyle name="Percent 9 2 3 5" xfId="1474"/>
    <cellStyle name="Percent 9 2 3 5 2" xfId="2530"/>
    <cellStyle name="Percent 9 2 3 5 2 2" xfId="4642"/>
    <cellStyle name="Percent 9 2 3 5 2 2 2" xfId="8868"/>
    <cellStyle name="Percent 9 2 3 5 2 2 2 2" xfId="17316"/>
    <cellStyle name="Percent 9 2 3 5 2 2 3" xfId="13092"/>
    <cellStyle name="Percent 9 2 3 5 2 3" xfId="6756"/>
    <cellStyle name="Percent 9 2 3 5 2 3 2" xfId="15204"/>
    <cellStyle name="Percent 9 2 3 5 2 4" xfId="10980"/>
    <cellStyle name="Percent 9 2 3 5 3" xfId="3586"/>
    <cellStyle name="Percent 9 2 3 5 3 2" xfId="7812"/>
    <cellStyle name="Percent 9 2 3 5 3 2 2" xfId="16260"/>
    <cellStyle name="Percent 9 2 3 5 3 3" xfId="12036"/>
    <cellStyle name="Percent 9 2 3 5 4" xfId="5700"/>
    <cellStyle name="Percent 9 2 3 5 4 2" xfId="14148"/>
    <cellStyle name="Percent 9 2 3 5 5" xfId="9924"/>
    <cellStyle name="Percent 9 2 3 6" xfId="1650"/>
    <cellStyle name="Percent 9 2 3 6 2" xfId="3762"/>
    <cellStyle name="Percent 9 2 3 6 2 2" xfId="7988"/>
    <cellStyle name="Percent 9 2 3 6 2 2 2" xfId="16436"/>
    <cellStyle name="Percent 9 2 3 6 2 3" xfId="12212"/>
    <cellStyle name="Percent 9 2 3 6 3" xfId="5876"/>
    <cellStyle name="Percent 9 2 3 6 3 2" xfId="14324"/>
    <cellStyle name="Percent 9 2 3 6 4" xfId="10100"/>
    <cellStyle name="Percent 9 2 3 7" xfId="2706"/>
    <cellStyle name="Percent 9 2 3 7 2" xfId="6932"/>
    <cellStyle name="Percent 9 2 3 7 2 2" xfId="15380"/>
    <cellStyle name="Percent 9 2 3 7 3" xfId="11156"/>
    <cellStyle name="Percent 9 2 3 8" xfId="4819"/>
    <cellStyle name="Percent 9 2 3 8 2" xfId="13268"/>
    <cellStyle name="Percent 9 2 3 9" xfId="9044"/>
    <cellStyle name="Percent 9 2 4" xfId="762"/>
    <cellStyle name="Percent 9 2 4 2" xfId="1114"/>
    <cellStyle name="Percent 9 2 4 2 2" xfId="2176"/>
    <cellStyle name="Percent 9 2 4 2 2 2" xfId="4288"/>
    <cellStyle name="Percent 9 2 4 2 2 2 2" xfId="8514"/>
    <cellStyle name="Percent 9 2 4 2 2 2 2 2" xfId="16962"/>
    <cellStyle name="Percent 9 2 4 2 2 2 3" xfId="12738"/>
    <cellStyle name="Percent 9 2 4 2 2 3" xfId="6402"/>
    <cellStyle name="Percent 9 2 4 2 2 3 2" xfId="14850"/>
    <cellStyle name="Percent 9 2 4 2 2 4" xfId="10626"/>
    <cellStyle name="Percent 9 2 4 2 3" xfId="3232"/>
    <cellStyle name="Percent 9 2 4 2 3 2" xfId="7458"/>
    <cellStyle name="Percent 9 2 4 2 3 2 2" xfId="15906"/>
    <cellStyle name="Percent 9 2 4 2 3 3" xfId="11682"/>
    <cellStyle name="Percent 9 2 4 2 4" xfId="5346"/>
    <cellStyle name="Percent 9 2 4 2 4 2" xfId="13794"/>
    <cellStyle name="Percent 9 2 4 2 5" xfId="9570"/>
    <cellStyle name="Percent 9 2 4 3" xfId="1824"/>
    <cellStyle name="Percent 9 2 4 3 2" xfId="3936"/>
    <cellStyle name="Percent 9 2 4 3 2 2" xfId="8162"/>
    <cellStyle name="Percent 9 2 4 3 2 2 2" xfId="16610"/>
    <cellStyle name="Percent 9 2 4 3 2 3" xfId="12386"/>
    <cellStyle name="Percent 9 2 4 3 3" xfId="6050"/>
    <cellStyle name="Percent 9 2 4 3 3 2" xfId="14498"/>
    <cellStyle name="Percent 9 2 4 3 4" xfId="10274"/>
    <cellStyle name="Percent 9 2 4 4" xfId="2880"/>
    <cellStyle name="Percent 9 2 4 4 2" xfId="7106"/>
    <cellStyle name="Percent 9 2 4 4 2 2" xfId="15554"/>
    <cellStyle name="Percent 9 2 4 4 3" xfId="11330"/>
    <cellStyle name="Percent 9 2 4 5" xfId="4994"/>
    <cellStyle name="Percent 9 2 4 5 2" xfId="13442"/>
    <cellStyle name="Percent 9 2 4 6" xfId="9218"/>
    <cellStyle name="Percent 9 2 5" xfId="938"/>
    <cellStyle name="Percent 9 2 5 2" xfId="2000"/>
    <cellStyle name="Percent 9 2 5 2 2" xfId="4112"/>
    <cellStyle name="Percent 9 2 5 2 2 2" xfId="8338"/>
    <cellStyle name="Percent 9 2 5 2 2 2 2" xfId="16786"/>
    <cellStyle name="Percent 9 2 5 2 2 3" xfId="12562"/>
    <cellStyle name="Percent 9 2 5 2 3" xfId="6226"/>
    <cellStyle name="Percent 9 2 5 2 3 2" xfId="14674"/>
    <cellStyle name="Percent 9 2 5 2 4" xfId="10450"/>
    <cellStyle name="Percent 9 2 5 3" xfId="3056"/>
    <cellStyle name="Percent 9 2 5 3 2" xfId="7282"/>
    <cellStyle name="Percent 9 2 5 3 2 2" xfId="15730"/>
    <cellStyle name="Percent 9 2 5 3 3" xfId="11506"/>
    <cellStyle name="Percent 9 2 5 4" xfId="5170"/>
    <cellStyle name="Percent 9 2 5 4 2" xfId="13618"/>
    <cellStyle name="Percent 9 2 5 5" xfId="9394"/>
    <cellStyle name="Percent 9 2 6" xfId="1290"/>
    <cellStyle name="Percent 9 2 6 2" xfId="2352"/>
    <cellStyle name="Percent 9 2 6 2 2" xfId="4464"/>
    <cellStyle name="Percent 9 2 6 2 2 2" xfId="8690"/>
    <cellStyle name="Percent 9 2 6 2 2 2 2" xfId="17138"/>
    <cellStyle name="Percent 9 2 6 2 2 3" xfId="12914"/>
    <cellStyle name="Percent 9 2 6 2 3" xfId="6578"/>
    <cellStyle name="Percent 9 2 6 2 3 2" xfId="15026"/>
    <cellStyle name="Percent 9 2 6 2 4" xfId="10802"/>
    <cellStyle name="Percent 9 2 6 3" xfId="3408"/>
    <cellStyle name="Percent 9 2 6 3 2" xfId="7634"/>
    <cellStyle name="Percent 9 2 6 3 2 2" xfId="16082"/>
    <cellStyle name="Percent 9 2 6 3 3" xfId="11858"/>
    <cellStyle name="Percent 9 2 6 4" xfId="5522"/>
    <cellStyle name="Percent 9 2 6 4 2" xfId="13970"/>
    <cellStyle name="Percent 9 2 6 5" xfId="9746"/>
    <cellStyle name="Percent 9 2 7" xfId="1472"/>
    <cellStyle name="Percent 9 2 7 2" xfId="2528"/>
    <cellStyle name="Percent 9 2 7 2 2" xfId="4640"/>
    <cellStyle name="Percent 9 2 7 2 2 2" xfId="8866"/>
    <cellStyle name="Percent 9 2 7 2 2 2 2" xfId="17314"/>
    <cellStyle name="Percent 9 2 7 2 2 3" xfId="13090"/>
    <cellStyle name="Percent 9 2 7 2 3" xfId="6754"/>
    <cellStyle name="Percent 9 2 7 2 3 2" xfId="15202"/>
    <cellStyle name="Percent 9 2 7 2 4" xfId="10978"/>
    <cellStyle name="Percent 9 2 7 3" xfId="3584"/>
    <cellStyle name="Percent 9 2 7 3 2" xfId="7810"/>
    <cellStyle name="Percent 9 2 7 3 2 2" xfId="16258"/>
    <cellStyle name="Percent 9 2 7 3 3" xfId="12034"/>
    <cellStyle name="Percent 9 2 7 4" xfId="5698"/>
    <cellStyle name="Percent 9 2 7 4 2" xfId="14146"/>
    <cellStyle name="Percent 9 2 7 5" xfId="9922"/>
    <cellStyle name="Percent 9 2 8" xfId="1648"/>
    <cellStyle name="Percent 9 2 8 2" xfId="3760"/>
    <cellStyle name="Percent 9 2 8 2 2" xfId="7986"/>
    <cellStyle name="Percent 9 2 8 2 2 2" xfId="16434"/>
    <cellStyle name="Percent 9 2 8 2 3" xfId="12210"/>
    <cellStyle name="Percent 9 2 8 3" xfId="5874"/>
    <cellStyle name="Percent 9 2 8 3 2" xfId="14322"/>
    <cellStyle name="Percent 9 2 8 4" xfId="10098"/>
    <cellStyle name="Percent 9 2 9" xfId="2704"/>
    <cellStyle name="Percent 9 2 9 2" xfId="6930"/>
    <cellStyle name="Percent 9 2 9 2 2" xfId="15378"/>
    <cellStyle name="Percent 9 2 9 3" xfId="11154"/>
    <cellStyle name="Percent 9 3" xfId="516"/>
    <cellStyle name="Percent 9 4" xfId="517"/>
    <cellStyle name="Percent 9 4 2" xfId="765"/>
    <cellStyle name="Percent 9 4 2 2" xfId="1117"/>
    <cellStyle name="Percent 9 4 2 2 2" xfId="2179"/>
    <cellStyle name="Percent 9 4 2 2 2 2" xfId="4291"/>
    <cellStyle name="Percent 9 4 2 2 2 2 2" xfId="8517"/>
    <cellStyle name="Percent 9 4 2 2 2 2 2 2" xfId="16965"/>
    <cellStyle name="Percent 9 4 2 2 2 2 3" xfId="12741"/>
    <cellStyle name="Percent 9 4 2 2 2 3" xfId="6405"/>
    <cellStyle name="Percent 9 4 2 2 2 3 2" xfId="14853"/>
    <cellStyle name="Percent 9 4 2 2 2 4" xfId="10629"/>
    <cellStyle name="Percent 9 4 2 2 3" xfId="3235"/>
    <cellStyle name="Percent 9 4 2 2 3 2" xfId="7461"/>
    <cellStyle name="Percent 9 4 2 2 3 2 2" xfId="15909"/>
    <cellStyle name="Percent 9 4 2 2 3 3" xfId="11685"/>
    <cellStyle name="Percent 9 4 2 2 4" xfId="5349"/>
    <cellStyle name="Percent 9 4 2 2 4 2" xfId="13797"/>
    <cellStyle name="Percent 9 4 2 2 5" xfId="9573"/>
    <cellStyle name="Percent 9 4 2 3" xfId="1827"/>
    <cellStyle name="Percent 9 4 2 3 2" xfId="3939"/>
    <cellStyle name="Percent 9 4 2 3 2 2" xfId="8165"/>
    <cellStyle name="Percent 9 4 2 3 2 2 2" xfId="16613"/>
    <cellStyle name="Percent 9 4 2 3 2 3" xfId="12389"/>
    <cellStyle name="Percent 9 4 2 3 3" xfId="6053"/>
    <cellStyle name="Percent 9 4 2 3 3 2" xfId="14501"/>
    <cellStyle name="Percent 9 4 2 3 4" xfId="10277"/>
    <cellStyle name="Percent 9 4 2 4" xfId="2883"/>
    <cellStyle name="Percent 9 4 2 4 2" xfId="7109"/>
    <cellStyle name="Percent 9 4 2 4 2 2" xfId="15557"/>
    <cellStyle name="Percent 9 4 2 4 3" xfId="11333"/>
    <cellStyle name="Percent 9 4 2 5" xfId="4997"/>
    <cellStyle name="Percent 9 4 2 5 2" xfId="13445"/>
    <cellStyle name="Percent 9 4 2 6" xfId="9221"/>
    <cellStyle name="Percent 9 4 3" xfId="941"/>
    <cellStyle name="Percent 9 4 3 2" xfId="2003"/>
    <cellStyle name="Percent 9 4 3 2 2" xfId="4115"/>
    <cellStyle name="Percent 9 4 3 2 2 2" xfId="8341"/>
    <cellStyle name="Percent 9 4 3 2 2 2 2" xfId="16789"/>
    <cellStyle name="Percent 9 4 3 2 2 3" xfId="12565"/>
    <cellStyle name="Percent 9 4 3 2 3" xfId="6229"/>
    <cellStyle name="Percent 9 4 3 2 3 2" xfId="14677"/>
    <cellStyle name="Percent 9 4 3 2 4" xfId="10453"/>
    <cellStyle name="Percent 9 4 3 3" xfId="3059"/>
    <cellStyle name="Percent 9 4 3 3 2" xfId="7285"/>
    <cellStyle name="Percent 9 4 3 3 2 2" xfId="15733"/>
    <cellStyle name="Percent 9 4 3 3 3" xfId="11509"/>
    <cellStyle name="Percent 9 4 3 4" xfId="5173"/>
    <cellStyle name="Percent 9 4 3 4 2" xfId="13621"/>
    <cellStyle name="Percent 9 4 3 5" xfId="9397"/>
    <cellStyle name="Percent 9 4 4" xfId="1293"/>
    <cellStyle name="Percent 9 4 4 2" xfId="2355"/>
    <cellStyle name="Percent 9 4 4 2 2" xfId="4467"/>
    <cellStyle name="Percent 9 4 4 2 2 2" xfId="8693"/>
    <cellStyle name="Percent 9 4 4 2 2 2 2" xfId="17141"/>
    <cellStyle name="Percent 9 4 4 2 2 3" xfId="12917"/>
    <cellStyle name="Percent 9 4 4 2 3" xfId="6581"/>
    <cellStyle name="Percent 9 4 4 2 3 2" xfId="15029"/>
    <cellStyle name="Percent 9 4 4 2 4" xfId="10805"/>
    <cellStyle name="Percent 9 4 4 3" xfId="3411"/>
    <cellStyle name="Percent 9 4 4 3 2" xfId="7637"/>
    <cellStyle name="Percent 9 4 4 3 2 2" xfId="16085"/>
    <cellStyle name="Percent 9 4 4 3 3" xfId="11861"/>
    <cellStyle name="Percent 9 4 4 4" xfId="5525"/>
    <cellStyle name="Percent 9 4 4 4 2" xfId="13973"/>
    <cellStyle name="Percent 9 4 4 5" xfId="9749"/>
    <cellStyle name="Percent 9 4 5" xfId="1475"/>
    <cellStyle name="Percent 9 4 5 2" xfId="2531"/>
    <cellStyle name="Percent 9 4 5 2 2" xfId="4643"/>
    <cellStyle name="Percent 9 4 5 2 2 2" xfId="8869"/>
    <cellStyle name="Percent 9 4 5 2 2 2 2" xfId="17317"/>
    <cellStyle name="Percent 9 4 5 2 2 3" xfId="13093"/>
    <cellStyle name="Percent 9 4 5 2 3" xfId="6757"/>
    <cellStyle name="Percent 9 4 5 2 3 2" xfId="15205"/>
    <cellStyle name="Percent 9 4 5 2 4" xfId="10981"/>
    <cellStyle name="Percent 9 4 5 3" xfId="3587"/>
    <cellStyle name="Percent 9 4 5 3 2" xfId="7813"/>
    <cellStyle name="Percent 9 4 5 3 2 2" xfId="16261"/>
    <cellStyle name="Percent 9 4 5 3 3" xfId="12037"/>
    <cellStyle name="Percent 9 4 5 4" xfId="5701"/>
    <cellStyle name="Percent 9 4 5 4 2" xfId="14149"/>
    <cellStyle name="Percent 9 4 5 5" xfId="9925"/>
    <cellStyle name="Percent 9 4 6" xfId="1651"/>
    <cellStyle name="Percent 9 4 6 2" xfId="3763"/>
    <cellStyle name="Percent 9 4 6 2 2" xfId="7989"/>
    <cellStyle name="Percent 9 4 6 2 2 2" xfId="16437"/>
    <cellStyle name="Percent 9 4 6 2 3" xfId="12213"/>
    <cellStyle name="Percent 9 4 6 3" xfId="5877"/>
    <cellStyle name="Percent 9 4 6 3 2" xfId="14325"/>
    <cellStyle name="Percent 9 4 6 4" xfId="10101"/>
    <cellStyle name="Percent 9 4 7" xfId="2707"/>
    <cellStyle name="Percent 9 4 7 2" xfId="6933"/>
    <cellStyle name="Percent 9 4 7 2 2" xfId="15381"/>
    <cellStyle name="Percent 9 4 7 3" xfId="11157"/>
    <cellStyle name="Percent 9 4 8" xfId="4820"/>
    <cellStyle name="Percent 9 4 8 2" xfId="13269"/>
    <cellStyle name="Percent 9 4 9" xfId="9045"/>
    <cellStyle name="Percent 9 5" xfId="518"/>
    <cellStyle name="Percent 9 5 2" xfId="766"/>
    <cellStyle name="Percent 9 5 2 2" xfId="1118"/>
    <cellStyle name="Percent 9 5 2 2 2" xfId="2180"/>
    <cellStyle name="Percent 9 5 2 2 2 2" xfId="4292"/>
    <cellStyle name="Percent 9 5 2 2 2 2 2" xfId="8518"/>
    <cellStyle name="Percent 9 5 2 2 2 2 2 2" xfId="16966"/>
    <cellStyle name="Percent 9 5 2 2 2 2 3" xfId="12742"/>
    <cellStyle name="Percent 9 5 2 2 2 3" xfId="6406"/>
    <cellStyle name="Percent 9 5 2 2 2 3 2" xfId="14854"/>
    <cellStyle name="Percent 9 5 2 2 2 4" xfId="10630"/>
    <cellStyle name="Percent 9 5 2 2 3" xfId="3236"/>
    <cellStyle name="Percent 9 5 2 2 3 2" xfId="7462"/>
    <cellStyle name="Percent 9 5 2 2 3 2 2" xfId="15910"/>
    <cellStyle name="Percent 9 5 2 2 3 3" xfId="11686"/>
    <cellStyle name="Percent 9 5 2 2 4" xfId="5350"/>
    <cellStyle name="Percent 9 5 2 2 4 2" xfId="13798"/>
    <cellStyle name="Percent 9 5 2 2 5" xfId="9574"/>
    <cellStyle name="Percent 9 5 2 3" xfId="1828"/>
    <cellStyle name="Percent 9 5 2 3 2" xfId="3940"/>
    <cellStyle name="Percent 9 5 2 3 2 2" xfId="8166"/>
    <cellStyle name="Percent 9 5 2 3 2 2 2" xfId="16614"/>
    <cellStyle name="Percent 9 5 2 3 2 3" xfId="12390"/>
    <cellStyle name="Percent 9 5 2 3 3" xfId="6054"/>
    <cellStyle name="Percent 9 5 2 3 3 2" xfId="14502"/>
    <cellStyle name="Percent 9 5 2 3 4" xfId="10278"/>
    <cellStyle name="Percent 9 5 2 4" xfId="2884"/>
    <cellStyle name="Percent 9 5 2 4 2" xfId="7110"/>
    <cellStyle name="Percent 9 5 2 4 2 2" xfId="15558"/>
    <cellStyle name="Percent 9 5 2 4 3" xfId="11334"/>
    <cellStyle name="Percent 9 5 2 5" xfId="4998"/>
    <cellStyle name="Percent 9 5 2 5 2" xfId="13446"/>
    <cellStyle name="Percent 9 5 2 6" xfId="9222"/>
    <cellStyle name="Percent 9 5 3" xfId="942"/>
    <cellStyle name="Percent 9 5 3 2" xfId="2004"/>
    <cellStyle name="Percent 9 5 3 2 2" xfId="4116"/>
    <cellStyle name="Percent 9 5 3 2 2 2" xfId="8342"/>
    <cellStyle name="Percent 9 5 3 2 2 2 2" xfId="16790"/>
    <cellStyle name="Percent 9 5 3 2 2 3" xfId="12566"/>
    <cellStyle name="Percent 9 5 3 2 3" xfId="6230"/>
    <cellStyle name="Percent 9 5 3 2 3 2" xfId="14678"/>
    <cellStyle name="Percent 9 5 3 2 4" xfId="10454"/>
    <cellStyle name="Percent 9 5 3 3" xfId="3060"/>
    <cellStyle name="Percent 9 5 3 3 2" xfId="7286"/>
    <cellStyle name="Percent 9 5 3 3 2 2" xfId="15734"/>
    <cellStyle name="Percent 9 5 3 3 3" xfId="11510"/>
    <cellStyle name="Percent 9 5 3 4" xfId="5174"/>
    <cellStyle name="Percent 9 5 3 4 2" xfId="13622"/>
    <cellStyle name="Percent 9 5 3 5" xfId="9398"/>
    <cellStyle name="Percent 9 5 4" xfId="1294"/>
    <cellStyle name="Percent 9 5 4 2" xfId="2356"/>
    <cellStyle name="Percent 9 5 4 2 2" xfId="4468"/>
    <cellStyle name="Percent 9 5 4 2 2 2" xfId="8694"/>
    <cellStyle name="Percent 9 5 4 2 2 2 2" xfId="17142"/>
    <cellStyle name="Percent 9 5 4 2 2 3" xfId="12918"/>
    <cellStyle name="Percent 9 5 4 2 3" xfId="6582"/>
    <cellStyle name="Percent 9 5 4 2 3 2" xfId="15030"/>
    <cellStyle name="Percent 9 5 4 2 4" xfId="10806"/>
    <cellStyle name="Percent 9 5 4 3" xfId="3412"/>
    <cellStyle name="Percent 9 5 4 3 2" xfId="7638"/>
    <cellStyle name="Percent 9 5 4 3 2 2" xfId="16086"/>
    <cellStyle name="Percent 9 5 4 3 3" xfId="11862"/>
    <cellStyle name="Percent 9 5 4 4" xfId="5526"/>
    <cellStyle name="Percent 9 5 4 4 2" xfId="13974"/>
    <cellStyle name="Percent 9 5 4 5" xfId="9750"/>
    <cellStyle name="Percent 9 5 5" xfId="1476"/>
    <cellStyle name="Percent 9 5 5 2" xfId="2532"/>
    <cellStyle name="Percent 9 5 5 2 2" xfId="4644"/>
    <cellStyle name="Percent 9 5 5 2 2 2" xfId="8870"/>
    <cellStyle name="Percent 9 5 5 2 2 2 2" xfId="17318"/>
    <cellStyle name="Percent 9 5 5 2 2 3" xfId="13094"/>
    <cellStyle name="Percent 9 5 5 2 3" xfId="6758"/>
    <cellStyle name="Percent 9 5 5 2 3 2" xfId="15206"/>
    <cellStyle name="Percent 9 5 5 2 4" xfId="10982"/>
    <cellStyle name="Percent 9 5 5 3" xfId="3588"/>
    <cellStyle name="Percent 9 5 5 3 2" xfId="7814"/>
    <cellStyle name="Percent 9 5 5 3 2 2" xfId="16262"/>
    <cellStyle name="Percent 9 5 5 3 3" xfId="12038"/>
    <cellStyle name="Percent 9 5 5 4" xfId="5702"/>
    <cellStyle name="Percent 9 5 5 4 2" xfId="14150"/>
    <cellStyle name="Percent 9 5 5 5" xfId="9926"/>
    <cellStyle name="Percent 9 5 6" xfId="1652"/>
    <cellStyle name="Percent 9 5 6 2" xfId="3764"/>
    <cellStyle name="Percent 9 5 6 2 2" xfId="7990"/>
    <cellStyle name="Percent 9 5 6 2 2 2" xfId="16438"/>
    <cellStyle name="Percent 9 5 6 2 3" xfId="12214"/>
    <cellStyle name="Percent 9 5 6 3" xfId="5878"/>
    <cellStyle name="Percent 9 5 6 3 2" xfId="14326"/>
    <cellStyle name="Percent 9 5 6 4" xfId="10102"/>
    <cellStyle name="Percent 9 5 7" xfId="2708"/>
    <cellStyle name="Percent 9 5 7 2" xfId="6934"/>
    <cellStyle name="Percent 9 5 7 2 2" xfId="15382"/>
    <cellStyle name="Percent 9 5 7 3" xfId="11158"/>
    <cellStyle name="Percent 9 5 8" xfId="4821"/>
    <cellStyle name="Percent 9 5 8 2" xfId="13270"/>
    <cellStyle name="Percent 9 5 9" xfId="9046"/>
    <cellStyle name="Percent 9 6" xfId="761"/>
    <cellStyle name="Percent 9 6 2" xfId="1113"/>
    <cellStyle name="Percent 9 6 2 2" xfId="2175"/>
    <cellStyle name="Percent 9 6 2 2 2" xfId="4287"/>
    <cellStyle name="Percent 9 6 2 2 2 2" xfId="8513"/>
    <cellStyle name="Percent 9 6 2 2 2 2 2" xfId="16961"/>
    <cellStyle name="Percent 9 6 2 2 2 3" xfId="12737"/>
    <cellStyle name="Percent 9 6 2 2 3" xfId="6401"/>
    <cellStyle name="Percent 9 6 2 2 3 2" xfId="14849"/>
    <cellStyle name="Percent 9 6 2 2 4" xfId="10625"/>
    <cellStyle name="Percent 9 6 2 3" xfId="3231"/>
    <cellStyle name="Percent 9 6 2 3 2" xfId="7457"/>
    <cellStyle name="Percent 9 6 2 3 2 2" xfId="15905"/>
    <cellStyle name="Percent 9 6 2 3 3" xfId="11681"/>
    <cellStyle name="Percent 9 6 2 4" xfId="5345"/>
    <cellStyle name="Percent 9 6 2 4 2" xfId="13793"/>
    <cellStyle name="Percent 9 6 2 5" xfId="9569"/>
    <cellStyle name="Percent 9 6 3" xfId="1823"/>
    <cellStyle name="Percent 9 6 3 2" xfId="3935"/>
    <cellStyle name="Percent 9 6 3 2 2" xfId="8161"/>
    <cellStyle name="Percent 9 6 3 2 2 2" xfId="16609"/>
    <cellStyle name="Percent 9 6 3 2 3" xfId="12385"/>
    <cellStyle name="Percent 9 6 3 3" xfId="6049"/>
    <cellStyle name="Percent 9 6 3 3 2" xfId="14497"/>
    <cellStyle name="Percent 9 6 3 4" xfId="10273"/>
    <cellStyle name="Percent 9 6 4" xfId="2879"/>
    <cellStyle name="Percent 9 6 4 2" xfId="7105"/>
    <cellStyle name="Percent 9 6 4 2 2" xfId="15553"/>
    <cellStyle name="Percent 9 6 4 3" xfId="11329"/>
    <cellStyle name="Percent 9 6 5" xfId="4993"/>
    <cellStyle name="Percent 9 6 5 2" xfId="13441"/>
    <cellStyle name="Percent 9 6 6" xfId="9217"/>
    <cellStyle name="Percent 9 7" xfId="937"/>
    <cellStyle name="Percent 9 7 2" xfId="1999"/>
    <cellStyle name="Percent 9 7 2 2" xfId="4111"/>
    <cellStyle name="Percent 9 7 2 2 2" xfId="8337"/>
    <cellStyle name="Percent 9 7 2 2 2 2" xfId="16785"/>
    <cellStyle name="Percent 9 7 2 2 3" xfId="12561"/>
    <cellStyle name="Percent 9 7 2 3" xfId="6225"/>
    <cellStyle name="Percent 9 7 2 3 2" xfId="14673"/>
    <cellStyle name="Percent 9 7 2 4" xfId="10449"/>
    <cellStyle name="Percent 9 7 3" xfId="3055"/>
    <cellStyle name="Percent 9 7 3 2" xfId="7281"/>
    <cellStyle name="Percent 9 7 3 2 2" xfId="15729"/>
    <cellStyle name="Percent 9 7 3 3" xfId="11505"/>
    <cellStyle name="Percent 9 7 4" xfId="5169"/>
    <cellStyle name="Percent 9 7 4 2" xfId="13617"/>
    <cellStyle name="Percent 9 7 5" xfId="9393"/>
    <cellStyle name="Percent 9 8" xfId="1289"/>
    <cellStyle name="Percent 9 8 2" xfId="2351"/>
    <cellStyle name="Percent 9 8 2 2" xfId="4463"/>
    <cellStyle name="Percent 9 8 2 2 2" xfId="8689"/>
    <cellStyle name="Percent 9 8 2 2 2 2" xfId="17137"/>
    <cellStyle name="Percent 9 8 2 2 3" xfId="12913"/>
    <cellStyle name="Percent 9 8 2 3" xfId="6577"/>
    <cellStyle name="Percent 9 8 2 3 2" xfId="15025"/>
    <cellStyle name="Percent 9 8 2 4" xfId="10801"/>
    <cellStyle name="Percent 9 8 3" xfId="3407"/>
    <cellStyle name="Percent 9 8 3 2" xfId="7633"/>
    <cellStyle name="Percent 9 8 3 2 2" xfId="16081"/>
    <cellStyle name="Percent 9 8 3 3" xfId="11857"/>
    <cellStyle name="Percent 9 8 4" xfId="5521"/>
    <cellStyle name="Percent 9 8 4 2" xfId="13969"/>
    <cellStyle name="Percent 9 8 5" xfId="9745"/>
    <cellStyle name="Percent 9 9" xfId="1471"/>
    <cellStyle name="Percent 9 9 2" xfId="2527"/>
    <cellStyle name="Percent 9 9 2 2" xfId="4639"/>
    <cellStyle name="Percent 9 9 2 2 2" xfId="8865"/>
    <cellStyle name="Percent 9 9 2 2 2 2" xfId="17313"/>
    <cellStyle name="Percent 9 9 2 2 3" xfId="13089"/>
    <cellStyle name="Percent 9 9 2 3" xfId="6753"/>
    <cellStyle name="Percent 9 9 2 3 2" xfId="15201"/>
    <cellStyle name="Percent 9 9 2 4" xfId="10977"/>
    <cellStyle name="Percent 9 9 3" xfId="3583"/>
    <cellStyle name="Percent 9 9 3 2" xfId="7809"/>
    <cellStyle name="Percent 9 9 3 2 2" xfId="16257"/>
    <cellStyle name="Percent 9 9 3 3" xfId="12033"/>
    <cellStyle name="Percent 9 9 4" xfId="5697"/>
    <cellStyle name="Percent 9 9 4 2" xfId="14145"/>
    <cellStyle name="Percent 9 9 5" xfId="9921"/>
    <cellStyle name="PrePop Currency (0)" xfId="519"/>
    <cellStyle name="PrePop Currency (0) 2" xfId="520"/>
    <cellStyle name="PrePop Currency (0) 3" xfId="17414"/>
    <cellStyle name="PrePop Currency (2)" xfId="521"/>
    <cellStyle name="PrePop Currency (2) 2" xfId="522"/>
    <cellStyle name="PrePop Currency (2) 3" xfId="17425"/>
    <cellStyle name="PrePop Units (0)" xfId="523"/>
    <cellStyle name="PrePop Units (0) 2" xfId="524"/>
    <cellStyle name="PrePop Units (0) 3" xfId="17362"/>
    <cellStyle name="PrePop Units (1)" xfId="525"/>
    <cellStyle name="PrePop Units (1) 2" xfId="526"/>
    <cellStyle name="PrePop Units (1) 3" xfId="17440"/>
    <cellStyle name="PrePop Units (2)" xfId="527"/>
    <cellStyle name="PrePop Units (2) 2" xfId="528"/>
    <cellStyle name="PrePop Units (2) 3" xfId="17455"/>
    <cellStyle name="SAPBEXaggData" xfId="529"/>
    <cellStyle name="SAPBEXaggDataEmph" xfId="530"/>
    <cellStyle name="SAPBEXaggItem" xfId="531"/>
    <cellStyle name="SAPBEXaggItemX" xfId="532"/>
    <cellStyle name="SAPBEXchaText" xfId="533"/>
    <cellStyle name="SAPBEXexcBad7" xfId="534"/>
    <cellStyle name="SAPBEXexcBad8" xfId="535"/>
    <cellStyle name="SAPBEXexcBad9" xfId="536"/>
    <cellStyle name="SAPBEXexcCritical4" xfId="537"/>
    <cellStyle name="SAPBEXexcCritical5" xfId="538"/>
    <cellStyle name="SAPBEXexcCritical6" xfId="539"/>
    <cellStyle name="SAPBEXexcGood1" xfId="540"/>
    <cellStyle name="SAPBEXexcGood2" xfId="541"/>
    <cellStyle name="SAPBEXexcGood3" xfId="542"/>
    <cellStyle name="SAPBEXfilterDrill" xfId="543"/>
    <cellStyle name="SAPBEXfilterItem" xfId="544"/>
    <cellStyle name="SAPBEXfilterText" xfId="545"/>
    <cellStyle name="SAPBEXformats" xfId="546"/>
    <cellStyle name="SAPBEXheaderItem" xfId="547"/>
    <cellStyle name="SAPBEXheaderText" xfId="548"/>
    <cellStyle name="SAPBEXHLevel0" xfId="549"/>
    <cellStyle name="SAPBEXHLevel0 2" xfId="550"/>
    <cellStyle name="SAPBEXHLevel0X" xfId="551"/>
    <cellStyle name="SAPBEXHLevel0X 2" xfId="552"/>
    <cellStyle name="SAPBEXHLevel1" xfId="553"/>
    <cellStyle name="SAPBEXHLevel1 2" xfId="554"/>
    <cellStyle name="SAPBEXHLevel1X" xfId="555"/>
    <cellStyle name="SAPBEXHLevel1X 2" xfId="556"/>
    <cellStyle name="SAPBEXHLevel2" xfId="557"/>
    <cellStyle name="SAPBEXHLevel2 2" xfId="558"/>
    <cellStyle name="SAPBEXHLevel2X" xfId="559"/>
    <cellStyle name="SAPBEXHLevel2X 2" xfId="560"/>
    <cellStyle name="SAPBEXHLevel3" xfId="561"/>
    <cellStyle name="SAPBEXHLevel3 2" xfId="562"/>
    <cellStyle name="SAPBEXHLevel3X" xfId="563"/>
    <cellStyle name="SAPBEXHLevel3X 2" xfId="564"/>
    <cellStyle name="SAPBEXresData" xfId="565"/>
    <cellStyle name="SAPBEXresDataEmph" xfId="566"/>
    <cellStyle name="SAPBEXresItem" xfId="567"/>
    <cellStyle name="SAPBEXresItemX" xfId="568"/>
    <cellStyle name="SAPBEXstdData" xfId="569"/>
    <cellStyle name="SAPBEXstdDataEmph" xfId="570"/>
    <cellStyle name="SAPBEXstdItem" xfId="571"/>
    <cellStyle name="SAPBEXstdItemX" xfId="572"/>
    <cellStyle name="SAPBEXtitle" xfId="573"/>
    <cellStyle name="SAPBEXundefined" xfId="574"/>
    <cellStyle name="Standard_Anpassen der Amortisation" xfId="575"/>
    <cellStyle name="Table Text" xfId="576"/>
    <cellStyle name="Table Text 2" xfId="577"/>
    <cellStyle name="Text Indent A" xfId="578"/>
    <cellStyle name="Text Indent B" xfId="579"/>
    <cellStyle name="Text Indent B 2" xfId="580"/>
    <cellStyle name="Text Indent B 3" xfId="17464"/>
    <cellStyle name="Text Indent C" xfId="581"/>
    <cellStyle name="Text Indent C 2" xfId="582"/>
    <cellStyle name="Text Indent C 3" xfId="17349"/>
    <cellStyle name="Title 2" xfId="583"/>
    <cellStyle name="Title 3" xfId="17410"/>
    <cellStyle name="Title 4" xfId="17438"/>
    <cellStyle name="Total" xfId="15" builtinId="25" customBuiltin="1"/>
    <cellStyle name="Total 2" xfId="584"/>
    <cellStyle name="Total 2 2" xfId="17454"/>
    <cellStyle name="Total 2 3" xfId="17422"/>
    <cellStyle name="Total 3" xfId="585"/>
    <cellStyle name="Total 4" xfId="17359"/>
    <cellStyle name="Währung [0]_Compiling Utility Macros" xfId="586"/>
    <cellStyle name="Währung_Compiling Utility Macros" xfId="587"/>
    <cellStyle name="Warning Text" xfId="13" builtinId="11" customBuiltin="1"/>
    <cellStyle name="Warning Text 2" xfId="588"/>
    <cellStyle name="Warning Text 3" xfId="17460"/>
  </cellStyles>
  <dxfs count="7">
    <dxf>
      <fill>
        <patternFill patternType="solid">
          <fgColor rgb="FFB8CCE4"/>
          <bgColor rgb="FFB8CCE4"/>
        </patternFill>
      </fill>
    </dxf>
    <dxf>
      <fill>
        <patternFill patternType="solid">
          <fgColor rgb="FFB8CCE4"/>
          <bgColor rgb="FFB8CCE4"/>
        </patternFill>
      </fill>
    </dxf>
    <dxf>
      <font>
        <b/>
        <color rgb="FFFFFFFF"/>
      </font>
      <fill>
        <patternFill patternType="solid">
          <fgColor rgb="FF4F81BD"/>
          <bgColor rgb="FF4F81BD"/>
        </patternFill>
      </fill>
    </dxf>
    <dxf>
      <font>
        <b/>
        <color rgb="FFFFFFFF"/>
      </font>
      <fill>
        <patternFill patternType="solid">
          <fgColor rgb="FF4F81BD"/>
          <bgColor rgb="FF4F81BD"/>
        </patternFill>
      </fill>
    </dxf>
    <dxf>
      <font>
        <b/>
        <color rgb="FFFFFFFF"/>
      </font>
      <fill>
        <patternFill patternType="solid">
          <fgColor rgb="FF4F81BD"/>
          <bgColor rgb="FF4F81BD"/>
        </patternFill>
      </fill>
      <border>
        <top style="thick">
          <color rgb="FFFFFFFF"/>
        </top>
      </border>
    </dxf>
    <dxf>
      <font>
        <b/>
        <color rgb="FFFFFFFF"/>
      </font>
      <fill>
        <patternFill patternType="solid">
          <fgColor rgb="FF4F81BD"/>
          <bgColor rgb="FF4F81BD"/>
        </patternFill>
      </fill>
      <border>
        <bottom style="thick">
          <color rgb="FFFFFFFF"/>
        </bottom>
      </border>
    </dxf>
    <dxf>
      <font>
        <color rgb="FF000000"/>
      </font>
      <fill>
        <patternFill patternType="solid">
          <fgColor rgb="FFDCE6F1"/>
          <bgColor rgb="FFDCE6F1"/>
        </patternFill>
      </fill>
      <border>
        <vertical style="thin">
          <color rgb="FFFFFFFF"/>
        </vertical>
        <horizontal style="thin">
          <color rgb="FFFFFFFF"/>
        </horizontal>
      </border>
    </dxf>
  </dxfs>
  <tableStyles count="2" defaultTableStyle="TableStyleMedium2" defaultPivotStyle="PivotStyleLight16">
    <tableStyle name="MySqlDefault" pivot="0" table="0" count="0"/>
    <tableStyle name="TableStyleMedium9 2"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12" Type="http://schemas.openxmlformats.org/officeDocument/2006/relationships/calcChain" Target="calcChain.xml"/><Relationship Id="rId16" Type="http://schemas.openxmlformats.org/officeDocument/2006/relationships/externalLink" Target="externalLinks/externalLink5.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externalLink" Target="externalLinks/externalLink84.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08" Type="http://schemas.openxmlformats.org/officeDocument/2006/relationships/externalLink" Target="externalLinks/externalLink97.xml"/><Relationship Id="rId54" Type="http://schemas.openxmlformats.org/officeDocument/2006/relationships/externalLink" Target="externalLinks/externalLink43.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91" Type="http://schemas.openxmlformats.org/officeDocument/2006/relationships/externalLink" Target="externalLinks/externalLink80.xml"/><Relationship Id="rId96" Type="http://schemas.openxmlformats.org/officeDocument/2006/relationships/externalLink" Target="externalLinks/externalLink8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theme" Target="theme/theme1.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styles" Target="styles.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1.%20FEBRUARY\Table%201\Table%201%20February%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1\Table%201%20December%2020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1\Table%201%20January%20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1\Table%201%20October%202020%20.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1.%20FEBRUARY\Table%202\Table%202%20CY.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2\Table%202%20CY.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CY.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2\Table%202%20C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2\Table%202%20C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2\Table%202%20CY.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2\Table%202%20C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1\Table%201%20April%20202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2\Table%202%20CY.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2\Table%202%20C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2\Table%202%20CY.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2\Table%202%20CY.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2.%20MARCH\Table%202\Table%202%20C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2\Table%202%20PY.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2\Table%202%20P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PY.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2\Table%202%20P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2\Table%202%20PY.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2.%20MARCH\Table%201\Table%201%20-%20March%20202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2\Table%202%20P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2\Table%202%20P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2\Table%202%20PY.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2\Table%202%20P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2\Table%202%20PY.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1.%20FEBRUARY\Table%202\Table%202%20PY.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2.%20MARCH\Table%202\Table%202%20PY.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2\Table%202%20PY.x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6.SEP\Table%202\Table%202%20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2\Table%202%20CY.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1\Table%201%20June%202020.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1.%20FEBRUARY\Table%203\statement%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3\statement%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3\statement%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3\statement%2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3\statement%20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3\statement%203.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3\statement%20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3\statement%203%2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3\statement%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3\statement%2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1\Table%201%20July%202020.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3\statement%20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2.%20MARCH\Table%203\statement%2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3\statement%203%2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3\statement%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4\Recon%20statement%20.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4\Recon%20statement.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4\Recon%20statement.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4\Recon%20statement.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4\Recon%20statement.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4\Recon%20statement.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1\Table%201%20August%202020.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4\Recon%20statement.xlsm"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4\Recon%20statement.xlsm"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4\Recon%20statement.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4\Recon%20statement%2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1.%20FEBRUARY\Table%204\Recon%20statement%2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2.%20MARCH\Table%204\Recon%20statement%2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0.%20JAN\Table%204\Recon%20statement%20.xlsm"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1.%20FEB\Table%204\Recon%20statement%20.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1.%20APR\Table%205\Additional%20Inform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2.%20MAY\Table%205\Additional%20Inform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1\Table%201%20September%202020.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3.%20JUNE\Table%205\Additional%20Information.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4.%20JULY\Table%205\Additional%20Information.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5.%20AUGUST\Table%205\Additional%20Information.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6.%20SEPTEMBER\Table%205\Additional%20Informat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5\Additional%20Informatio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5\Additional%20Information.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9.%20DECEMBER\Table%205\Additional%20Informat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0.%20JANUARY\Table%205\Additional%20Information.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1.%20FEBRUARY\Table%205\Additional%20Information.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12.%20MARCH\Table%205\Additional%20Inform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7.%20OCTOBER\Table%201\Table%201%20October%202020.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2.%20MAR\Table%205\Additional%20Informatio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I:\BR_Accountant-General\3.%20CD_National%20Accounts\D.%20Directorates\D5.%20D_NRF%20and%20ASB\xiii.%20Exchequer%20Management\2020-2021\Exchequer%20Statements\Exchequer%20issues%202020-202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Exchequer%20issues%202020-202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2.%20MAR\Table%203\statement%20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3.%20JUN\Table%203\statement%2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4.%20JULY\Table%203\statement%2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5.AUG\Table%203\statement%2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6.SEP\Table%203\statement%20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7.OCT\Table%203\statement%20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8.%20NOV\Table%203\statement%20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Inter%20Branch%20Information\Section%2032%20Report\2020-2021\08.%20NOVEMBER\Table%201\Table%201%20November%202020.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9.%20DEC\Table%203\statement%20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0.%20JAN\Table%203\statement%203.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11.%20FEB\Table%203\statement%2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2.%20MAY\Table%203\statement%20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Inter%20Branch%20Information\Section%2032%20Report\2019-2020\01.%20APR\Table%203\statement%2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Inter%20Branch%20Information\Section%2032%20Report\2018-2019\APRIL%202018\Table%203\statement%2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Inter%20Branch%20Information\Section%2032%20Report\2018-2019\MAY%202018\Table%203\statement%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I:\Inter%20Branch%20Information\Section%2032%20Report\2017-2018\March%202018\Table%203\statement%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H114">
            <v>1200785660.997653</v>
          </cell>
          <cell r="S114">
            <v>132745358.18300997</v>
          </cell>
          <cell r="AG114">
            <v>144478940.09164</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Q114">
            <v>176370693.76949999</v>
          </cell>
          <cell r="AE114">
            <v>160349623.42506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R114">
            <v>87476541.460689977</v>
          </cell>
          <cell r="AF114">
            <v>91356528.666240022</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H114">
            <v>1097931728.3315389</v>
          </cell>
          <cell r="AC114">
            <v>83787244.734929979</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I48">
            <v>1025349737</v>
          </cell>
          <cell r="BL48">
            <v>71862220</v>
          </cell>
        </row>
        <row r="51">
          <cell r="I51">
            <v>7715</v>
          </cell>
          <cell r="BL51">
            <v>475</v>
          </cell>
        </row>
        <row r="52">
          <cell r="I52">
            <v>476474</v>
          </cell>
          <cell r="BL52">
            <v>32263</v>
          </cell>
        </row>
        <row r="53">
          <cell r="I53">
            <v>233027798</v>
          </cell>
          <cell r="BL53">
            <v>32103379.975990001</v>
          </cell>
        </row>
        <row r="56">
          <cell r="I56">
            <v>520717021</v>
          </cell>
          <cell r="BL56">
            <v>38954457</v>
          </cell>
        </row>
        <row r="57">
          <cell r="I57">
            <v>14026878</v>
          </cell>
          <cell r="BL57">
            <v>0</v>
          </cell>
        </row>
        <row r="58">
          <cell r="I58">
            <v>177615</v>
          </cell>
          <cell r="BL58">
            <v>410372</v>
          </cell>
        </row>
        <row r="59">
          <cell r="I59">
            <v>120001</v>
          </cell>
          <cell r="BL59">
            <v>50000</v>
          </cell>
        </row>
        <row r="61">
          <cell r="I61">
            <v>217761</v>
          </cell>
        </row>
        <row r="62">
          <cell r="BL62">
            <v>266904</v>
          </cell>
        </row>
        <row r="65">
          <cell r="BK65">
            <v>0</v>
          </cell>
        </row>
        <row r="66">
          <cell r="I66">
            <v>10174611</v>
          </cell>
          <cell r="BL66">
            <v>1635698</v>
          </cell>
        </row>
        <row r="67">
          <cell r="I67">
            <v>2442459</v>
          </cell>
          <cell r="BL67">
            <v>176525</v>
          </cell>
        </row>
        <row r="68">
          <cell r="I68">
            <v>1117931</v>
          </cell>
          <cell r="BL68">
            <v>83684</v>
          </cell>
        </row>
        <row r="69">
          <cell r="I69">
            <v>10997</v>
          </cell>
          <cell r="BL69">
            <v>0</v>
          </cell>
        </row>
        <row r="73">
          <cell r="I73">
            <v>-3692917</v>
          </cell>
        </row>
      </sheetData>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N48">
            <v>63165298</v>
          </cell>
        </row>
        <row r="51">
          <cell r="N51">
            <v>475</v>
          </cell>
        </row>
        <row r="52">
          <cell r="N52">
            <v>42263</v>
          </cell>
        </row>
        <row r="53">
          <cell r="N53">
            <v>4156462.4270000001</v>
          </cell>
        </row>
        <row r="56">
          <cell r="N56">
            <v>44872627</v>
          </cell>
        </row>
        <row r="57">
          <cell r="N57">
            <v>0</v>
          </cell>
        </row>
        <row r="58">
          <cell r="N58">
            <v>18</v>
          </cell>
        </row>
        <row r="59">
          <cell r="N59">
            <v>0</v>
          </cell>
        </row>
        <row r="60">
          <cell r="N60">
            <v>1745798</v>
          </cell>
        </row>
        <row r="61">
          <cell r="N61">
            <v>186187</v>
          </cell>
        </row>
        <row r="62">
          <cell r="N62">
            <v>83069</v>
          </cell>
        </row>
        <row r="63">
          <cell r="N63">
            <v>0</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S48">
            <v>71995377</v>
          </cell>
        </row>
        <row r="51">
          <cell r="S51">
            <v>475</v>
          </cell>
        </row>
        <row r="52">
          <cell r="S52">
            <v>42263</v>
          </cell>
        </row>
        <row r="53">
          <cell r="S53">
            <v>1746959.1300000001</v>
          </cell>
        </row>
        <row r="56">
          <cell r="S56">
            <v>44872627</v>
          </cell>
        </row>
        <row r="57">
          <cell r="S57">
            <v>0</v>
          </cell>
        </row>
        <row r="58">
          <cell r="S58">
            <v>111334</v>
          </cell>
        </row>
        <row r="59">
          <cell r="S59">
            <v>0</v>
          </cell>
        </row>
        <row r="60">
          <cell r="S60">
            <v>1447692</v>
          </cell>
        </row>
        <row r="61">
          <cell r="S61">
            <v>179319</v>
          </cell>
        </row>
        <row r="62">
          <cell r="S62">
            <v>79480</v>
          </cell>
        </row>
        <row r="63">
          <cell r="S63">
            <v>0</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X48">
            <v>61212482</v>
          </cell>
        </row>
        <row r="51">
          <cell r="X51">
            <v>475</v>
          </cell>
        </row>
        <row r="52">
          <cell r="X52">
            <v>42263</v>
          </cell>
        </row>
        <row r="53">
          <cell r="X53">
            <v>23287136</v>
          </cell>
        </row>
        <row r="56">
          <cell r="X56">
            <v>44872627</v>
          </cell>
        </row>
        <row r="57">
          <cell r="X57">
            <v>0</v>
          </cell>
        </row>
        <row r="58">
          <cell r="X58">
            <v>2</v>
          </cell>
        </row>
        <row r="59">
          <cell r="X59">
            <v>40000</v>
          </cell>
        </row>
        <row r="60">
          <cell r="X60">
            <v>1118322</v>
          </cell>
        </row>
        <row r="61">
          <cell r="X61">
            <v>174148</v>
          </cell>
        </row>
        <row r="62">
          <cell r="X62">
            <v>102829</v>
          </cell>
        </row>
        <row r="63">
          <cell r="X63">
            <v>0</v>
          </cell>
        </row>
      </sheetData>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C48">
            <v>118355901</v>
          </cell>
        </row>
        <row r="51">
          <cell r="AC51">
            <v>475</v>
          </cell>
        </row>
        <row r="52">
          <cell r="AC52">
            <v>42263</v>
          </cell>
        </row>
        <row r="53">
          <cell r="AC53">
            <v>33793248</v>
          </cell>
        </row>
        <row r="56">
          <cell r="AC56">
            <v>44872627</v>
          </cell>
        </row>
        <row r="57">
          <cell r="AC57">
            <v>0</v>
          </cell>
        </row>
        <row r="58">
          <cell r="AC58">
            <v>0</v>
          </cell>
        </row>
        <row r="59">
          <cell r="AC59">
            <v>0</v>
          </cell>
        </row>
        <row r="60">
          <cell r="AC60">
            <v>54518</v>
          </cell>
        </row>
        <row r="61">
          <cell r="AC61">
            <v>175874</v>
          </cell>
        </row>
        <row r="62">
          <cell r="AC62">
            <v>81055</v>
          </cell>
        </row>
        <row r="63">
          <cell r="AC63">
            <v>0</v>
          </cell>
        </row>
      </sheetData>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H48">
            <v>82985001</v>
          </cell>
        </row>
        <row r="51">
          <cell r="AH51">
            <v>475</v>
          </cell>
        </row>
        <row r="52">
          <cell r="AH52">
            <v>42263</v>
          </cell>
        </row>
        <row r="53">
          <cell r="AH53">
            <v>32588390.123</v>
          </cell>
        </row>
        <row r="56">
          <cell r="AH56">
            <v>44872627</v>
          </cell>
        </row>
        <row r="57">
          <cell r="AH57">
            <v>4675628</v>
          </cell>
        </row>
        <row r="58">
          <cell r="AH58">
            <v>1</v>
          </cell>
        </row>
        <row r="59">
          <cell r="AH59">
            <v>0</v>
          </cell>
        </row>
        <row r="60">
          <cell r="AH60">
            <v>92107</v>
          </cell>
        </row>
        <row r="61">
          <cell r="AH61">
            <v>176338</v>
          </cell>
        </row>
        <row r="62">
          <cell r="AH62">
            <v>96112</v>
          </cell>
        </row>
        <row r="63">
          <cell r="AH63">
            <v>0</v>
          </cell>
        </row>
      </sheetData>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M48">
            <v>75682961</v>
          </cell>
        </row>
        <row r="51">
          <cell r="AM51">
            <v>475</v>
          </cell>
        </row>
        <row r="52">
          <cell r="AM52">
            <v>42263</v>
          </cell>
        </row>
        <row r="53">
          <cell r="AM53">
            <v>20719704.243000001</v>
          </cell>
        </row>
        <row r="56">
          <cell r="AM56">
            <v>44872627</v>
          </cell>
        </row>
        <row r="57">
          <cell r="AM57">
            <v>0</v>
          </cell>
        </row>
        <row r="58">
          <cell r="AM58">
            <v>66260</v>
          </cell>
        </row>
        <row r="59">
          <cell r="AM59">
            <v>30000</v>
          </cell>
        </row>
        <row r="60">
          <cell r="A60" t="str">
            <v>Other payments</v>
          </cell>
        </row>
        <row r="62">
          <cell r="B62" t="str">
            <v xml:space="preserve">South African Express Airways </v>
          </cell>
          <cell r="AL62">
            <v>143395</v>
          </cell>
        </row>
        <row r="63">
          <cell r="B63" t="str">
            <v>Land and Agricultural Development Bank of SA</v>
          </cell>
          <cell r="AL63">
            <v>74366</v>
          </cell>
        </row>
        <row r="65">
          <cell r="AL65">
            <v>6571667</v>
          </cell>
        </row>
        <row r="66">
          <cell r="AM66">
            <v>75474</v>
          </cell>
        </row>
        <row r="67">
          <cell r="AM67">
            <v>181726</v>
          </cell>
        </row>
        <row r="68">
          <cell r="AM68">
            <v>85139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I114">
            <v>63095740.380769998</v>
          </cell>
          <cell r="W114">
            <v>73824343.085730031</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ow r="48">
          <cell r="AR48">
            <v>84022361</v>
          </cell>
        </row>
        <row r="53">
          <cell r="AR53">
            <v>3593963.963</v>
          </cell>
        </row>
        <row r="56">
          <cell r="AR56">
            <v>44872627</v>
          </cell>
        </row>
        <row r="57">
          <cell r="AR57">
            <v>0</v>
          </cell>
        </row>
        <row r="66">
          <cell r="AR66">
            <v>169312</v>
          </cell>
        </row>
        <row r="73">
          <cell r="A73" t="str">
            <v>National government projected underspending</v>
          </cell>
        </row>
      </sheetData>
      <sheetData sheetId="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AW48">
            <v>71737880</v>
          </cell>
        </row>
        <row r="51">
          <cell r="AW51">
            <v>475</v>
          </cell>
        </row>
        <row r="52">
          <cell r="AW52">
            <v>42263</v>
          </cell>
        </row>
        <row r="53">
          <cell r="AW53">
            <v>2242145.0050000004</v>
          </cell>
        </row>
        <row r="56">
          <cell r="AW56">
            <v>44872626</v>
          </cell>
        </row>
        <row r="57">
          <cell r="AW57">
            <v>0</v>
          </cell>
        </row>
        <row r="66">
          <cell r="AW66">
            <v>1460680</v>
          </cell>
        </row>
        <row r="67">
          <cell r="AW67">
            <v>180189</v>
          </cell>
        </row>
        <row r="68">
          <cell r="AW68">
            <v>85222</v>
          </cell>
        </row>
        <row r="69">
          <cell r="AW69">
            <v>0</v>
          </cell>
        </row>
      </sheetData>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BB48">
            <v>103042121</v>
          </cell>
        </row>
        <row r="51">
          <cell r="I51">
            <v>7715</v>
          </cell>
          <cell r="BB51">
            <v>475</v>
          </cell>
        </row>
        <row r="52">
          <cell r="I52">
            <v>476474</v>
          </cell>
          <cell r="BB52">
            <v>42263</v>
          </cell>
        </row>
        <row r="53">
          <cell r="I53">
            <v>233027798</v>
          </cell>
          <cell r="BB53">
            <v>23505078</v>
          </cell>
        </row>
        <row r="56">
          <cell r="I56">
            <v>520717021</v>
          </cell>
          <cell r="BB56">
            <v>44872625</v>
          </cell>
        </row>
        <row r="57">
          <cell r="I57">
            <v>14026878</v>
          </cell>
          <cell r="BB57">
            <v>4675628</v>
          </cell>
        </row>
        <row r="58">
          <cell r="I58">
            <v>177615</v>
          </cell>
          <cell r="BB58">
            <v>2</v>
          </cell>
        </row>
        <row r="59">
          <cell r="I59">
            <v>120001</v>
          </cell>
        </row>
        <row r="62">
          <cell r="H62">
            <v>143395</v>
          </cell>
        </row>
        <row r="63">
          <cell r="H63">
            <v>74366</v>
          </cell>
        </row>
        <row r="65">
          <cell r="BA65">
            <v>-6571667</v>
          </cell>
        </row>
        <row r="66">
          <cell r="I66">
            <v>10174611</v>
          </cell>
          <cell r="BB66">
            <v>1486244</v>
          </cell>
        </row>
        <row r="67">
          <cell r="I67">
            <v>2442459</v>
          </cell>
          <cell r="BB67">
            <v>178719</v>
          </cell>
        </row>
        <row r="68">
          <cell r="I68">
            <v>1117931</v>
          </cell>
          <cell r="BB68">
            <v>87887</v>
          </cell>
        </row>
        <row r="69">
          <cell r="I69">
            <v>10997</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BG48">
            <v>89092970</v>
          </cell>
        </row>
        <row r="51">
          <cell r="BG51">
            <v>475</v>
          </cell>
        </row>
        <row r="52">
          <cell r="BG52">
            <v>32263</v>
          </cell>
        </row>
        <row r="53">
          <cell r="BG53">
            <v>33703384.236999996</v>
          </cell>
        </row>
        <row r="56">
          <cell r="BG56">
            <v>38954457</v>
          </cell>
        </row>
        <row r="58">
          <cell r="BG58">
            <v>8</v>
          </cell>
        </row>
        <row r="66">
          <cell r="BG66">
            <v>1665558</v>
          </cell>
        </row>
        <row r="67">
          <cell r="BG67">
            <v>177718</v>
          </cell>
        </row>
        <row r="68">
          <cell r="BG68">
            <v>84987</v>
          </cell>
        </row>
        <row r="69">
          <cell r="BG69">
            <v>0</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48">
          <cell r="BM48">
            <v>27018638</v>
          </cell>
          <cell r="BQ48">
            <v>110219519</v>
          </cell>
        </row>
        <row r="51">
          <cell r="BQ51">
            <v>475</v>
          </cell>
        </row>
        <row r="52">
          <cell r="BQ52">
            <v>31581</v>
          </cell>
        </row>
        <row r="53">
          <cell r="BQ53">
            <v>21155807</v>
          </cell>
        </row>
        <row r="56">
          <cell r="BQ56">
            <v>38954467</v>
          </cell>
        </row>
        <row r="57">
          <cell r="BQ57">
            <v>4675622</v>
          </cell>
        </row>
        <row r="58">
          <cell r="BQ58">
            <v>86</v>
          </cell>
        </row>
        <row r="66">
          <cell r="BQ66">
            <v>1461571</v>
          </cell>
        </row>
        <row r="67">
          <cell r="BQ67">
            <v>183834</v>
          </cell>
        </row>
        <row r="68">
          <cell r="BQ68">
            <v>92360</v>
          </cell>
        </row>
        <row r="69">
          <cell r="BQ69">
            <v>0</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ow r="47">
          <cell r="I47">
            <v>945130248</v>
          </cell>
          <cell r="AW47">
            <v>64382062</v>
          </cell>
        </row>
        <row r="50">
          <cell r="I50">
            <v>5708</v>
          </cell>
          <cell r="AW50">
            <v>475</v>
          </cell>
        </row>
        <row r="51">
          <cell r="I51">
            <v>600518</v>
          </cell>
          <cell r="AW51">
            <v>43960</v>
          </cell>
        </row>
        <row r="52">
          <cell r="I52">
            <v>204769349.69999999</v>
          </cell>
          <cell r="AW52">
            <v>2314875</v>
          </cell>
        </row>
        <row r="55">
          <cell r="I55">
            <v>505553753</v>
          </cell>
          <cell r="AW55">
            <v>42129479</v>
          </cell>
        </row>
        <row r="56">
          <cell r="I56">
            <v>13166793</v>
          </cell>
          <cell r="AW56">
            <v>0</v>
          </cell>
        </row>
        <row r="57">
          <cell r="I57">
            <v>468468</v>
          </cell>
          <cell r="AW57">
            <v>1363</v>
          </cell>
        </row>
        <row r="58">
          <cell r="A58" t="str">
            <v>Eskom - payment in terms of Section 16(1) of the PFMA</v>
          </cell>
          <cell r="M58">
            <v>13500000</v>
          </cell>
          <cell r="AL58">
            <v>-13500000</v>
          </cell>
          <cell r="AW58">
            <v>0</v>
          </cell>
        </row>
        <row r="64">
          <cell r="I64">
            <v>18283844</v>
          </cell>
          <cell r="AW64">
            <v>1535042</v>
          </cell>
        </row>
        <row r="65">
          <cell r="I65">
            <v>2100166</v>
          </cell>
          <cell r="AW65">
            <v>166986</v>
          </cell>
        </row>
        <row r="66">
          <cell r="I66">
            <v>1051725</v>
          </cell>
          <cell r="AW66">
            <v>87651</v>
          </cell>
        </row>
        <row r="67">
          <cell r="I67">
            <v>2614</v>
          </cell>
          <cell r="AW67">
            <v>0</v>
          </cell>
        </row>
      </sheetData>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N47">
            <v>76160742</v>
          </cell>
        </row>
        <row r="50">
          <cell r="N50">
            <v>475</v>
          </cell>
        </row>
        <row r="51">
          <cell r="N51">
            <v>43960</v>
          </cell>
        </row>
        <row r="52">
          <cell r="N52">
            <v>3587887</v>
          </cell>
        </row>
        <row r="55">
          <cell r="N55">
            <v>42129484</v>
          </cell>
        </row>
        <row r="57">
          <cell r="N57">
            <v>131872</v>
          </cell>
        </row>
        <row r="64">
          <cell r="N64">
            <v>1549593</v>
          </cell>
        </row>
        <row r="65">
          <cell r="N65">
            <v>170660</v>
          </cell>
        </row>
        <row r="66">
          <cell r="N66">
            <v>79795</v>
          </cell>
        </row>
        <row r="67">
          <cell r="N67">
            <v>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S47">
            <v>66186499</v>
          </cell>
        </row>
        <row r="50">
          <cell r="S50">
            <v>475</v>
          </cell>
        </row>
        <row r="51">
          <cell r="S51">
            <v>43960</v>
          </cell>
        </row>
        <row r="52">
          <cell r="S52">
            <v>4274259</v>
          </cell>
        </row>
        <row r="55">
          <cell r="S55">
            <v>42129482</v>
          </cell>
        </row>
        <row r="57">
          <cell r="S57">
            <v>83878</v>
          </cell>
        </row>
        <row r="64">
          <cell r="S64">
            <v>1486615</v>
          </cell>
        </row>
        <row r="65">
          <cell r="S65">
            <v>171849</v>
          </cell>
        </row>
        <row r="66">
          <cell r="S66">
            <v>84269</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X47">
            <v>59534955</v>
          </cell>
        </row>
        <row r="50">
          <cell r="X50">
            <v>475</v>
          </cell>
        </row>
        <row r="51">
          <cell r="X51">
            <v>43960</v>
          </cell>
        </row>
        <row r="52">
          <cell r="X52">
            <v>20232557</v>
          </cell>
        </row>
        <row r="55">
          <cell r="X55">
            <v>42129482</v>
          </cell>
        </row>
        <row r="56">
          <cell r="X56">
            <v>0</v>
          </cell>
        </row>
        <row r="57">
          <cell r="X57">
            <v>23306</v>
          </cell>
        </row>
        <row r="58">
          <cell r="X58">
            <v>0</v>
          </cell>
        </row>
        <row r="64">
          <cell r="X64">
            <v>1412283</v>
          </cell>
        </row>
        <row r="65">
          <cell r="X65">
            <v>168942</v>
          </cell>
        </row>
        <row r="66">
          <cell r="X66">
            <v>89510</v>
          </cell>
        </row>
        <row r="67">
          <cell r="X67">
            <v>0</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C47">
            <v>101551864</v>
          </cell>
        </row>
        <row r="50">
          <cell r="AC50">
            <v>483</v>
          </cell>
        </row>
        <row r="51">
          <cell r="AC51">
            <v>103960</v>
          </cell>
        </row>
        <row r="52">
          <cell r="AC52">
            <v>27300430</v>
          </cell>
        </row>
        <row r="55">
          <cell r="AC55">
            <v>42129482</v>
          </cell>
        </row>
        <row r="56">
          <cell r="AC56">
            <v>0</v>
          </cell>
        </row>
        <row r="57">
          <cell r="AC57">
            <v>119906</v>
          </cell>
        </row>
        <row r="64">
          <cell r="AC64">
            <v>1388691</v>
          </cell>
        </row>
        <row r="65">
          <cell r="AC65">
            <v>172594</v>
          </cell>
        </row>
        <row r="66">
          <cell r="AC66">
            <v>86379</v>
          </cell>
        </row>
        <row r="67">
          <cell r="AC67">
            <v>0</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J114">
            <v>68106446.022430018</v>
          </cell>
          <cell r="T114">
            <v>146956569.37684998</v>
          </cell>
          <cell r="X114">
            <v>96920893.069020018</v>
          </cell>
          <cell r="AH114">
            <v>143004381.44247997</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H47">
            <v>71020894</v>
          </cell>
        </row>
        <row r="50">
          <cell r="AH50">
            <v>475</v>
          </cell>
        </row>
        <row r="51">
          <cell r="AH51">
            <v>103960</v>
          </cell>
        </row>
        <row r="52">
          <cell r="AH52">
            <v>27624060</v>
          </cell>
        </row>
        <row r="55">
          <cell r="AH55">
            <v>42129480</v>
          </cell>
        </row>
        <row r="56">
          <cell r="AH56">
            <v>4388928</v>
          </cell>
        </row>
        <row r="57">
          <cell r="AH57">
            <v>230</v>
          </cell>
        </row>
        <row r="59">
          <cell r="AH59">
            <v>3800000</v>
          </cell>
        </row>
        <row r="64">
          <cell r="AH64">
            <v>1443945</v>
          </cell>
        </row>
        <row r="65">
          <cell r="AH65">
            <v>169736</v>
          </cell>
        </row>
        <row r="66">
          <cell r="AH66">
            <v>90565</v>
          </cell>
        </row>
        <row r="67">
          <cell r="AH67">
            <v>0</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M47">
            <v>67597899</v>
          </cell>
        </row>
        <row r="50">
          <cell r="AM50">
            <v>475</v>
          </cell>
        </row>
        <row r="51">
          <cell r="AM51">
            <v>43960</v>
          </cell>
        </row>
        <row r="52">
          <cell r="AM52">
            <v>16497519</v>
          </cell>
        </row>
        <row r="55">
          <cell r="AM55">
            <v>42129480</v>
          </cell>
        </row>
        <row r="56">
          <cell r="AM56">
            <v>0</v>
          </cell>
        </row>
        <row r="57">
          <cell r="AM57">
            <v>21</v>
          </cell>
        </row>
        <row r="60">
          <cell r="AG60">
            <v>2000000</v>
          </cell>
          <cell r="AL60">
            <v>3500000</v>
          </cell>
        </row>
        <row r="61">
          <cell r="AL61">
            <v>300000</v>
          </cell>
        </row>
        <row r="62">
          <cell r="AG62">
            <v>1800000</v>
          </cell>
        </row>
        <row r="64">
          <cell r="AM64">
            <v>1524417</v>
          </cell>
        </row>
        <row r="65">
          <cell r="AM65">
            <v>171780</v>
          </cell>
        </row>
        <row r="66">
          <cell r="AM66">
            <v>97825</v>
          </cell>
        </row>
        <row r="67">
          <cell r="AM67">
            <v>0</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AR47">
            <v>75589014</v>
          </cell>
        </row>
        <row r="50">
          <cell r="AR50">
            <v>499</v>
          </cell>
        </row>
        <row r="51">
          <cell r="AR51">
            <v>43960</v>
          </cell>
        </row>
        <row r="52">
          <cell r="AR52">
            <v>4518363</v>
          </cell>
        </row>
        <row r="55">
          <cell r="AR55">
            <v>42129479</v>
          </cell>
        </row>
        <row r="56">
          <cell r="AR56">
            <v>0</v>
          </cell>
        </row>
        <row r="57">
          <cell r="AR57">
            <v>30</v>
          </cell>
        </row>
        <row r="63">
          <cell r="AR63">
            <v>2100000</v>
          </cell>
        </row>
        <row r="64">
          <cell r="AR64">
            <v>1497621</v>
          </cell>
        </row>
        <row r="65">
          <cell r="AR65">
            <v>168680</v>
          </cell>
        </row>
        <row r="66">
          <cell r="AR66">
            <v>82799</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BB47">
            <v>92964228</v>
          </cell>
        </row>
        <row r="50">
          <cell r="BB50">
            <v>475</v>
          </cell>
        </row>
        <row r="51">
          <cell r="BB51">
            <v>43960</v>
          </cell>
        </row>
        <row r="52">
          <cell r="BB52">
            <v>21145008</v>
          </cell>
        </row>
        <row r="55">
          <cell r="BB55">
            <v>42129478</v>
          </cell>
        </row>
        <row r="56">
          <cell r="BB56">
            <v>4388931</v>
          </cell>
        </row>
        <row r="57">
          <cell r="BB57">
            <v>107525</v>
          </cell>
        </row>
        <row r="64">
          <cell r="BB64">
            <v>1484863</v>
          </cell>
        </row>
        <row r="65">
          <cell r="BB65">
            <v>166861</v>
          </cell>
        </row>
        <row r="66">
          <cell r="BB66">
            <v>87404</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BG47">
            <v>75735161</v>
          </cell>
        </row>
        <row r="50">
          <cell r="BG50">
            <v>451</v>
          </cell>
        </row>
        <row r="51">
          <cell r="BG51">
            <v>3960</v>
          </cell>
        </row>
        <row r="52">
          <cell r="BG52">
            <v>28808483</v>
          </cell>
        </row>
        <row r="55">
          <cell r="BG55">
            <v>42129477</v>
          </cell>
        </row>
        <row r="57">
          <cell r="BG57">
            <v>298</v>
          </cell>
        </row>
        <row r="60">
          <cell r="BF60">
            <v>-5500000</v>
          </cell>
        </row>
        <row r="61">
          <cell r="BF61">
            <v>-300000</v>
          </cell>
        </row>
        <row r="62">
          <cell r="BF62">
            <v>-1800000</v>
          </cell>
        </row>
        <row r="63">
          <cell r="BF63">
            <v>-2100000</v>
          </cell>
        </row>
        <row r="64">
          <cell r="BG64">
            <v>1682694</v>
          </cell>
        </row>
        <row r="65">
          <cell r="BG65">
            <v>165349</v>
          </cell>
        </row>
        <row r="66">
          <cell r="BG66">
            <v>77060</v>
          </cell>
        </row>
        <row r="67">
          <cell r="BG67">
            <v>0</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BL47">
            <v>68781631</v>
          </cell>
        </row>
        <row r="50">
          <cell r="BL50">
            <v>475</v>
          </cell>
        </row>
        <row r="51">
          <cell r="BL51">
            <v>53960</v>
          </cell>
        </row>
        <row r="52">
          <cell r="BL52">
            <v>29392738</v>
          </cell>
        </row>
        <row r="55">
          <cell r="BL55">
            <v>42129475</v>
          </cell>
        </row>
        <row r="56">
          <cell r="BL56">
            <v>0</v>
          </cell>
        </row>
        <row r="57">
          <cell r="BL57">
            <v>0</v>
          </cell>
        </row>
        <row r="64">
          <cell r="BL64">
            <v>1703401</v>
          </cell>
        </row>
        <row r="65">
          <cell r="BL65">
            <v>170590</v>
          </cell>
        </row>
        <row r="66">
          <cell r="BL66">
            <v>91086</v>
          </cell>
        </row>
        <row r="67">
          <cell r="BL67">
            <v>2614</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47">
          <cell r="BM47">
            <v>29517083</v>
          </cell>
          <cell r="BQ47">
            <v>125625299</v>
          </cell>
        </row>
        <row r="50">
          <cell r="BQ50">
            <v>475</v>
          </cell>
        </row>
        <row r="51">
          <cell r="BQ51">
            <v>26958</v>
          </cell>
        </row>
        <row r="52">
          <cell r="BQ52">
            <v>19073170.699999999</v>
          </cell>
        </row>
        <row r="55">
          <cell r="BQ55">
            <v>42129475</v>
          </cell>
        </row>
        <row r="56">
          <cell r="BQ56">
            <v>4388934</v>
          </cell>
        </row>
        <row r="57">
          <cell r="BQ57">
            <v>39</v>
          </cell>
        </row>
        <row r="64">
          <cell r="BQ64">
            <v>1574679</v>
          </cell>
        </row>
        <row r="65">
          <cell r="BQ65">
            <v>236139</v>
          </cell>
        </row>
        <row r="66">
          <cell r="BQ66">
            <v>97382</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s>
    <sheetDataSet>
      <sheetData sheetId="0" refreshError="1">
        <row r="47">
          <cell r="O47">
            <v>18816680</v>
          </cell>
        </row>
        <row r="56">
          <cell r="S56">
            <v>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20"/>
      <sheetName val="Sheet1"/>
    </sheetNames>
    <sheetDataSet>
      <sheetData sheetId="0" refreshError="1">
        <row r="61">
          <cell r="A61" t="str">
            <v>South African Express Airways</v>
          </cell>
        </row>
        <row r="62">
          <cell r="A62" t="str">
            <v xml:space="preserve">Denel </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Sheet1"/>
    </sheetNames>
    <sheetDataSet>
      <sheetData sheetId="0" refreshError="1">
        <row r="7">
          <cell r="AR7">
            <v>33186</v>
          </cell>
        </row>
        <row r="51">
          <cell r="AR51">
            <v>475</v>
          </cell>
        </row>
        <row r="52">
          <cell r="AR52">
            <v>42263</v>
          </cell>
        </row>
        <row r="58">
          <cell r="AR58">
            <v>260</v>
          </cell>
        </row>
        <row r="67">
          <cell r="AR67">
            <v>176493</v>
          </cell>
        </row>
        <row r="68">
          <cell r="AR68">
            <v>82090</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K114">
            <v>108554101.37664002</v>
          </cell>
          <cell r="Y114">
            <v>147241477.99728</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H13">
            <v>97183520</v>
          </cell>
          <cell r="BK13">
            <v>-13560314</v>
          </cell>
          <cell r="EC13">
            <v>-2500139</v>
          </cell>
        </row>
        <row r="23">
          <cell r="H23">
            <v>465992000</v>
          </cell>
          <cell r="BK23">
            <v>42446719</v>
          </cell>
          <cell r="EC23">
            <v>29159155</v>
          </cell>
        </row>
        <row r="25">
          <cell r="H25">
            <v>591023575</v>
          </cell>
          <cell r="BK25">
            <v>49399464</v>
          </cell>
        </row>
        <row r="26">
          <cell r="H26">
            <v>-72524000</v>
          </cell>
          <cell r="BK26">
            <v>-6713436</v>
          </cell>
        </row>
        <row r="27">
          <cell r="H27">
            <v>-52465000</v>
          </cell>
          <cell r="BK27">
            <v>-281023</v>
          </cell>
        </row>
        <row r="31">
          <cell r="H31">
            <v>5243353</v>
          </cell>
          <cell r="BK31">
            <v>7577210</v>
          </cell>
        </row>
        <row r="32">
          <cell r="H32">
            <v>-405928</v>
          </cell>
          <cell r="BK32">
            <v>-730496</v>
          </cell>
        </row>
        <row r="33">
          <cell r="H33">
            <v>-4880000</v>
          </cell>
          <cell r="BK33">
            <v>-6805000</v>
          </cell>
        </row>
        <row r="36">
          <cell r="H36">
            <v>1028268</v>
          </cell>
          <cell r="BK36">
            <v>1279237</v>
          </cell>
        </row>
        <row r="37">
          <cell r="H37">
            <v>-1028268</v>
          </cell>
          <cell r="BK37">
            <v>-1279237</v>
          </cell>
        </row>
        <row r="44">
          <cell r="H44">
            <v>92653000</v>
          </cell>
          <cell r="BK44">
            <v>0</v>
          </cell>
          <cell r="EC44">
            <v>0</v>
          </cell>
        </row>
        <row r="46">
          <cell r="H46">
            <v>107070000</v>
          </cell>
          <cell r="BK46">
            <v>0</v>
          </cell>
        </row>
        <row r="49">
          <cell r="H49">
            <v>-7961000</v>
          </cell>
          <cell r="BK49">
            <v>0</v>
          </cell>
        </row>
        <row r="50">
          <cell r="H50">
            <v>-6456000</v>
          </cell>
          <cell r="BK50">
            <v>0</v>
          </cell>
        </row>
        <row r="67">
          <cell r="H67">
            <v>-52440099.997653</v>
          </cell>
          <cell r="BK67">
            <v>-16055785.20701997</v>
          </cell>
          <cell r="EC67">
            <v>-28811986.091639996</v>
          </cell>
        </row>
        <row r="70">
          <cell r="H70">
            <v>0</v>
          </cell>
          <cell r="BK70">
            <v>-1550683</v>
          </cell>
        </row>
        <row r="71">
          <cell r="H71">
            <v>0</v>
          </cell>
          <cell r="BK71">
            <v>0</v>
          </cell>
        </row>
        <row r="72">
          <cell r="H72">
            <v>6516232.0023469981</v>
          </cell>
          <cell r="BK72">
            <v>1022787</v>
          </cell>
        </row>
        <row r="73">
          <cell r="H73">
            <v>0</v>
          </cell>
          <cell r="BK73">
            <v>0</v>
          </cell>
        </row>
      </sheetData>
      <sheetData sheetId="1"/>
      <sheetData sheetId="2"/>
      <sheetData sheetId="3"/>
      <sheetData sheetId="4">
        <row r="18">
          <cell r="H18">
            <v>160266000</v>
          </cell>
          <cell r="BK18">
            <v>141649872</v>
          </cell>
        </row>
        <row r="19">
          <cell r="H19">
            <v>134352000</v>
          </cell>
          <cell r="BK19">
            <v>248701670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13">
          <cell r="M13">
            <v>37582688</v>
          </cell>
          <cell r="BZ13">
            <v>36077502</v>
          </cell>
          <cell r="CE13">
            <v>32089095</v>
          </cell>
        </row>
        <row r="23">
          <cell r="M23">
            <v>32850713</v>
          </cell>
        </row>
        <row r="25">
          <cell r="M25">
            <v>38350619</v>
          </cell>
          <cell r="BZ25">
            <v>335517549</v>
          </cell>
          <cell r="CE25">
            <v>20725876</v>
          </cell>
        </row>
        <row r="26">
          <cell r="M26">
            <v>-4299769</v>
          </cell>
          <cell r="BZ26">
            <v>-29779023</v>
          </cell>
          <cell r="CE26">
            <v>-1256954</v>
          </cell>
        </row>
        <row r="28">
          <cell r="M28">
            <v>-1200137</v>
          </cell>
          <cell r="BZ28">
            <v>-19427655</v>
          </cell>
          <cell r="CE28">
            <v>-334512</v>
          </cell>
        </row>
        <row r="32">
          <cell r="M32">
            <v>0</v>
          </cell>
          <cell r="BZ32">
            <v>14152656</v>
          </cell>
          <cell r="CE32">
            <v>0</v>
          </cell>
        </row>
        <row r="33">
          <cell r="M33">
            <v>0</v>
          </cell>
          <cell r="BZ33">
            <v>-1646946</v>
          </cell>
          <cell r="CE33">
            <v>0</v>
          </cell>
        </row>
        <row r="34">
          <cell r="M34">
            <v>0</v>
          </cell>
          <cell r="BZ34">
            <v>-12795000</v>
          </cell>
          <cell r="CE34">
            <v>0</v>
          </cell>
        </row>
        <row r="37">
          <cell r="M37">
            <v>487336</v>
          </cell>
          <cell r="BZ37">
            <v>4361282</v>
          </cell>
          <cell r="CE37">
            <v>3109689</v>
          </cell>
        </row>
        <row r="38">
          <cell r="M38">
            <v>-487336</v>
          </cell>
          <cell r="BZ38">
            <v>-4361282</v>
          </cell>
          <cell r="CE38">
            <v>-3109689</v>
          </cell>
        </row>
        <row r="45">
          <cell r="M45">
            <v>-777665</v>
          </cell>
        </row>
        <row r="47">
          <cell r="M47">
            <v>0</v>
          </cell>
          <cell r="BZ47">
            <v>76052000</v>
          </cell>
        </row>
        <row r="48">
          <cell r="M48">
            <v>0</v>
          </cell>
          <cell r="BZ48">
            <v>0</v>
          </cell>
        </row>
        <row r="50">
          <cell r="M50">
            <v>-391647</v>
          </cell>
          <cell r="BZ50">
            <v>-26952291</v>
          </cell>
        </row>
        <row r="51">
          <cell r="M51">
            <v>-386018</v>
          </cell>
          <cell r="BZ51">
            <v>-24276666</v>
          </cell>
        </row>
        <row r="68">
          <cell r="M68">
            <v>-18499278.953769997</v>
          </cell>
        </row>
        <row r="71">
          <cell r="M71">
            <v>34143659</v>
          </cell>
          <cell r="BZ71">
            <v>-17008126</v>
          </cell>
        </row>
        <row r="72">
          <cell r="M72">
            <v>0</v>
          </cell>
        </row>
        <row r="73">
          <cell r="M73">
            <v>0</v>
          </cell>
          <cell r="BZ73">
            <v>11826596</v>
          </cell>
        </row>
        <row r="74">
          <cell r="M74">
            <v>0</v>
          </cell>
          <cell r="BZ74">
            <v>-372703</v>
          </cell>
        </row>
      </sheetData>
      <sheetData sheetId="1"/>
      <sheetData sheetId="2"/>
      <sheetData sheetId="3"/>
      <sheetData sheetId="4">
        <row r="14">
          <cell r="BZ14">
            <v>174717635</v>
          </cell>
          <cell r="CE14">
            <v>174717635</v>
          </cell>
        </row>
        <row r="15">
          <cell r="BZ15">
            <v>63418018</v>
          </cell>
          <cell r="CE15">
            <v>63418018</v>
          </cell>
        </row>
        <row r="18">
          <cell r="M18">
            <v>188398825</v>
          </cell>
          <cell r="BZ18">
            <v>191125443</v>
          </cell>
          <cell r="CE18">
            <v>171432024</v>
          </cell>
        </row>
        <row r="19">
          <cell r="M19">
            <v>65747013</v>
          </cell>
          <cell r="BZ19">
            <v>44536225</v>
          </cell>
          <cell r="CE19">
            <v>27541644</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R13">
            <v>16125619</v>
          </cell>
          <cell r="CJ13">
            <v>12375928</v>
          </cell>
        </row>
        <row r="23">
          <cell r="R23">
            <v>40638036.743999995</v>
          </cell>
          <cell r="CJ23">
            <v>24383035</v>
          </cell>
        </row>
        <row r="25">
          <cell r="R25">
            <v>45031287.743999995</v>
          </cell>
        </row>
        <row r="26">
          <cell r="R26">
            <v>-4058204</v>
          </cell>
        </row>
        <row r="27">
          <cell r="R27">
            <v>-335047</v>
          </cell>
        </row>
        <row r="32">
          <cell r="R32">
            <v>0</v>
          </cell>
        </row>
        <row r="33">
          <cell r="R33">
            <v>0</v>
          </cell>
        </row>
        <row r="36">
          <cell r="R36">
            <v>29682</v>
          </cell>
        </row>
        <row r="37">
          <cell r="R37">
            <v>-29682</v>
          </cell>
        </row>
        <row r="45">
          <cell r="R45">
            <v>-4931986</v>
          </cell>
          <cell r="CJ45">
            <v>-25247385</v>
          </cell>
        </row>
        <row r="47">
          <cell r="R47">
            <v>0</v>
          </cell>
        </row>
        <row r="49">
          <cell r="R49">
            <v>-1962723</v>
          </cell>
        </row>
        <row r="50">
          <cell r="R50">
            <v>-2969263</v>
          </cell>
        </row>
        <row r="67">
          <cell r="R67">
            <v>537410.36356998235</v>
          </cell>
          <cell r="CJ67">
            <v>6028814.930979982</v>
          </cell>
        </row>
      </sheetData>
      <sheetData sheetId="1" refreshError="1"/>
      <sheetData sheetId="2" refreshError="1"/>
      <sheetData sheetId="3" refreshError="1"/>
      <sheetData sheetId="4" refreshError="1">
        <row r="18">
          <cell r="R18">
            <v>183966537</v>
          </cell>
        </row>
        <row r="19">
          <cell r="R19">
            <v>66829447</v>
          </cell>
        </row>
        <row r="23">
          <cell r="R23">
            <v>-4349966</v>
          </cell>
        </row>
        <row r="25">
          <cell r="R25">
            <v>0</v>
          </cell>
        </row>
        <row r="27">
          <cell r="R27">
            <v>871744.25600000005</v>
          </cell>
        </row>
        <row r="32">
          <cell r="R32">
            <v>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W13">
            <v>11567828</v>
          </cell>
          <cell r="CO13">
            <v>21645154</v>
          </cell>
        </row>
        <row r="23">
          <cell r="W23">
            <v>43402900</v>
          </cell>
          <cell r="CO23">
            <v>19205091</v>
          </cell>
        </row>
        <row r="25">
          <cell r="W25">
            <v>49600848</v>
          </cell>
        </row>
        <row r="26">
          <cell r="W26">
            <v>-6085389</v>
          </cell>
        </row>
        <row r="27">
          <cell r="W27">
            <v>-112559</v>
          </cell>
        </row>
        <row r="31">
          <cell r="W31">
            <v>0</v>
          </cell>
        </row>
        <row r="32">
          <cell r="W32">
            <v>0</v>
          </cell>
        </row>
        <row r="33">
          <cell r="W33">
            <v>0</v>
          </cell>
        </row>
        <row r="36">
          <cell r="W36">
            <v>28489</v>
          </cell>
        </row>
        <row r="37">
          <cell r="W37">
            <v>-28489</v>
          </cell>
        </row>
        <row r="44">
          <cell r="W44">
            <v>-8699700</v>
          </cell>
          <cell r="CO44">
            <v>0</v>
          </cell>
        </row>
        <row r="46">
          <cell r="W46">
            <v>0</v>
          </cell>
        </row>
        <row r="47">
          <cell r="W47">
            <v>0</v>
          </cell>
        </row>
        <row r="49">
          <cell r="W49">
            <v>-5604275</v>
          </cell>
        </row>
        <row r="50">
          <cell r="W50">
            <v>-3095425</v>
          </cell>
        </row>
        <row r="67">
          <cell r="W67">
            <v>-23974845.376640022</v>
          </cell>
          <cell r="CO67">
            <v>-64456252.997280002</v>
          </cell>
        </row>
        <row r="70">
          <cell r="W70">
            <v>2527515</v>
          </cell>
        </row>
        <row r="71">
          <cell r="W71">
            <v>0</v>
          </cell>
        </row>
        <row r="72">
          <cell r="W72">
            <v>0</v>
          </cell>
        </row>
        <row r="73">
          <cell r="W73">
            <v>0</v>
          </cell>
        </row>
      </sheetData>
      <sheetData sheetId="1" refreshError="1"/>
      <sheetData sheetId="2" refreshError="1"/>
      <sheetData sheetId="3" refreshError="1"/>
      <sheetData sheetId="4" refreshError="1">
        <row r="18">
          <cell r="W18">
            <v>174786407</v>
          </cell>
        </row>
        <row r="19">
          <cell r="W19">
            <v>98982577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B13">
            <v>26289577</v>
          </cell>
          <cell r="CT13">
            <v>4387554</v>
          </cell>
        </row>
        <row r="23">
          <cell r="AB23">
            <v>60600922</v>
          </cell>
          <cell r="CT23">
            <v>22800224</v>
          </cell>
        </row>
        <row r="25">
          <cell r="AB25">
            <v>69933031</v>
          </cell>
        </row>
        <row r="26">
          <cell r="AB26">
            <v>-8992564</v>
          </cell>
        </row>
        <row r="27">
          <cell r="AB27">
            <v>-339545</v>
          </cell>
        </row>
        <row r="31">
          <cell r="AB31">
            <v>0</v>
          </cell>
        </row>
        <row r="32">
          <cell r="AB32">
            <v>0</v>
          </cell>
        </row>
        <row r="33">
          <cell r="AB33">
            <v>0</v>
          </cell>
        </row>
        <row r="36">
          <cell r="AB36">
            <v>0</v>
          </cell>
        </row>
        <row r="37">
          <cell r="AB37">
            <v>0</v>
          </cell>
        </row>
        <row r="44">
          <cell r="AB44">
            <v>86911584</v>
          </cell>
          <cell r="CT44">
            <v>0</v>
          </cell>
        </row>
        <row r="46">
          <cell r="AB46">
            <v>86911584</v>
          </cell>
        </row>
        <row r="47">
          <cell r="AB47">
            <v>0</v>
          </cell>
        </row>
        <row r="49">
          <cell r="AB49">
            <v>0</v>
          </cell>
        </row>
        <row r="50">
          <cell r="AB50">
            <v>0</v>
          </cell>
        </row>
        <row r="67">
          <cell r="AB67">
            <v>-39272434.960170001</v>
          </cell>
          <cell r="CT67">
            <v>71916201.470700011</v>
          </cell>
        </row>
        <row r="70">
          <cell r="AB70">
            <v>-24856159</v>
          </cell>
        </row>
        <row r="71">
          <cell r="AB71">
            <v>0</v>
          </cell>
        </row>
        <row r="72">
          <cell r="AB72">
            <v>126224</v>
          </cell>
        </row>
        <row r="73">
          <cell r="AB73">
            <v>-22185</v>
          </cell>
        </row>
      </sheetData>
      <sheetData sheetId="1" refreshError="1"/>
      <sheetData sheetId="2" refreshError="1"/>
      <sheetData sheetId="3" refreshError="1"/>
      <sheetData sheetId="4" refreshError="1">
        <row r="9">
          <cell r="H9" t="str">
            <v xml:space="preserve">Revised  </v>
          </cell>
        </row>
        <row r="14">
          <cell r="H14">
            <v>191125443</v>
          </cell>
        </row>
        <row r="15">
          <cell r="H15">
            <v>44536225</v>
          </cell>
        </row>
        <row r="18">
          <cell r="AB18">
            <v>216993276</v>
          </cell>
        </row>
        <row r="19">
          <cell r="AB19">
            <v>110425495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G13">
            <v>-5974831</v>
          </cell>
          <cell r="CY13">
            <v>10613091</v>
          </cell>
        </row>
        <row r="23">
          <cell r="AG23">
            <v>37229982</v>
          </cell>
          <cell r="CY23">
            <v>28165310</v>
          </cell>
        </row>
        <row r="25">
          <cell r="AG25">
            <v>44319358</v>
          </cell>
        </row>
        <row r="26">
          <cell r="AG26">
            <v>-6877121</v>
          </cell>
        </row>
        <row r="27">
          <cell r="AG27">
            <v>-212255</v>
          </cell>
        </row>
        <row r="31">
          <cell r="AG31">
            <v>0</v>
          </cell>
        </row>
        <row r="32">
          <cell r="AG32">
            <v>0</v>
          </cell>
        </row>
        <row r="33">
          <cell r="AG33">
            <v>0</v>
          </cell>
        </row>
        <row r="36">
          <cell r="AG36">
            <v>41191</v>
          </cell>
        </row>
        <row r="37">
          <cell r="AG37">
            <v>-41191</v>
          </cell>
        </row>
        <row r="44">
          <cell r="AG44">
            <v>0</v>
          </cell>
          <cell r="CY44">
            <v>0</v>
          </cell>
        </row>
        <row r="46">
          <cell r="AG46">
            <v>0</v>
          </cell>
        </row>
        <row r="47">
          <cell r="AG47">
            <v>0</v>
          </cell>
        </row>
        <row r="49">
          <cell r="AG49">
            <v>0</v>
          </cell>
        </row>
        <row r="50">
          <cell r="AG50">
            <v>0</v>
          </cell>
        </row>
        <row r="67">
          <cell r="AG67">
            <v>32418642.456500009</v>
          </cell>
          <cell r="CY67">
            <v>-5938593.6452499926</v>
          </cell>
        </row>
        <row r="70">
          <cell r="AG70">
            <v>26866570</v>
          </cell>
        </row>
        <row r="71">
          <cell r="AG71">
            <v>0</v>
          </cell>
        </row>
        <row r="72">
          <cell r="AG72">
            <v>0</v>
          </cell>
        </row>
        <row r="73">
          <cell r="AG73">
            <v>0</v>
          </cell>
        </row>
      </sheetData>
      <sheetData sheetId="1" refreshError="1"/>
      <sheetData sheetId="2" refreshError="1"/>
      <sheetData sheetId="3" refreshError="1"/>
      <sheetData sheetId="4" refreshError="1">
        <row r="18">
          <cell r="AG18">
            <v>178904480</v>
          </cell>
        </row>
        <row r="19">
          <cell r="AG19">
            <v>106552857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L13">
            <v>1315362</v>
          </cell>
          <cell r="DD13">
            <v>-17323880</v>
          </cell>
        </row>
        <row r="23">
          <cell r="AL23">
            <v>50427153</v>
          </cell>
          <cell r="DD23">
            <v>29107369</v>
          </cell>
        </row>
        <row r="25">
          <cell r="AL25">
            <v>61486843</v>
          </cell>
        </row>
        <row r="26">
          <cell r="AL26">
            <v>-10836667</v>
          </cell>
        </row>
        <row r="27">
          <cell r="AL27">
            <v>-223023</v>
          </cell>
        </row>
        <row r="31">
          <cell r="AL31">
            <v>0</v>
          </cell>
        </row>
        <row r="32">
          <cell r="AL32">
            <v>0</v>
          </cell>
        </row>
        <row r="33">
          <cell r="AL33">
            <v>0</v>
          </cell>
        </row>
        <row r="36">
          <cell r="AL36">
            <v>18552</v>
          </cell>
        </row>
        <row r="37">
          <cell r="AL37">
            <v>-18552</v>
          </cell>
        </row>
        <row r="44">
          <cell r="AL44">
            <v>0</v>
          </cell>
          <cell r="DD44">
            <v>76052000</v>
          </cell>
        </row>
        <row r="46">
          <cell r="AL46">
            <v>0</v>
          </cell>
        </row>
        <row r="47">
          <cell r="AL47">
            <v>0</v>
          </cell>
        </row>
        <row r="49">
          <cell r="AL49">
            <v>0</v>
          </cell>
        </row>
        <row r="50">
          <cell r="AL50">
            <v>0</v>
          </cell>
        </row>
        <row r="67">
          <cell r="AL67">
            <v>-8875713.0291699618</v>
          </cell>
          <cell r="DD67">
            <v>-87185842.274320006</v>
          </cell>
        </row>
        <row r="70">
          <cell r="AL70">
            <v>-5977613</v>
          </cell>
        </row>
        <row r="71">
          <cell r="AL71">
            <v>0</v>
          </cell>
        </row>
        <row r="72">
          <cell r="AL72">
            <v>3836</v>
          </cell>
        </row>
        <row r="73">
          <cell r="AL73">
            <v>0</v>
          </cell>
        </row>
      </sheetData>
      <sheetData sheetId="1" refreshError="1"/>
      <sheetData sheetId="2" refreshError="1"/>
      <sheetData sheetId="3" refreshError="1"/>
      <sheetData sheetId="4" refreshError="1">
        <row r="18">
          <cell r="AL18">
            <v>162851119</v>
          </cell>
        </row>
        <row r="19">
          <cell r="AL19">
            <v>135858716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Q13">
            <v>31098565</v>
          </cell>
        </row>
        <row r="23">
          <cell r="AQ23">
            <v>50571945</v>
          </cell>
        </row>
        <row r="44">
          <cell r="AQ44">
            <v>5008164</v>
          </cell>
        </row>
        <row r="67">
          <cell r="AQ67">
            <v>-36949546.152860001</v>
          </cell>
        </row>
      </sheetData>
      <sheetData sheetId="1" refreshError="1"/>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V13">
            <v>295423</v>
          </cell>
        </row>
        <row r="23">
          <cell r="AV23">
            <v>39211461</v>
          </cell>
        </row>
        <row r="44">
          <cell r="AV44">
            <v>-6967</v>
          </cell>
        </row>
        <row r="67">
          <cell r="AV67">
            <v>-18096631.773589998</v>
          </cell>
          <cell r="BZ67">
            <v>-1669085.7470803251</v>
          </cell>
        </row>
        <row r="71">
          <cell r="BZ71">
            <v>2087301.7651195501</v>
          </cell>
        </row>
      </sheetData>
      <sheetData sheetId="1" refreshError="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BA13">
            <v>-33015782</v>
          </cell>
          <cell r="DS13">
            <v>-16508019</v>
          </cell>
        </row>
        <row r="23">
          <cell r="BA23">
            <v>45711722</v>
          </cell>
          <cell r="DS23">
            <v>23853310</v>
          </cell>
        </row>
        <row r="25">
          <cell r="BA25">
            <v>52191398</v>
          </cell>
        </row>
        <row r="26">
          <cell r="BA26">
            <v>-6333842</v>
          </cell>
        </row>
        <row r="27">
          <cell r="BA27">
            <v>-59957</v>
          </cell>
        </row>
        <row r="31">
          <cell r="BA31">
            <v>0</v>
          </cell>
        </row>
        <row r="32">
          <cell r="BA32">
            <v>0</v>
          </cell>
        </row>
        <row r="33">
          <cell r="BA33">
            <v>0</v>
          </cell>
        </row>
        <row r="36">
          <cell r="BA36">
            <v>204461</v>
          </cell>
        </row>
        <row r="37">
          <cell r="BA37">
            <v>-290338</v>
          </cell>
        </row>
        <row r="44">
          <cell r="BA44">
            <v>0</v>
          </cell>
          <cell r="DS44">
            <v>0</v>
          </cell>
        </row>
        <row r="46">
          <cell r="BA46">
            <v>0</v>
          </cell>
        </row>
        <row r="49">
          <cell r="BA49">
            <v>0</v>
          </cell>
        </row>
        <row r="50">
          <cell r="BA50">
            <v>0</v>
          </cell>
        </row>
        <row r="67">
          <cell r="BA67">
            <v>-17747258.769499987</v>
          </cell>
          <cell r="DS67">
            <v>-5176181.425060004</v>
          </cell>
        </row>
        <row r="70">
          <cell r="BA70">
            <v>-6539100</v>
          </cell>
        </row>
        <row r="71">
          <cell r="BA71">
            <v>0</v>
          </cell>
        </row>
        <row r="72">
          <cell r="BA72">
            <v>1620990</v>
          </cell>
        </row>
        <row r="73">
          <cell r="BA73">
            <v>0</v>
          </cell>
        </row>
      </sheetData>
      <sheetData sheetId="1" refreshError="1"/>
      <sheetData sheetId="2" refreshError="1"/>
      <sheetData sheetId="3" refreshError="1"/>
      <sheetData sheetId="4" refreshError="1">
        <row r="18">
          <cell r="BA18">
            <v>143765580</v>
          </cell>
        </row>
        <row r="19">
          <cell r="BA19">
            <v>234179335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L114">
            <v>62846312.960169993</v>
          </cell>
          <cell r="Z114">
            <v>73749809.529299989</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BF13">
            <v>15701292</v>
          </cell>
          <cell r="DX13">
            <v>13250851</v>
          </cell>
        </row>
        <row r="23">
          <cell r="BF23">
            <v>34673258</v>
          </cell>
          <cell r="DX23">
            <v>3150815</v>
          </cell>
        </row>
        <row r="25">
          <cell r="BF25">
            <v>39060638</v>
          </cell>
        </row>
        <row r="26">
          <cell r="BF26">
            <v>-3989426</v>
          </cell>
        </row>
        <row r="27">
          <cell r="BF27">
            <v>-397954</v>
          </cell>
        </row>
        <row r="31">
          <cell r="BF31">
            <v>0</v>
          </cell>
        </row>
        <row r="32">
          <cell r="BF32">
            <v>0</v>
          </cell>
        </row>
        <row r="33">
          <cell r="BF33">
            <v>0</v>
          </cell>
        </row>
        <row r="36">
          <cell r="BF36">
            <v>132680</v>
          </cell>
        </row>
        <row r="37">
          <cell r="BF37">
            <v>-132680</v>
          </cell>
        </row>
        <row r="44">
          <cell r="BF44">
            <v>0</v>
          </cell>
          <cell r="DX44">
            <v>0</v>
          </cell>
        </row>
        <row r="46">
          <cell r="BF46">
            <v>0</v>
          </cell>
        </row>
        <row r="49">
          <cell r="BF49">
            <v>0</v>
          </cell>
        </row>
        <row r="50">
          <cell r="BF50">
            <v>0</v>
          </cell>
        </row>
        <row r="67">
          <cell r="BF67">
            <v>25860728.776310012</v>
          </cell>
          <cell r="DX67">
            <v>31144738.333759978</v>
          </cell>
        </row>
        <row r="70">
          <cell r="BF70">
            <v>59957836</v>
          </cell>
        </row>
        <row r="71">
          <cell r="BF71">
            <v>0</v>
          </cell>
        </row>
        <row r="72">
          <cell r="BF72">
            <v>89678</v>
          </cell>
        </row>
        <row r="73">
          <cell r="BF73">
            <v>0</v>
          </cell>
        </row>
      </sheetData>
      <sheetData sheetId="1" refreshError="1"/>
      <sheetData sheetId="2" refreshError="1"/>
      <sheetData sheetId="3" refreshError="1"/>
      <sheetData sheetId="4" refreshError="1">
        <row r="18">
          <cell r="BF18">
            <v>142480438</v>
          </cell>
        </row>
        <row r="19">
          <cell r="BF19">
            <v>235884810</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ow r="8">
          <cell r="H8" t="str">
            <v>2020/21</v>
          </cell>
          <cell r="BZ8" t="str">
            <v>2019/20</v>
          </cell>
        </row>
        <row r="9">
          <cell r="H9" t="str">
            <v>Revised</v>
          </cell>
          <cell r="BZ9" t="str">
            <v>Audited</v>
          </cell>
        </row>
        <row r="13">
          <cell r="BP13">
            <v>7899997</v>
          </cell>
          <cell r="EH13">
            <v>-35857416</v>
          </cell>
        </row>
        <row r="23">
          <cell r="BP23">
            <v>-7569549</v>
          </cell>
          <cell r="EH23">
            <v>25417050</v>
          </cell>
        </row>
        <row r="25">
          <cell r="BP25">
            <v>48828037</v>
          </cell>
        </row>
        <row r="26">
          <cell r="BP26">
            <v>-6983980</v>
          </cell>
        </row>
        <row r="27">
          <cell r="BP27">
            <v>-49413606</v>
          </cell>
        </row>
        <row r="31">
          <cell r="BP31">
            <v>0</v>
          </cell>
        </row>
        <row r="32">
          <cell r="BP32">
            <v>0</v>
          </cell>
        </row>
        <row r="33">
          <cell r="BP33">
            <v>0</v>
          </cell>
        </row>
        <row r="36">
          <cell r="BP36">
            <v>2584491</v>
          </cell>
        </row>
        <row r="37">
          <cell r="BP37">
            <v>-2584491</v>
          </cell>
        </row>
        <row r="44">
          <cell r="BP44">
            <v>0</v>
          </cell>
          <cell r="EH44">
            <v>-24692267</v>
          </cell>
        </row>
        <row r="46">
          <cell r="BP46">
            <v>0</v>
          </cell>
        </row>
        <row r="49">
          <cell r="BP49">
            <v>0</v>
          </cell>
        </row>
        <row r="50">
          <cell r="BP50">
            <v>0</v>
          </cell>
        </row>
        <row r="67">
          <cell r="BP67">
            <v>29488304.623150021</v>
          </cell>
          <cell r="EH67">
            <v>85280804.057520032</v>
          </cell>
        </row>
        <row r="70">
          <cell r="BP70">
            <v>-80682653</v>
          </cell>
        </row>
        <row r="71">
          <cell r="BP71">
            <v>0</v>
          </cell>
          <cell r="EH71">
            <v>2087301.7651195501</v>
          </cell>
        </row>
        <row r="72">
          <cell r="BP72">
            <v>6347564</v>
          </cell>
        </row>
        <row r="73">
          <cell r="BP73">
            <v>-510</v>
          </cell>
        </row>
      </sheetData>
      <sheetData sheetId="1">
        <row r="9">
          <cell r="G9" t="str">
            <v>Revised</v>
          </cell>
          <cell r="BY9" t="str">
            <v>Audited</v>
          </cell>
        </row>
        <row r="13">
          <cell r="G13">
            <v>591023575</v>
          </cell>
          <cell r="L13">
            <v>38350619</v>
          </cell>
          <cell r="Q13">
            <v>45031287.743999995</v>
          </cell>
          <cell r="V13">
            <v>49600848</v>
          </cell>
          <cell r="AA13">
            <v>69933031</v>
          </cell>
          <cell r="AF13">
            <v>44319358</v>
          </cell>
          <cell r="AK13">
            <v>61486843</v>
          </cell>
          <cell r="AP13">
            <v>59931421</v>
          </cell>
          <cell r="AU13">
            <v>46634910</v>
          </cell>
          <cell r="AZ13">
            <v>52191398</v>
          </cell>
          <cell r="BE13">
            <v>39060638</v>
          </cell>
          <cell r="BJ13">
            <v>49399464</v>
          </cell>
          <cell r="BO13">
            <v>48828037</v>
          </cell>
          <cell r="BT13">
            <v>604767854.74399996</v>
          </cell>
          <cell r="BY13">
            <v>335517549</v>
          </cell>
          <cell r="CD13">
            <v>20725876</v>
          </cell>
          <cell r="CI13">
            <v>26579251</v>
          </cell>
          <cell r="CN13">
            <v>21124207</v>
          </cell>
          <cell r="CS13">
            <v>24760828</v>
          </cell>
          <cell r="CX13">
            <v>30904734</v>
          </cell>
          <cell r="DC13">
            <v>32089447</v>
          </cell>
          <cell r="DH13">
            <v>33970885</v>
          </cell>
          <cell r="DM13">
            <v>34588835</v>
          </cell>
          <cell r="DR13">
            <v>26476333</v>
          </cell>
          <cell r="DW13">
            <v>21562772</v>
          </cell>
          <cell r="EB13">
            <v>32267535</v>
          </cell>
          <cell r="EG13">
            <v>30466846</v>
          </cell>
          <cell r="EL13">
            <v>335517549</v>
          </cell>
        </row>
        <row r="14">
          <cell r="G14">
            <v>5243353</v>
          </cell>
          <cell r="L14">
            <v>0</v>
          </cell>
          <cell r="Q14">
            <v>0</v>
          </cell>
          <cell r="V14">
            <v>0</v>
          </cell>
          <cell r="AA14">
            <v>0</v>
          </cell>
          <cell r="AF14">
            <v>0</v>
          </cell>
          <cell r="AK14">
            <v>0</v>
          </cell>
          <cell r="AP14">
            <v>0</v>
          </cell>
          <cell r="AU14">
            <v>0</v>
          </cell>
          <cell r="AZ14">
            <v>0</v>
          </cell>
          <cell r="BE14">
            <v>0</v>
          </cell>
          <cell r="BJ14">
            <v>7577210</v>
          </cell>
          <cell r="BO14">
            <v>0</v>
          </cell>
          <cell r="BT14">
            <v>7577210</v>
          </cell>
          <cell r="BY14">
            <v>14152656</v>
          </cell>
          <cell r="CD14">
            <v>0</v>
          </cell>
          <cell r="CI14">
            <v>14152656</v>
          </cell>
          <cell r="CN14">
            <v>0</v>
          </cell>
          <cell r="CS14">
            <v>0</v>
          </cell>
          <cell r="CX14">
            <v>0</v>
          </cell>
          <cell r="DC14">
            <v>0</v>
          </cell>
          <cell r="DH14">
            <v>0</v>
          </cell>
          <cell r="DM14">
            <v>0</v>
          </cell>
          <cell r="DR14">
            <v>0</v>
          </cell>
          <cell r="DW14">
            <v>0</v>
          </cell>
          <cell r="EB14">
            <v>0</v>
          </cell>
          <cell r="EG14">
            <v>0</v>
          </cell>
          <cell r="EL14">
            <v>14152656</v>
          </cell>
        </row>
        <row r="15">
          <cell r="G15">
            <v>1028268</v>
          </cell>
          <cell r="L15">
            <v>487336</v>
          </cell>
          <cell r="Q15">
            <v>29682</v>
          </cell>
          <cell r="V15">
            <v>28489</v>
          </cell>
          <cell r="AA15">
            <v>0</v>
          </cell>
          <cell r="AF15">
            <v>41191</v>
          </cell>
          <cell r="AK15">
            <v>18552</v>
          </cell>
          <cell r="AP15">
            <v>0</v>
          </cell>
          <cell r="AU15">
            <v>85877</v>
          </cell>
          <cell r="AZ15">
            <v>204461</v>
          </cell>
          <cell r="BE15">
            <v>132680</v>
          </cell>
          <cell r="BJ15">
            <v>1279237</v>
          </cell>
          <cell r="BO15">
            <v>2584491</v>
          </cell>
          <cell r="BT15">
            <v>4891996</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4361282</v>
          </cell>
        </row>
        <row r="16">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20">
          <cell r="G20">
            <v>72524000</v>
          </cell>
          <cell r="L20">
            <v>4299769</v>
          </cell>
          <cell r="Q20">
            <v>4058204</v>
          </cell>
          <cell r="V20">
            <v>6085389</v>
          </cell>
          <cell r="AA20">
            <v>8992564</v>
          </cell>
          <cell r="AF20">
            <v>6877121</v>
          </cell>
          <cell r="AK20">
            <v>10836667</v>
          </cell>
          <cell r="AP20">
            <v>9026146</v>
          </cell>
          <cell r="AU20">
            <v>7195171</v>
          </cell>
          <cell r="AZ20">
            <v>6333842</v>
          </cell>
          <cell r="BE20">
            <v>3989426</v>
          </cell>
          <cell r="BJ20">
            <v>6713436</v>
          </cell>
          <cell r="BO20">
            <v>6983980</v>
          </cell>
          <cell r="BT20">
            <v>81391715</v>
          </cell>
          <cell r="BY20">
            <v>29779023</v>
          </cell>
          <cell r="CD20">
            <v>1256954</v>
          </cell>
          <cell r="CI20">
            <v>1652532</v>
          </cell>
          <cell r="CN20">
            <v>1668026</v>
          </cell>
          <cell r="CS20">
            <v>1721005</v>
          </cell>
          <cell r="CX20">
            <v>2422421</v>
          </cell>
          <cell r="DC20">
            <v>2517677</v>
          </cell>
          <cell r="DH20">
            <v>2852893</v>
          </cell>
          <cell r="DM20">
            <v>3497342</v>
          </cell>
          <cell r="DR20">
            <v>2287072</v>
          </cell>
          <cell r="DW20">
            <v>2282238</v>
          </cell>
          <cell r="EB20">
            <v>2868557</v>
          </cell>
          <cell r="EG20">
            <v>4752306</v>
          </cell>
          <cell r="EL20">
            <v>29779023</v>
          </cell>
        </row>
        <row r="217">
          <cell r="G217">
            <v>405928</v>
          </cell>
          <cell r="L217">
            <v>0</v>
          </cell>
          <cell r="Q217">
            <v>0</v>
          </cell>
          <cell r="V217">
            <v>0</v>
          </cell>
          <cell r="AA217">
            <v>0</v>
          </cell>
          <cell r="AF217">
            <v>0</v>
          </cell>
          <cell r="AK217">
            <v>0</v>
          </cell>
          <cell r="AP217">
            <v>0</v>
          </cell>
          <cell r="AU217">
            <v>0</v>
          </cell>
          <cell r="AZ217">
            <v>0</v>
          </cell>
          <cell r="BE217">
            <v>0</v>
          </cell>
          <cell r="BJ217">
            <v>730496</v>
          </cell>
          <cell r="BO217">
            <v>0</v>
          </cell>
          <cell r="BT217">
            <v>730496</v>
          </cell>
          <cell r="BY217">
            <v>1646946</v>
          </cell>
          <cell r="CD217">
            <v>0</v>
          </cell>
          <cell r="CI217">
            <v>1646946</v>
          </cell>
          <cell r="CN217">
            <v>0</v>
          </cell>
          <cell r="CS217">
            <v>0</v>
          </cell>
          <cell r="CX217">
            <v>0</v>
          </cell>
          <cell r="DC217">
            <v>0</v>
          </cell>
          <cell r="DH217">
            <v>0</v>
          </cell>
          <cell r="DM217">
            <v>0</v>
          </cell>
          <cell r="DR217">
            <v>0</v>
          </cell>
          <cell r="DW217">
            <v>0</v>
          </cell>
          <cell r="EB217">
            <v>0</v>
          </cell>
          <cell r="EG217">
            <v>0</v>
          </cell>
          <cell r="EL217">
            <v>1646946</v>
          </cell>
        </row>
        <row r="292">
          <cell r="D292" t="str">
            <v xml:space="preserve">  R2044 (8.75%  2044-45-46/01/31)</v>
          </cell>
        </row>
        <row r="307">
          <cell r="D307" t="str">
            <v xml:space="preserve">  R210 (2.60%  2028/03/31)</v>
          </cell>
        </row>
        <row r="310">
          <cell r="D310" t="str">
            <v xml:space="preserve">  R2037  (8.50%  2037/01/31)</v>
          </cell>
        </row>
        <row r="336">
          <cell r="D336" t="str">
            <v xml:space="preserve">  R209  (6.25%  2036/03/31)</v>
          </cell>
        </row>
      </sheetData>
      <sheetData sheetId="2">
        <row r="9">
          <cell r="G9" t="str">
            <v>Revised</v>
          </cell>
          <cell r="BY9" t="str">
            <v>Audited</v>
          </cell>
        </row>
        <row r="13">
          <cell r="G13">
            <v>52465000</v>
          </cell>
          <cell r="L13">
            <v>1200137</v>
          </cell>
          <cell r="Q13">
            <v>335047</v>
          </cell>
          <cell r="V13">
            <v>112559</v>
          </cell>
          <cell r="AA13">
            <v>339545</v>
          </cell>
          <cell r="AF13">
            <v>212255</v>
          </cell>
          <cell r="AK13">
            <v>223023</v>
          </cell>
          <cell r="AP13">
            <v>333330</v>
          </cell>
          <cell r="AU13">
            <v>314155</v>
          </cell>
          <cell r="AZ13">
            <v>59957</v>
          </cell>
          <cell r="BE13">
            <v>397954</v>
          </cell>
          <cell r="BJ13">
            <v>281023</v>
          </cell>
          <cell r="BO13">
            <v>49413606</v>
          </cell>
          <cell r="BT13">
            <v>53222591</v>
          </cell>
          <cell r="BY13">
            <v>19427655</v>
          </cell>
          <cell r="CD13">
            <v>334512</v>
          </cell>
          <cell r="CI13">
            <v>254394</v>
          </cell>
          <cell r="CN13">
            <v>251090</v>
          </cell>
          <cell r="CS13">
            <v>239599</v>
          </cell>
          <cell r="CX13">
            <v>317003</v>
          </cell>
          <cell r="DC13">
            <v>464401</v>
          </cell>
          <cell r="DH13">
            <v>190972</v>
          </cell>
          <cell r="DM13">
            <v>372701</v>
          </cell>
          <cell r="DR13">
            <v>335951</v>
          </cell>
          <cell r="DW13">
            <v>16129719</v>
          </cell>
          <cell r="EB13">
            <v>239823</v>
          </cell>
          <cell r="EG13">
            <v>297490</v>
          </cell>
          <cell r="EL13">
            <v>19427655</v>
          </cell>
        </row>
        <row r="14">
          <cell r="G14">
            <v>4880000</v>
          </cell>
          <cell r="L14">
            <v>0</v>
          </cell>
          <cell r="Q14">
            <v>0</v>
          </cell>
          <cell r="V14">
            <v>0</v>
          </cell>
          <cell r="AA14">
            <v>0</v>
          </cell>
          <cell r="AF14">
            <v>0</v>
          </cell>
          <cell r="AK14">
            <v>0</v>
          </cell>
          <cell r="AP14">
            <v>0</v>
          </cell>
          <cell r="AU14">
            <v>0</v>
          </cell>
          <cell r="AZ14">
            <v>0</v>
          </cell>
          <cell r="BE14">
            <v>0</v>
          </cell>
          <cell r="BJ14">
            <v>6805000</v>
          </cell>
          <cell r="BO14">
            <v>0</v>
          </cell>
          <cell r="BT14">
            <v>6805000</v>
          </cell>
          <cell r="BY14">
            <v>12795000</v>
          </cell>
          <cell r="CD14">
            <v>0</v>
          </cell>
          <cell r="CI14">
            <v>12795000</v>
          </cell>
          <cell r="CN14">
            <v>0</v>
          </cell>
          <cell r="CS14">
            <v>0</v>
          </cell>
          <cell r="CX14">
            <v>0</v>
          </cell>
          <cell r="DC14">
            <v>0</v>
          </cell>
          <cell r="DH14">
            <v>0</v>
          </cell>
          <cell r="DM14">
            <v>0</v>
          </cell>
          <cell r="DR14">
            <v>0</v>
          </cell>
          <cell r="DW14">
            <v>0</v>
          </cell>
          <cell r="EB14">
            <v>0</v>
          </cell>
          <cell r="EG14">
            <v>0</v>
          </cell>
          <cell r="EL14">
            <v>12795000</v>
          </cell>
        </row>
        <row r="15">
          <cell r="G15">
            <v>1028268</v>
          </cell>
          <cell r="L15">
            <v>487336</v>
          </cell>
          <cell r="Q15">
            <v>29682</v>
          </cell>
          <cell r="V15">
            <v>28489</v>
          </cell>
          <cell r="AA15">
            <v>0</v>
          </cell>
          <cell r="AF15">
            <v>41191</v>
          </cell>
          <cell r="AK15">
            <v>18552</v>
          </cell>
          <cell r="AP15">
            <v>0</v>
          </cell>
          <cell r="AU15">
            <v>0</v>
          </cell>
          <cell r="AZ15">
            <v>290338</v>
          </cell>
          <cell r="BE15">
            <v>132680</v>
          </cell>
          <cell r="BJ15">
            <v>1279237</v>
          </cell>
          <cell r="BO15">
            <v>2584491</v>
          </cell>
          <cell r="BT15">
            <v>4891996</v>
          </cell>
          <cell r="BY15">
            <v>4361282</v>
          </cell>
          <cell r="CD15">
            <v>3109689</v>
          </cell>
          <cell r="CI15">
            <v>0</v>
          </cell>
          <cell r="CN15">
            <v>0</v>
          </cell>
          <cell r="CS15">
            <v>0</v>
          </cell>
          <cell r="CX15">
            <v>289217</v>
          </cell>
          <cell r="DC15">
            <v>235010</v>
          </cell>
          <cell r="DH15">
            <v>0</v>
          </cell>
          <cell r="DM15">
            <v>64127</v>
          </cell>
          <cell r="DR15">
            <v>0</v>
          </cell>
          <cell r="DW15">
            <v>0</v>
          </cell>
          <cell r="EB15">
            <v>0</v>
          </cell>
          <cell r="EG15">
            <v>663239</v>
          </cell>
          <cell r="EL15">
            <v>4361282</v>
          </cell>
        </row>
        <row r="16">
          <cell r="G16">
            <v>0</v>
          </cell>
          <cell r="L16">
            <v>0</v>
          </cell>
          <cell r="Q16">
            <v>0</v>
          </cell>
          <cell r="V16">
            <v>0</v>
          </cell>
          <cell r="AA16">
            <v>0</v>
          </cell>
          <cell r="AF16">
            <v>0</v>
          </cell>
          <cell r="AK16">
            <v>0</v>
          </cell>
          <cell r="AP16">
            <v>0</v>
          </cell>
          <cell r="AU16">
            <v>0</v>
          </cell>
          <cell r="AZ16">
            <v>0</v>
          </cell>
          <cell r="BE16">
            <v>0</v>
          </cell>
          <cell r="BJ16">
            <v>0</v>
          </cell>
          <cell r="BO16">
            <v>0</v>
          </cell>
          <cell r="BT16">
            <v>0</v>
          </cell>
          <cell r="CD16">
            <v>0</v>
          </cell>
          <cell r="CI16">
            <v>0</v>
          </cell>
          <cell r="CN16">
            <v>0</v>
          </cell>
          <cell r="CS16">
            <v>0</v>
          </cell>
          <cell r="CX16">
            <v>0</v>
          </cell>
          <cell r="DC16">
            <v>0</v>
          </cell>
          <cell r="DH16">
            <v>0</v>
          </cell>
          <cell r="DM16">
            <v>0</v>
          </cell>
          <cell r="DR16">
            <v>0</v>
          </cell>
          <cell r="DW16">
            <v>0</v>
          </cell>
          <cell r="EB16">
            <v>0</v>
          </cell>
          <cell r="EG16">
            <v>0</v>
          </cell>
          <cell r="EL16">
            <v>0</v>
          </cell>
        </row>
        <row r="32">
          <cell r="G32">
            <v>0</v>
          </cell>
          <cell r="L32">
            <v>0</v>
          </cell>
          <cell r="Q32">
            <v>0</v>
          </cell>
          <cell r="V32">
            <v>0</v>
          </cell>
          <cell r="AA32">
            <v>0</v>
          </cell>
          <cell r="AF32">
            <v>0</v>
          </cell>
          <cell r="AK32">
            <v>0</v>
          </cell>
          <cell r="AP32">
            <v>0</v>
          </cell>
          <cell r="AU32">
            <v>0</v>
          </cell>
          <cell r="AZ32">
            <v>0</v>
          </cell>
          <cell r="BE32">
            <v>0</v>
          </cell>
          <cell r="BJ32">
            <v>0</v>
          </cell>
          <cell r="BO32">
            <v>0</v>
          </cell>
          <cell r="BT32">
            <v>0</v>
          </cell>
          <cell r="BY32">
            <v>0</v>
          </cell>
          <cell r="CD32">
            <v>0</v>
          </cell>
          <cell r="CI32">
            <v>0</v>
          </cell>
          <cell r="CN32">
            <v>0</v>
          </cell>
          <cell r="CS32">
            <v>0</v>
          </cell>
          <cell r="CX32">
            <v>0</v>
          </cell>
          <cell r="DC32">
            <v>0</v>
          </cell>
          <cell r="DH32">
            <v>0</v>
          </cell>
          <cell r="DM32">
            <v>0</v>
          </cell>
          <cell r="DR32">
            <v>0</v>
          </cell>
          <cell r="DW32">
            <v>0</v>
          </cell>
          <cell r="EB32">
            <v>0</v>
          </cell>
          <cell r="EG32">
            <v>0</v>
          </cell>
          <cell r="EL32">
            <v>0</v>
          </cell>
        </row>
        <row r="86">
          <cell r="D86" t="str">
            <v xml:space="preserve">  I2029 (1.875%  2029/03/31)</v>
          </cell>
        </row>
        <row r="124">
          <cell r="G124">
            <v>0</v>
          </cell>
          <cell r="L124">
            <v>0</v>
          </cell>
          <cell r="Q124">
            <v>0</v>
          </cell>
          <cell r="V124">
            <v>0</v>
          </cell>
          <cell r="AA124">
            <v>0</v>
          </cell>
          <cell r="AF124">
            <v>0</v>
          </cell>
          <cell r="AK124">
            <v>0</v>
          </cell>
          <cell r="AP124">
            <v>0</v>
          </cell>
          <cell r="AU124">
            <v>0</v>
          </cell>
          <cell r="AZ124">
            <v>0</v>
          </cell>
          <cell r="BE124">
            <v>0</v>
          </cell>
          <cell r="BJ124">
            <v>0</v>
          </cell>
          <cell r="BO124">
            <v>0</v>
          </cell>
          <cell r="BT124">
            <v>0</v>
          </cell>
          <cell r="CD124">
            <v>0</v>
          </cell>
          <cell r="CI124">
            <v>0</v>
          </cell>
          <cell r="CN124">
            <v>0</v>
          </cell>
          <cell r="CS124">
            <v>0</v>
          </cell>
          <cell r="CX124">
            <v>0</v>
          </cell>
          <cell r="DC124">
            <v>0</v>
          </cell>
          <cell r="DH124">
            <v>0</v>
          </cell>
          <cell r="DM124">
            <v>0</v>
          </cell>
          <cell r="DR124">
            <v>0</v>
          </cell>
          <cell r="DW124">
            <v>0</v>
          </cell>
          <cell r="EB124">
            <v>0</v>
          </cell>
          <cell r="EG124">
            <v>0</v>
          </cell>
          <cell r="EL124">
            <v>0</v>
          </cell>
        </row>
        <row r="211">
          <cell r="BV211">
            <v>0</v>
          </cell>
        </row>
      </sheetData>
      <sheetData sheetId="3">
        <row r="9">
          <cell r="G9" t="str">
            <v>Revised</v>
          </cell>
          <cell r="BY9" t="str">
            <v>Audited</v>
          </cell>
        </row>
        <row r="13">
          <cell r="BY13">
            <v>76052000</v>
          </cell>
        </row>
        <row r="17">
          <cell r="G17">
            <v>107070000</v>
          </cell>
          <cell r="L17">
            <v>0</v>
          </cell>
          <cell r="Q17">
            <v>0</v>
          </cell>
          <cell r="V17">
            <v>0</v>
          </cell>
          <cell r="AA17">
            <v>86911584</v>
          </cell>
          <cell r="AF17">
            <v>0</v>
          </cell>
          <cell r="AK17">
            <v>0</v>
          </cell>
          <cell r="AP17">
            <v>5008164</v>
          </cell>
          <cell r="AU17">
            <v>0</v>
          </cell>
          <cell r="AZ17">
            <v>0</v>
          </cell>
          <cell r="BE17">
            <v>0</v>
          </cell>
          <cell r="BJ17">
            <v>0</v>
          </cell>
          <cell r="BO17">
            <v>0</v>
          </cell>
          <cell r="BT17">
            <v>91919748</v>
          </cell>
          <cell r="CD17">
            <v>0</v>
          </cell>
          <cell r="CI17">
            <v>0</v>
          </cell>
          <cell r="CN17">
            <v>0</v>
          </cell>
          <cell r="CS17">
            <v>0</v>
          </cell>
          <cell r="CX17">
            <v>0</v>
          </cell>
          <cell r="DC17">
            <v>76052000</v>
          </cell>
          <cell r="DH17">
            <v>0</v>
          </cell>
          <cell r="DM17">
            <v>0</v>
          </cell>
          <cell r="DR17">
            <v>0</v>
          </cell>
          <cell r="DW17">
            <v>0</v>
          </cell>
          <cell r="EB17">
            <v>0</v>
          </cell>
          <cell r="EG17">
            <v>0</v>
          </cell>
          <cell r="EL17">
            <v>76052000</v>
          </cell>
        </row>
        <row r="19">
          <cell r="G19">
            <v>0</v>
          </cell>
          <cell r="L19">
            <v>0</v>
          </cell>
          <cell r="Q19">
            <v>0</v>
          </cell>
          <cell r="V19">
            <v>0</v>
          </cell>
          <cell r="AA19">
            <v>0</v>
          </cell>
          <cell r="AF19">
            <v>0</v>
          </cell>
          <cell r="AK19">
            <v>0</v>
          </cell>
          <cell r="AP19">
            <v>0</v>
          </cell>
          <cell r="AU19">
            <v>0</v>
          </cell>
          <cell r="AZ19">
            <v>0</v>
          </cell>
          <cell r="BE19">
            <v>0</v>
          </cell>
          <cell r="BJ19">
            <v>0</v>
          </cell>
          <cell r="BO19">
            <v>0</v>
          </cell>
          <cell r="BT19">
            <v>0</v>
          </cell>
          <cell r="BY19">
            <v>0</v>
          </cell>
          <cell r="CD19">
            <v>0</v>
          </cell>
          <cell r="CI19">
            <v>0</v>
          </cell>
          <cell r="CN19">
            <v>0</v>
          </cell>
          <cell r="CS19">
            <v>0</v>
          </cell>
          <cell r="CX19">
            <v>0</v>
          </cell>
          <cell r="DC19">
            <v>0</v>
          </cell>
          <cell r="DH19">
            <v>0</v>
          </cell>
          <cell r="DM19">
            <v>0</v>
          </cell>
          <cell r="DR19">
            <v>0</v>
          </cell>
          <cell r="DW19">
            <v>0</v>
          </cell>
          <cell r="EB19">
            <v>0</v>
          </cell>
          <cell r="EG19">
            <v>0</v>
          </cell>
          <cell r="EL19">
            <v>0</v>
          </cell>
        </row>
        <row r="62">
          <cell r="G62">
            <v>0</v>
          </cell>
          <cell r="L62">
            <v>0</v>
          </cell>
          <cell r="Q62">
            <v>0</v>
          </cell>
          <cell r="V62">
            <v>0</v>
          </cell>
          <cell r="AA62">
            <v>0</v>
          </cell>
          <cell r="AF62">
            <v>0</v>
          </cell>
          <cell r="AK62">
            <v>0</v>
          </cell>
          <cell r="AP62">
            <v>0</v>
          </cell>
          <cell r="AU62">
            <v>0</v>
          </cell>
          <cell r="AZ62">
            <v>0</v>
          </cell>
          <cell r="BE62">
            <v>0</v>
          </cell>
          <cell r="BJ62">
            <v>0</v>
          </cell>
          <cell r="BO62">
            <v>0</v>
          </cell>
          <cell r="BT62">
            <v>0</v>
          </cell>
          <cell r="CD62">
            <v>0</v>
          </cell>
          <cell r="CI62">
            <v>0</v>
          </cell>
          <cell r="CN62">
            <v>0</v>
          </cell>
          <cell r="CS62">
            <v>0</v>
          </cell>
          <cell r="CX62">
            <v>0</v>
          </cell>
          <cell r="DC62">
            <v>0</v>
          </cell>
          <cell r="DH62">
            <v>0</v>
          </cell>
          <cell r="DM62">
            <v>0</v>
          </cell>
          <cell r="DR62">
            <v>0</v>
          </cell>
          <cell r="DW62">
            <v>0</v>
          </cell>
          <cell r="EB62">
            <v>0</v>
          </cell>
          <cell r="EG62">
            <v>0</v>
          </cell>
          <cell r="EL62">
            <v>0</v>
          </cell>
        </row>
        <row r="63">
          <cell r="BY63">
            <v>0</v>
          </cell>
        </row>
        <row r="64">
          <cell r="G64">
            <v>0</v>
          </cell>
          <cell r="L64">
            <v>0</v>
          </cell>
          <cell r="Q64">
            <v>0</v>
          </cell>
          <cell r="V64">
            <v>0</v>
          </cell>
          <cell r="AA64">
            <v>0</v>
          </cell>
          <cell r="AF64">
            <v>0</v>
          </cell>
          <cell r="AK64">
            <v>0</v>
          </cell>
          <cell r="AP64">
            <v>0</v>
          </cell>
          <cell r="AU64">
            <v>0</v>
          </cell>
          <cell r="AZ64">
            <v>0</v>
          </cell>
          <cell r="BE64">
            <v>0</v>
          </cell>
          <cell r="BJ64">
            <v>0</v>
          </cell>
          <cell r="BO64">
            <v>0</v>
          </cell>
          <cell r="BT64">
            <v>0</v>
          </cell>
          <cell r="CD64">
            <v>0</v>
          </cell>
          <cell r="CI64">
            <v>0</v>
          </cell>
          <cell r="CN64">
            <v>0</v>
          </cell>
          <cell r="CS64">
            <v>0</v>
          </cell>
          <cell r="CX64">
            <v>0</v>
          </cell>
          <cell r="DC64">
            <v>0</v>
          </cell>
          <cell r="DH64">
            <v>0</v>
          </cell>
          <cell r="DM64">
            <v>0</v>
          </cell>
          <cell r="DR64">
            <v>0</v>
          </cell>
          <cell r="DW64">
            <v>0</v>
          </cell>
          <cell r="EB64">
            <v>0</v>
          </cell>
          <cell r="EG64">
            <v>0</v>
          </cell>
          <cell r="EL64">
            <v>0</v>
          </cell>
        </row>
        <row r="72">
          <cell r="L72">
            <v>0</v>
          </cell>
          <cell r="Q72">
            <v>0</v>
          </cell>
          <cell r="V72">
            <v>0</v>
          </cell>
          <cell r="AA72">
            <v>0</v>
          </cell>
          <cell r="AF72">
            <v>0</v>
          </cell>
          <cell r="AK72">
            <v>0</v>
          </cell>
          <cell r="AP72">
            <v>0</v>
          </cell>
          <cell r="AU72">
            <v>0</v>
          </cell>
          <cell r="AZ72">
            <v>0</v>
          </cell>
          <cell r="BE72">
            <v>0</v>
          </cell>
          <cell r="BJ72">
            <v>0</v>
          </cell>
          <cell r="BO72">
            <v>0</v>
          </cell>
          <cell r="BT72">
            <v>0</v>
          </cell>
          <cell r="CD72">
            <v>0</v>
          </cell>
          <cell r="CI72">
            <v>0</v>
          </cell>
          <cell r="CN72">
            <v>0</v>
          </cell>
          <cell r="CS72">
            <v>0</v>
          </cell>
          <cell r="CX72">
            <v>0</v>
          </cell>
          <cell r="DC72">
            <v>0</v>
          </cell>
          <cell r="DH72">
            <v>0</v>
          </cell>
          <cell r="DM72">
            <v>0</v>
          </cell>
          <cell r="DR72">
            <v>0</v>
          </cell>
          <cell r="DW72">
            <v>0</v>
          </cell>
          <cell r="EB72">
            <v>0</v>
          </cell>
          <cell r="EG72">
            <v>0</v>
          </cell>
          <cell r="EL72">
            <v>0</v>
          </cell>
        </row>
        <row r="74">
          <cell r="L74">
            <v>0</v>
          </cell>
          <cell r="Q74">
            <v>0</v>
          </cell>
          <cell r="V74">
            <v>0</v>
          </cell>
          <cell r="AA74">
            <v>0</v>
          </cell>
          <cell r="AF74">
            <v>0</v>
          </cell>
          <cell r="AK74">
            <v>0</v>
          </cell>
          <cell r="AP74">
            <v>0</v>
          </cell>
          <cell r="AU74">
            <v>0</v>
          </cell>
          <cell r="AZ74">
            <v>0</v>
          </cell>
          <cell r="BE74">
            <v>0</v>
          </cell>
          <cell r="BJ74">
            <v>0</v>
          </cell>
          <cell r="BO74">
            <v>0</v>
          </cell>
          <cell r="BT74">
            <v>0</v>
          </cell>
          <cell r="CD74">
            <v>0</v>
          </cell>
          <cell r="CI74">
            <v>0</v>
          </cell>
          <cell r="CN74">
            <v>0</v>
          </cell>
          <cell r="CS74">
            <v>0</v>
          </cell>
          <cell r="CX74">
            <v>0</v>
          </cell>
          <cell r="DC74">
            <v>0</v>
          </cell>
          <cell r="DH74">
            <v>0</v>
          </cell>
          <cell r="DM74">
            <v>0</v>
          </cell>
          <cell r="DR74">
            <v>0</v>
          </cell>
          <cell r="DW74">
            <v>0</v>
          </cell>
          <cell r="EB74">
            <v>0</v>
          </cell>
          <cell r="EG74">
            <v>0</v>
          </cell>
          <cell r="EL74">
            <v>0</v>
          </cell>
        </row>
        <row r="108">
          <cell r="G108">
            <v>7961000</v>
          </cell>
          <cell r="L108">
            <v>391647</v>
          </cell>
          <cell r="Q108">
            <v>1962723</v>
          </cell>
          <cell r="V108">
            <v>5604275</v>
          </cell>
          <cell r="AA108">
            <v>0</v>
          </cell>
          <cell r="AF108">
            <v>0</v>
          </cell>
          <cell r="AK108">
            <v>0</v>
          </cell>
          <cell r="AP108">
            <v>0</v>
          </cell>
          <cell r="AU108">
            <v>1940</v>
          </cell>
          <cell r="AZ108">
            <v>0</v>
          </cell>
          <cell r="BE108">
            <v>0</v>
          </cell>
          <cell r="BJ108">
            <v>0</v>
          </cell>
          <cell r="BO108">
            <v>0</v>
          </cell>
          <cell r="BT108">
            <v>7960585</v>
          </cell>
          <cell r="BY108">
            <v>26952291</v>
          </cell>
          <cell r="CD108">
            <v>391647</v>
          </cell>
          <cell r="CI108">
            <v>14120864</v>
          </cell>
          <cell r="CN108">
            <v>0</v>
          </cell>
          <cell r="CS108">
            <v>0</v>
          </cell>
          <cell r="CX108">
            <v>0</v>
          </cell>
          <cell r="DC108">
            <v>0</v>
          </cell>
          <cell r="DH108">
            <v>391647</v>
          </cell>
          <cell r="DM108">
            <v>1940</v>
          </cell>
          <cell r="DR108">
            <v>0</v>
          </cell>
          <cell r="DW108">
            <v>0</v>
          </cell>
          <cell r="EB108">
            <v>0</v>
          </cell>
          <cell r="EG108">
            <v>12046193</v>
          </cell>
          <cell r="EL108">
            <v>26952291</v>
          </cell>
        </row>
        <row r="109">
          <cell r="G109">
            <v>6456000</v>
          </cell>
          <cell r="L109">
            <v>386018</v>
          </cell>
          <cell r="Q109">
            <v>2969263</v>
          </cell>
          <cell r="V109">
            <v>3095425</v>
          </cell>
          <cell r="AA109">
            <v>0</v>
          </cell>
          <cell r="AF109">
            <v>0</v>
          </cell>
          <cell r="AK109">
            <v>0</v>
          </cell>
          <cell r="AP109">
            <v>0</v>
          </cell>
          <cell r="AU109">
            <v>5027</v>
          </cell>
          <cell r="AZ109">
            <v>0</v>
          </cell>
          <cell r="BE109">
            <v>0</v>
          </cell>
          <cell r="BJ109">
            <v>0</v>
          </cell>
          <cell r="BO109">
            <v>0</v>
          </cell>
          <cell r="BT109">
            <v>6455733</v>
          </cell>
          <cell r="BY109">
            <v>24276666</v>
          </cell>
          <cell r="CD109">
            <v>236802</v>
          </cell>
          <cell r="CI109">
            <v>11126521</v>
          </cell>
          <cell r="CN109">
            <v>0</v>
          </cell>
          <cell r="CS109">
            <v>0</v>
          </cell>
          <cell r="CX109">
            <v>0</v>
          </cell>
          <cell r="DC109">
            <v>0</v>
          </cell>
          <cell r="DH109">
            <v>262844</v>
          </cell>
          <cell r="DM109">
            <v>4425</v>
          </cell>
          <cell r="DR109">
            <v>0</v>
          </cell>
          <cell r="DW109">
            <v>0</v>
          </cell>
          <cell r="EB109">
            <v>0</v>
          </cell>
          <cell r="EG109">
            <v>12646074</v>
          </cell>
          <cell r="EL109">
            <v>24276666</v>
          </cell>
        </row>
        <row r="156">
          <cell r="G156">
            <v>0</v>
          </cell>
          <cell r="L156">
            <v>0</v>
          </cell>
          <cell r="Q156">
            <v>0</v>
          </cell>
          <cell r="V156">
            <v>0</v>
          </cell>
          <cell r="AA156">
            <v>0</v>
          </cell>
          <cell r="AF156">
            <v>0</v>
          </cell>
          <cell r="AK156">
            <v>0</v>
          </cell>
          <cell r="AP156">
            <v>0</v>
          </cell>
          <cell r="AU156">
            <v>0</v>
          </cell>
          <cell r="AZ156">
            <v>0</v>
          </cell>
          <cell r="BE156">
            <v>0</v>
          </cell>
          <cell r="BJ156">
            <v>0</v>
          </cell>
          <cell r="BO156">
            <v>0</v>
          </cell>
          <cell r="BT156">
            <v>0</v>
          </cell>
          <cell r="BY156">
            <v>0</v>
          </cell>
          <cell r="CD156">
            <v>0</v>
          </cell>
          <cell r="CI156">
            <v>0</v>
          </cell>
          <cell r="CN156">
            <v>0</v>
          </cell>
          <cell r="CS156">
            <v>0</v>
          </cell>
          <cell r="CX156">
            <v>0</v>
          </cell>
          <cell r="DC156">
            <v>0</v>
          </cell>
          <cell r="DH156">
            <v>0</v>
          </cell>
          <cell r="DM156">
            <v>0</v>
          </cell>
          <cell r="DR156">
            <v>0</v>
          </cell>
          <cell r="DW156">
            <v>0</v>
          </cell>
          <cell r="EB156">
            <v>0</v>
          </cell>
          <cell r="EG156">
            <v>0</v>
          </cell>
          <cell r="EL156">
            <v>0</v>
          </cell>
        </row>
        <row r="157">
          <cell r="G157">
            <v>0</v>
          </cell>
          <cell r="L157">
            <v>0</v>
          </cell>
          <cell r="Q157">
            <v>0</v>
          </cell>
          <cell r="V157">
            <v>0</v>
          </cell>
          <cell r="AA157">
            <v>0</v>
          </cell>
          <cell r="AF157">
            <v>0</v>
          </cell>
          <cell r="AK157">
            <v>0</v>
          </cell>
          <cell r="AP157">
            <v>0</v>
          </cell>
          <cell r="AU157">
            <v>0</v>
          </cell>
          <cell r="AZ157">
            <v>0</v>
          </cell>
          <cell r="BE157">
            <v>0</v>
          </cell>
          <cell r="BJ157">
            <v>0</v>
          </cell>
          <cell r="BO157">
            <v>0</v>
          </cell>
          <cell r="BT157">
            <v>0</v>
          </cell>
          <cell r="BY157">
            <v>0</v>
          </cell>
          <cell r="CD157">
            <v>0</v>
          </cell>
          <cell r="CI157">
            <v>0</v>
          </cell>
          <cell r="CN157">
            <v>0</v>
          </cell>
          <cell r="CS157">
            <v>0</v>
          </cell>
          <cell r="CX157">
            <v>0</v>
          </cell>
          <cell r="DC157">
            <v>0</v>
          </cell>
          <cell r="DH157">
            <v>0</v>
          </cell>
          <cell r="DM157">
            <v>0</v>
          </cell>
          <cell r="DR157">
            <v>0</v>
          </cell>
          <cell r="DW157">
            <v>0</v>
          </cell>
          <cell r="EB157">
            <v>0</v>
          </cell>
          <cell r="EG157">
            <v>0</v>
          </cell>
          <cell r="EL157">
            <v>0</v>
          </cell>
        </row>
        <row r="168">
          <cell r="L168">
            <v>0</v>
          </cell>
          <cell r="Q168">
            <v>0</v>
          </cell>
          <cell r="V168">
            <v>0</v>
          </cell>
          <cell r="AA168">
            <v>0</v>
          </cell>
          <cell r="AF168">
            <v>0</v>
          </cell>
          <cell r="AK168">
            <v>0</v>
          </cell>
          <cell r="AP168">
            <v>0</v>
          </cell>
          <cell r="AU168">
            <v>0</v>
          </cell>
          <cell r="AZ168">
            <v>0</v>
          </cell>
          <cell r="BE168">
            <v>0</v>
          </cell>
          <cell r="BJ168">
            <v>0</v>
          </cell>
          <cell r="BO168">
            <v>0</v>
          </cell>
          <cell r="BT168">
            <v>0</v>
          </cell>
          <cell r="CD168">
            <v>0</v>
          </cell>
          <cell r="CI168">
            <v>0</v>
          </cell>
          <cell r="CN168">
            <v>0</v>
          </cell>
          <cell r="CS168">
            <v>0</v>
          </cell>
          <cell r="CX168">
            <v>0</v>
          </cell>
          <cell r="DC168">
            <v>0</v>
          </cell>
          <cell r="DH168">
            <v>0</v>
          </cell>
          <cell r="DM168">
            <v>0</v>
          </cell>
          <cell r="DR168">
            <v>0</v>
          </cell>
          <cell r="DW168">
            <v>0</v>
          </cell>
          <cell r="EB168">
            <v>0</v>
          </cell>
          <cell r="EG168">
            <v>0</v>
          </cell>
          <cell r="EL168">
            <v>0</v>
          </cell>
        </row>
        <row r="169">
          <cell r="L169">
            <v>0</v>
          </cell>
          <cell r="Q169">
            <v>0</v>
          </cell>
          <cell r="V169">
            <v>0</v>
          </cell>
          <cell r="AA169">
            <v>0</v>
          </cell>
          <cell r="AF169">
            <v>0</v>
          </cell>
          <cell r="AK169">
            <v>0</v>
          </cell>
          <cell r="AP169">
            <v>0</v>
          </cell>
          <cell r="AU169">
            <v>0</v>
          </cell>
          <cell r="AZ169">
            <v>0</v>
          </cell>
          <cell r="BE169">
            <v>0</v>
          </cell>
          <cell r="BJ169">
            <v>0</v>
          </cell>
          <cell r="BO169">
            <v>0</v>
          </cell>
          <cell r="BT169">
            <v>0</v>
          </cell>
          <cell r="CD169">
            <v>0</v>
          </cell>
          <cell r="CI169">
            <v>0</v>
          </cell>
          <cell r="CN169">
            <v>0</v>
          </cell>
          <cell r="CS169">
            <v>0</v>
          </cell>
          <cell r="CX169">
            <v>0</v>
          </cell>
          <cell r="DC169">
            <v>0</v>
          </cell>
          <cell r="DH169">
            <v>0</v>
          </cell>
          <cell r="DM169">
            <v>0</v>
          </cell>
          <cell r="DR169">
            <v>0</v>
          </cell>
          <cell r="DW169">
            <v>0</v>
          </cell>
          <cell r="EB169">
            <v>0</v>
          </cell>
          <cell r="EG169">
            <v>0</v>
          </cell>
          <cell r="EL169">
            <v>0</v>
          </cell>
        </row>
        <row r="227">
          <cell r="BV227">
            <v>0</v>
          </cell>
        </row>
        <row r="228">
          <cell r="BV228">
            <v>0</v>
          </cell>
        </row>
        <row r="239">
          <cell r="BV239">
            <v>0</v>
          </cell>
        </row>
        <row r="240">
          <cell r="BV240">
            <v>0</v>
          </cell>
        </row>
      </sheetData>
      <sheetData sheetId="4">
        <row r="12">
          <cell r="H12">
            <v>-58956332</v>
          </cell>
          <cell r="M12">
            <v>-18484170</v>
          </cell>
          <cell r="R12">
            <v>3349854</v>
          </cell>
          <cell r="W12">
            <v>-22973000</v>
          </cell>
          <cell r="AB12">
            <v>-53649787</v>
          </cell>
          <cell r="AG12">
            <v>41961434</v>
          </cell>
          <cell r="AL12">
            <v>-13252498</v>
          </cell>
          <cell r="AQ12">
            <v>-40961985</v>
          </cell>
          <cell r="AV12">
            <v>-19510192</v>
          </cell>
          <cell r="BA12">
            <v>-18762903</v>
          </cell>
          <cell r="BF12">
            <v>-420333</v>
          </cell>
          <cell r="BK12">
            <v>-11986294</v>
          </cell>
          <cell r="BP12">
            <v>52747862</v>
          </cell>
          <cell r="BU12">
            <v>-101942012</v>
          </cell>
          <cell r="BZ12">
            <v>2473985</v>
          </cell>
          <cell r="CE12">
            <v>39161985</v>
          </cell>
          <cell r="CJ12">
            <v>6533576</v>
          </cell>
          <cell r="CO12">
            <v>-80194837</v>
          </cell>
          <cell r="CT12">
            <v>71485782</v>
          </cell>
          <cell r="CY12">
            <v>10515236</v>
          </cell>
          <cell r="DD12">
            <v>-104528279</v>
          </cell>
          <cell r="DI12">
            <v>2731873</v>
          </cell>
          <cell r="DN12">
            <v>-9369739</v>
          </cell>
          <cell r="DS12">
            <v>-7896523</v>
          </cell>
          <cell r="DX12">
            <v>33364654</v>
          </cell>
          <cell r="EC12">
            <v>-27939762</v>
          </cell>
          <cell r="EH12">
            <v>68610019</v>
          </cell>
          <cell r="EM12">
            <v>2473985</v>
          </cell>
        </row>
        <row r="18">
          <cell r="BP18">
            <v>139049630</v>
          </cell>
        </row>
        <row r="19">
          <cell r="BP19">
            <v>198554050</v>
          </cell>
        </row>
        <row r="23">
          <cell r="H23">
            <v>0</v>
          </cell>
          <cell r="M23">
            <v>34143659</v>
          </cell>
          <cell r="R23">
            <v>-4349966</v>
          </cell>
          <cell r="W23">
            <v>2527515</v>
          </cell>
          <cell r="AB23">
            <v>-24856159</v>
          </cell>
          <cell r="AG23">
            <v>26866570</v>
          </cell>
          <cell r="AL23">
            <v>-5977613</v>
          </cell>
          <cell r="AQ23">
            <v>15416167</v>
          </cell>
          <cell r="AV23">
            <v>-315227</v>
          </cell>
          <cell r="BA23">
            <v>-6539100</v>
          </cell>
          <cell r="BF23">
            <v>59957836</v>
          </cell>
          <cell r="BK23">
            <v>-1550683</v>
          </cell>
          <cell r="BP23">
            <v>-80682653</v>
          </cell>
          <cell r="BU23">
            <v>14640346</v>
          </cell>
          <cell r="BZ23">
            <v>-17008126</v>
          </cell>
          <cell r="CE23">
            <v>-17895405</v>
          </cell>
          <cell r="CJ23">
            <v>-2162772</v>
          </cell>
          <cell r="CO23">
            <v>1746060</v>
          </cell>
          <cell r="CT23">
            <v>9207825</v>
          </cell>
          <cell r="CY23">
            <v>-8222766</v>
          </cell>
          <cell r="DD23">
            <v>21412052</v>
          </cell>
          <cell r="DI23">
            <v>67094</v>
          </cell>
          <cell r="DN23">
            <v>5423083</v>
          </cell>
          <cell r="DS23">
            <v>3006040</v>
          </cell>
          <cell r="DX23">
            <v>484408</v>
          </cell>
          <cell r="EC23">
            <v>4553332</v>
          </cell>
          <cell r="EH23">
            <v>-34627077</v>
          </cell>
          <cell r="EM23">
            <v>-17008126</v>
          </cell>
        </row>
        <row r="25">
          <cell r="H25">
            <v>0</v>
          </cell>
          <cell r="M25">
            <v>0</v>
          </cell>
          <cell r="R25">
            <v>0</v>
          </cell>
          <cell r="W25">
            <v>0</v>
          </cell>
          <cell r="AB25">
            <v>0</v>
          </cell>
          <cell r="AG25">
            <v>0</v>
          </cell>
          <cell r="AL25">
            <v>0</v>
          </cell>
          <cell r="AQ25">
            <v>0</v>
          </cell>
          <cell r="AV25">
            <v>0</v>
          </cell>
          <cell r="BA25">
            <v>0</v>
          </cell>
          <cell r="BF25">
            <v>0</v>
          </cell>
          <cell r="BK25">
            <v>0</v>
          </cell>
          <cell r="BP25">
            <v>0</v>
          </cell>
          <cell r="BU25">
            <v>0</v>
          </cell>
          <cell r="BZ25">
            <v>2087301.7651195501</v>
          </cell>
          <cell r="CE25">
            <v>0</v>
          </cell>
          <cell r="CJ25">
            <v>0</v>
          </cell>
          <cell r="CO25">
            <v>0</v>
          </cell>
          <cell r="CT25">
            <v>0</v>
          </cell>
          <cell r="CY25">
            <v>0</v>
          </cell>
          <cell r="DD25">
            <v>0</v>
          </cell>
          <cell r="DI25">
            <v>0</v>
          </cell>
          <cell r="DN25">
            <v>0</v>
          </cell>
          <cell r="DS25">
            <v>0</v>
          </cell>
          <cell r="DX25">
            <v>0</v>
          </cell>
          <cell r="EC25">
            <v>0</v>
          </cell>
          <cell r="EH25">
            <v>2087301.7651195501</v>
          </cell>
          <cell r="EM25">
            <v>2087301.7651195501</v>
          </cell>
        </row>
        <row r="27">
          <cell r="H27">
            <v>6516232.0023469981</v>
          </cell>
          <cell r="M27">
            <v>0</v>
          </cell>
          <cell r="R27">
            <v>871744.25600000005</v>
          </cell>
          <cell r="W27">
            <v>0</v>
          </cell>
          <cell r="AB27">
            <v>126224</v>
          </cell>
          <cell r="AG27">
            <v>0</v>
          </cell>
          <cell r="AL27">
            <v>3836</v>
          </cell>
          <cell r="AQ27">
            <v>1831061</v>
          </cell>
          <cell r="AV27">
            <v>2236273</v>
          </cell>
          <cell r="BA27">
            <v>1620990</v>
          </cell>
          <cell r="BF27">
            <v>89678</v>
          </cell>
          <cell r="BK27">
            <v>1022787</v>
          </cell>
          <cell r="BP27">
            <v>6347564</v>
          </cell>
          <cell r="BU27">
            <v>14150157.256000001</v>
          </cell>
          <cell r="CE27">
            <v>1285536</v>
          </cell>
          <cell r="CJ27">
            <v>0</v>
          </cell>
          <cell r="CO27">
            <v>12272</v>
          </cell>
          <cell r="CT27">
            <v>0</v>
          </cell>
          <cell r="CY27">
            <v>1736919</v>
          </cell>
          <cell r="DD27">
            <v>245929</v>
          </cell>
          <cell r="DI27">
            <v>2261765</v>
          </cell>
          <cell r="DN27">
            <v>1146180</v>
          </cell>
          <cell r="DS27">
            <v>1005353</v>
          </cell>
          <cell r="DX27">
            <v>41798</v>
          </cell>
          <cell r="EC27">
            <v>360442</v>
          </cell>
          <cell r="EH27">
            <v>3730402</v>
          </cell>
          <cell r="EM27">
            <v>11826596</v>
          </cell>
        </row>
        <row r="28">
          <cell r="BZ28">
            <v>11826596</v>
          </cell>
        </row>
        <row r="32">
          <cell r="H32">
            <v>0</v>
          </cell>
          <cell r="M32">
            <v>0</v>
          </cell>
          <cell r="R32">
            <v>0</v>
          </cell>
          <cell r="W32">
            <v>0</v>
          </cell>
          <cell r="AB32">
            <v>-22185</v>
          </cell>
          <cell r="AG32">
            <v>0</v>
          </cell>
          <cell r="AL32">
            <v>0</v>
          </cell>
          <cell r="AQ32">
            <v>0</v>
          </cell>
          <cell r="AV32">
            <v>0</v>
          </cell>
          <cell r="BA32">
            <v>0</v>
          </cell>
          <cell r="BF32">
            <v>0</v>
          </cell>
          <cell r="BK32">
            <v>0</v>
          </cell>
          <cell r="BP32">
            <v>-510</v>
          </cell>
          <cell r="BU32">
            <v>-22695</v>
          </cell>
          <cell r="BZ32">
            <v>-372703</v>
          </cell>
          <cell r="CE32">
            <v>0</v>
          </cell>
          <cell r="CJ32">
            <v>0</v>
          </cell>
          <cell r="CO32">
            <v>0</v>
          </cell>
          <cell r="CT32">
            <v>0</v>
          </cell>
          <cell r="CY32">
            <v>-98</v>
          </cell>
          <cell r="DD32">
            <v>0</v>
          </cell>
          <cell r="DI32">
            <v>-372528</v>
          </cell>
          <cell r="DN32">
            <v>0</v>
          </cell>
          <cell r="DS32">
            <v>0</v>
          </cell>
          <cell r="DX32">
            <v>0</v>
          </cell>
          <cell r="EC32">
            <v>0</v>
          </cell>
          <cell r="EH32">
            <v>-77</v>
          </cell>
          <cell r="EM32">
            <v>-372703</v>
          </cell>
        </row>
        <row r="38">
          <cell r="H38">
            <v>0</v>
          </cell>
          <cell r="M38">
            <v>-34158767.953769997</v>
          </cell>
          <cell r="R38">
            <v>665778.1075699823</v>
          </cell>
          <cell r="W38">
            <v>-3529360.3766400218</v>
          </cell>
          <cell r="AB38">
            <v>39129472.039829999</v>
          </cell>
          <cell r="AG38">
            <v>-36409361.543499991</v>
          </cell>
          <cell r="AL38">
            <v>10350561.970830038</v>
          </cell>
          <cell r="AQ38">
            <v>-13234789.152860001</v>
          </cell>
          <cell r="AV38">
            <v>-507485.77358999848</v>
          </cell>
          <cell r="BA38">
            <v>5933754.2305000126</v>
          </cell>
          <cell r="BF38">
            <v>-33766452.223689988</v>
          </cell>
          <cell r="BK38">
            <v>-3541595.2070199698</v>
          </cell>
          <cell r="BP38">
            <v>51076041.623150021</v>
          </cell>
          <cell r="BU38">
            <v>-17992204.259189919</v>
          </cell>
          <cell r="BZ38">
            <v>-676139.5121998759</v>
          </cell>
          <cell r="CE38">
            <v>-9617047.0857300311</v>
          </cell>
          <cell r="CJ38">
            <v>1658010.930979982</v>
          </cell>
          <cell r="CO38">
            <v>13980252.202720001</v>
          </cell>
          <cell r="CT38">
            <v>-8777405.5292999893</v>
          </cell>
          <cell r="CY38">
            <v>-9967884.6452499926</v>
          </cell>
          <cell r="DD38">
            <v>-4315544.2743200064</v>
          </cell>
          <cell r="DI38">
            <v>-395955.53492997866</v>
          </cell>
          <cell r="DN38">
            <v>-18897629.034100011</v>
          </cell>
          <cell r="DS38">
            <v>-1291051.2250600038</v>
          </cell>
          <cell r="DX38">
            <v>-2746121.6662400216</v>
          </cell>
          <cell r="EC38">
            <v>-5785998.0916399956</v>
          </cell>
          <cell r="EH38">
            <v>45480234.292400479</v>
          </cell>
          <cell r="EM38">
            <v>-676139.66046956182</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AV13">
            <v>295423</v>
          </cell>
          <cell r="BZ13">
            <v>36077502</v>
          </cell>
          <cell r="DN13">
            <v>6126860</v>
          </cell>
        </row>
        <row r="23">
          <cell r="BZ23">
            <v>286021581</v>
          </cell>
          <cell r="DN23">
            <v>30718792</v>
          </cell>
        </row>
        <row r="25">
          <cell r="AV25">
            <v>46634910</v>
          </cell>
        </row>
        <row r="26">
          <cell r="AV26">
            <v>-7195171</v>
          </cell>
        </row>
        <row r="27">
          <cell r="AV27">
            <v>-314155</v>
          </cell>
        </row>
        <row r="31">
          <cell r="AV31">
            <v>0</v>
          </cell>
        </row>
        <row r="32">
          <cell r="AV32">
            <v>0</v>
          </cell>
        </row>
        <row r="33">
          <cell r="AV33">
            <v>0</v>
          </cell>
        </row>
        <row r="36">
          <cell r="AV36">
            <v>85877</v>
          </cell>
        </row>
        <row r="37">
          <cell r="AV37">
            <v>0</v>
          </cell>
        </row>
        <row r="44">
          <cell r="BZ44">
            <v>24823043</v>
          </cell>
          <cell r="DN44">
            <v>-6365</v>
          </cell>
        </row>
        <row r="46">
          <cell r="AV46">
            <v>0</v>
          </cell>
        </row>
        <row r="49">
          <cell r="AV49">
            <v>-1940</v>
          </cell>
        </row>
        <row r="50">
          <cell r="AV50">
            <v>-5027</v>
          </cell>
        </row>
        <row r="67">
          <cell r="DN67">
            <v>-21698105.034100011</v>
          </cell>
        </row>
        <row r="70">
          <cell r="AV70">
            <v>-315227</v>
          </cell>
        </row>
        <row r="71">
          <cell r="AV71">
            <v>0</v>
          </cell>
        </row>
        <row r="72">
          <cell r="AV72">
            <v>2236273</v>
          </cell>
        </row>
        <row r="73">
          <cell r="AV73">
            <v>0</v>
          </cell>
        </row>
      </sheetData>
      <sheetData sheetId="1" refreshError="1"/>
      <sheetData sheetId="2" refreshError="1"/>
      <sheetData sheetId="3" refreshError="1"/>
      <sheetData sheetId="4" refreshError="1">
        <row r="18">
          <cell r="AV18">
            <v>150112405</v>
          </cell>
        </row>
        <row r="19">
          <cell r="AV19">
            <v>209069607</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H13">
            <v>143000000</v>
          </cell>
          <cell r="AQ13">
            <v>31098565</v>
          </cell>
          <cell r="DI13">
            <v>7778423</v>
          </cell>
        </row>
        <row r="23">
          <cell r="DI23">
            <v>30927020</v>
          </cell>
        </row>
        <row r="25">
          <cell r="AQ25">
            <v>59931421</v>
          </cell>
        </row>
        <row r="26">
          <cell r="AQ26">
            <v>-9026146</v>
          </cell>
        </row>
        <row r="27">
          <cell r="AQ27">
            <v>-333330</v>
          </cell>
        </row>
        <row r="31">
          <cell r="AQ31">
            <v>0</v>
          </cell>
        </row>
        <row r="32">
          <cell r="AQ32">
            <v>0</v>
          </cell>
        </row>
        <row r="33">
          <cell r="AQ33">
            <v>0</v>
          </cell>
        </row>
        <row r="36">
          <cell r="AQ36">
            <v>0</v>
          </cell>
        </row>
        <row r="37">
          <cell r="AQ37">
            <v>0</v>
          </cell>
        </row>
        <row r="44">
          <cell r="DI44">
            <v>-654491</v>
          </cell>
        </row>
        <row r="46">
          <cell r="AQ46">
            <v>5008164</v>
          </cell>
        </row>
        <row r="47">
          <cell r="H47">
            <v>0</v>
          </cell>
          <cell r="AQ47">
            <v>0</v>
          </cell>
        </row>
        <row r="49">
          <cell r="AQ49">
            <v>0</v>
          </cell>
        </row>
        <row r="50">
          <cell r="AQ50">
            <v>0</v>
          </cell>
        </row>
        <row r="67">
          <cell r="DI67">
            <v>4292248.2650700212</v>
          </cell>
        </row>
        <row r="70">
          <cell r="AQ70">
            <v>15416167</v>
          </cell>
        </row>
        <row r="71">
          <cell r="AQ71">
            <v>0</v>
          </cell>
        </row>
        <row r="72">
          <cell r="AQ72">
            <v>1831061</v>
          </cell>
        </row>
        <row r="73">
          <cell r="AQ73">
            <v>0</v>
          </cell>
        </row>
      </sheetData>
      <sheetData sheetId="1" refreshError="1"/>
      <sheetData sheetId="2" refreshError="1"/>
      <sheetData sheetId="3" refreshError="1"/>
      <sheetData sheetId="4" refreshError="1">
        <row r="18">
          <cell r="AQ18">
            <v>150789653</v>
          </cell>
        </row>
        <row r="19">
          <cell r="AQ19">
            <v>188882167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F82">
            <v>34158767.953769997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G82">
            <v>-665778.1075699823</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H82">
            <v>3529360.3766400218</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I82">
            <v>-39129472.039829999</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J82">
            <v>36409361.543499991</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K82">
            <v>-10350561.970830038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M114">
            <v>101855148.66649999</v>
          </cell>
          <cell r="AA114">
            <v>117932465.64524999</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L82">
            <v>13234789.152860001</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M82">
            <v>507485.77358999848</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N82">
            <v>-5933754.2305000126</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O82">
            <v>33766452.223689988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P82">
            <v>3541595.2070199698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Sheet1"/>
    </sheetNames>
    <sheetDataSet>
      <sheetData sheetId="0">
        <row r="82">
          <cell r="Q82">
            <v>-51076041.623150021</v>
          </cell>
          <cell r="V82">
            <v>676139.5121998759</v>
          </cell>
          <cell r="W82">
            <v>9617047.0857300311</v>
          </cell>
          <cell r="X82">
            <v>-1658010.930979982</v>
          </cell>
          <cell r="Y82">
            <v>-13980252.202720001</v>
          </cell>
          <cell r="Z82">
            <v>8777405.5292999893</v>
          </cell>
          <cell r="AA82">
            <v>9967884.6452499926</v>
          </cell>
          <cell r="AB82">
            <v>4315544.2743200064</v>
          </cell>
          <cell r="AC82">
            <v>395955.53492997866</v>
          </cell>
          <cell r="AD82">
            <v>18897629.034100011</v>
          </cell>
          <cell r="AE82">
            <v>1291051.2250600038</v>
          </cell>
          <cell r="AH82">
            <v>-45480234.292400479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2">
          <cell r="O82">
            <v>2746121.6662400216</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82">
          <cell r="P82">
            <v>5785998.0916399956</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G6">
            <v>1236489</v>
          </cell>
        </row>
        <row r="40">
          <cell r="G40">
            <v>-18</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H6">
            <v>2807140</v>
          </cell>
        </row>
        <row r="40">
          <cell r="H40">
            <v>-111334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N114">
            <v>105679255.27216996</v>
          </cell>
          <cell r="AB114">
            <v>117713729.27432001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I6">
            <v>3319954</v>
          </cell>
        </row>
        <row r="40">
          <cell r="I40">
            <v>-2</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J6">
            <v>3550323</v>
          </cell>
        </row>
        <row r="40">
          <cell r="J40">
            <v>0</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K6">
            <v>3161507</v>
          </cell>
        </row>
        <row r="40">
          <cell r="K40">
            <v>-1</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L6">
            <v>1941577</v>
          </cell>
        </row>
        <row r="40">
          <cell r="L40">
            <v>-66260</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M6">
            <v>2581412</v>
          </cell>
        </row>
        <row r="40">
          <cell r="M40">
            <v>-260</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N6">
            <v>900558</v>
          </cell>
        </row>
        <row r="40">
          <cell r="N40">
            <v>0</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O6">
            <v>2698953</v>
          </cell>
        </row>
        <row r="40">
          <cell r="O40">
            <v>-2</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P6">
            <v>1360720</v>
          </cell>
        </row>
        <row r="40">
          <cell r="P40">
            <v>-8</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efreshError="1">
        <row r="6">
          <cell r="F6">
            <v>25590572</v>
          </cell>
          <cell r="Q6">
            <v>574224</v>
          </cell>
        </row>
        <row r="40">
          <cell r="Q40">
            <v>-410372</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R6">
            <v>1637061</v>
          </cell>
        </row>
        <row r="40">
          <cell r="R40">
            <v>-86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efreshError="1">
        <row r="114">
          <cell r="O114">
            <v>83230717.11586</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s>
    <sheetDataSet>
      <sheetData sheetId="0">
        <row r="6">
          <cell r="G6">
            <v>1191518</v>
          </cell>
          <cell r="H6">
            <v>5522378</v>
          </cell>
          <cell r="I6">
            <v>193328</v>
          </cell>
          <cell r="J6">
            <v>236828</v>
          </cell>
          <cell r="K6">
            <v>536881</v>
          </cell>
          <cell r="L6">
            <v>309645</v>
          </cell>
          <cell r="M6">
            <v>149579</v>
          </cell>
          <cell r="N6">
            <v>389977</v>
          </cell>
          <cell r="O6">
            <v>143285</v>
          </cell>
          <cell r="P6">
            <v>307553</v>
          </cell>
          <cell r="Q6">
            <v>558415</v>
          </cell>
          <cell r="R6">
            <v>3261946</v>
          </cell>
        </row>
        <row r="40">
          <cell r="G40">
            <v>-131872</v>
          </cell>
          <cell r="H40">
            <v>-83878</v>
          </cell>
          <cell r="I40">
            <v>-23306</v>
          </cell>
          <cell r="J40">
            <v>-119906</v>
          </cell>
          <cell r="K40">
            <v>-230</v>
          </cell>
          <cell r="L40">
            <v>-21</v>
          </cell>
          <cell r="M40">
            <v>-30</v>
          </cell>
          <cell r="N40">
            <v>-1363</v>
          </cell>
          <cell r="O40">
            <v>-107525</v>
          </cell>
          <cell r="P40">
            <v>-298</v>
          </cell>
          <cell r="Q40">
            <v>0</v>
          </cell>
          <cell r="R40">
            <v>-39</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20"/>
      <sheetName val="May 2020"/>
      <sheetName val="June 2020"/>
      <sheetName val="July 2020"/>
      <sheetName val="August 2020"/>
      <sheetName val="September 2020"/>
      <sheetName val="October 2020"/>
      <sheetName val="November 2020"/>
      <sheetName val="December 2020"/>
      <sheetName val="January 2021"/>
      <sheetName val="February 2021"/>
      <sheetName val="March 2021"/>
    </sheetNames>
    <sheetDataSet>
      <sheetData sheetId="0">
        <row r="58">
          <cell r="F58">
            <v>651000</v>
          </cell>
        </row>
        <row r="59">
          <cell r="F59">
            <v>42263000</v>
          </cell>
        </row>
        <row r="60">
          <cell r="F60">
            <v>0</v>
          </cell>
        </row>
        <row r="61">
          <cell r="F61">
            <v>0</v>
          </cell>
        </row>
        <row r="62">
          <cell r="F62">
            <v>0</v>
          </cell>
        </row>
        <row r="63">
          <cell r="F63">
            <v>1617743000</v>
          </cell>
        </row>
        <row r="64">
          <cell r="F64">
            <v>204052000</v>
          </cell>
        </row>
        <row r="65">
          <cell r="F65">
            <v>97459000</v>
          </cell>
        </row>
        <row r="66">
          <cell r="F66">
            <v>0</v>
          </cell>
        </row>
        <row r="80">
          <cell r="F80">
            <v>44872627000</v>
          </cell>
        </row>
        <row r="92">
          <cell r="G92">
            <v>4206399562.9699993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 2020"/>
      <sheetName val="May 2020"/>
      <sheetName val="June 2020"/>
      <sheetName val="July 2020"/>
      <sheetName val="August 2020"/>
      <sheetName val="September 2020"/>
      <sheetName val="October 2020"/>
      <sheetName val="November 2020"/>
    </sheetNames>
    <sheetDataSet>
      <sheetData sheetId="0" refreshError="1"/>
      <sheetData sheetId="1" refreshError="1">
        <row r="58">
          <cell r="F58">
            <v>651000</v>
          </cell>
        </row>
        <row r="59">
          <cell r="F59">
            <v>42263000</v>
          </cell>
        </row>
        <row r="60">
          <cell r="F60">
            <v>0</v>
          </cell>
        </row>
        <row r="61">
          <cell r="F61">
            <v>0</v>
          </cell>
        </row>
        <row r="62">
          <cell r="F62">
            <v>0</v>
          </cell>
        </row>
        <row r="63">
          <cell r="F63">
            <v>1617741000</v>
          </cell>
        </row>
        <row r="64">
          <cell r="F64">
            <v>202104000</v>
          </cell>
        </row>
        <row r="65">
          <cell r="F65">
            <v>87163000</v>
          </cell>
        </row>
        <row r="66">
          <cell r="F66">
            <v>0</v>
          </cell>
        </row>
        <row r="80">
          <cell r="F80">
            <v>44872627000</v>
          </cell>
        </row>
        <row r="92">
          <cell r="F92">
            <v>1879102871.3900003</v>
          </cell>
        </row>
      </sheetData>
      <sheetData sheetId="2" refreshError="1">
        <row r="58">
          <cell r="F58">
            <v>651000</v>
          </cell>
        </row>
        <row r="59">
          <cell r="F59">
            <v>42263000</v>
          </cell>
        </row>
        <row r="60">
          <cell r="F60">
            <v>40000000</v>
          </cell>
        </row>
        <row r="61">
          <cell r="F61">
            <v>0</v>
          </cell>
        </row>
        <row r="62">
          <cell r="F62">
            <v>0</v>
          </cell>
        </row>
        <row r="63">
          <cell r="F63">
            <v>1118322000</v>
          </cell>
        </row>
        <row r="64">
          <cell r="F64">
            <v>203308000</v>
          </cell>
        </row>
        <row r="65">
          <cell r="F65">
            <v>89666000</v>
          </cell>
        </row>
        <row r="66">
          <cell r="F66">
            <v>0</v>
          </cell>
        </row>
        <row r="80">
          <cell r="F80">
            <v>44872627000</v>
          </cell>
        </row>
        <row r="92">
          <cell r="F92">
            <v>22441442097.009998</v>
          </cell>
        </row>
      </sheetData>
      <sheetData sheetId="3" refreshError="1"/>
      <sheetData sheetId="4" refreshError="1"/>
      <sheetData sheetId="5" refreshError="1"/>
      <sheetData sheetId="6" refreshError="1">
        <row r="58">
          <cell r="F58">
            <v>649000</v>
          </cell>
        </row>
        <row r="59">
          <cell r="F59">
            <v>42263000</v>
          </cell>
        </row>
        <row r="60">
          <cell r="F60">
            <v>0</v>
          </cell>
        </row>
        <row r="63">
          <cell r="F63">
            <v>217362000</v>
          </cell>
        </row>
        <row r="64">
          <cell r="F64">
            <v>0</v>
          </cell>
        </row>
        <row r="65">
          <cell r="F65">
            <v>87116000</v>
          </cell>
        </row>
        <row r="80">
          <cell r="F80">
            <v>44872627000</v>
          </cell>
        </row>
        <row r="92">
          <cell r="F92">
            <v>3518743552.3200016</v>
          </cell>
        </row>
      </sheetData>
      <sheetData sheetId="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13">
          <cell r="R13">
            <v>12375928</v>
          </cell>
          <cell r="W13">
            <v>21645154</v>
          </cell>
          <cell r="AB13">
            <v>4387554</v>
          </cell>
          <cell r="AG13">
            <v>10613091</v>
          </cell>
          <cell r="AL13">
            <v>-17323880</v>
          </cell>
          <cell r="AQ13">
            <v>7778423</v>
          </cell>
          <cell r="AV13">
            <v>6126860</v>
          </cell>
          <cell r="BA13">
            <v>-16508019</v>
          </cell>
          <cell r="BF13">
            <v>13250851</v>
          </cell>
          <cell r="BK13">
            <v>-2500139</v>
          </cell>
          <cell r="BP13">
            <v>-35857416</v>
          </cell>
        </row>
        <row r="25">
          <cell r="R25">
            <v>26579251</v>
          </cell>
          <cell r="W25">
            <v>21124207</v>
          </cell>
          <cell r="AB25">
            <v>24760828</v>
          </cell>
          <cell r="AG25">
            <v>30904734</v>
          </cell>
          <cell r="AL25">
            <v>32089447</v>
          </cell>
          <cell r="AQ25">
            <v>33970885</v>
          </cell>
          <cell r="AV25">
            <v>34588835</v>
          </cell>
          <cell r="BA25">
            <v>26476333</v>
          </cell>
          <cell r="BF25">
            <v>21562772</v>
          </cell>
          <cell r="BK25">
            <v>32267535</v>
          </cell>
          <cell r="BP25">
            <v>30466846</v>
          </cell>
        </row>
        <row r="26">
          <cell r="R26">
            <v>-1652532</v>
          </cell>
          <cell r="W26">
            <v>-1668026</v>
          </cell>
          <cell r="AB26">
            <v>-1721005</v>
          </cell>
          <cell r="AG26">
            <v>-2422421</v>
          </cell>
          <cell r="AL26">
            <v>-2517677</v>
          </cell>
          <cell r="AQ26">
            <v>-2852893</v>
          </cell>
          <cell r="AV26">
            <v>-3497342</v>
          </cell>
          <cell r="BA26">
            <v>-2287072</v>
          </cell>
          <cell r="BF26">
            <v>-2282238</v>
          </cell>
          <cell r="BK26">
            <v>-2868557</v>
          </cell>
          <cell r="BP26">
            <v>-4752306</v>
          </cell>
        </row>
        <row r="28">
          <cell r="R28">
            <v>-254394</v>
          </cell>
          <cell r="W28">
            <v>-251090</v>
          </cell>
          <cell r="AB28">
            <v>-239599</v>
          </cell>
          <cell r="AG28">
            <v>-317003</v>
          </cell>
          <cell r="AL28">
            <v>-464401</v>
          </cell>
          <cell r="AQ28">
            <v>-190972</v>
          </cell>
          <cell r="AV28">
            <v>-372701</v>
          </cell>
          <cell r="BA28">
            <v>-335951</v>
          </cell>
          <cell r="BF28">
            <v>-16129719</v>
          </cell>
          <cell r="BK28">
            <v>-239823</v>
          </cell>
          <cell r="BP28">
            <v>-297490</v>
          </cell>
        </row>
        <row r="32">
          <cell r="R32">
            <v>14152656</v>
          </cell>
          <cell r="BP32">
            <v>0</v>
          </cell>
        </row>
        <row r="33">
          <cell r="R33">
            <v>-1646946</v>
          </cell>
          <cell r="BP33">
            <v>0</v>
          </cell>
        </row>
        <row r="34">
          <cell r="R34">
            <v>-12795000</v>
          </cell>
          <cell r="BP34">
            <v>0</v>
          </cell>
        </row>
        <row r="37">
          <cell r="AG37">
            <v>289217</v>
          </cell>
          <cell r="AL37">
            <v>235010</v>
          </cell>
          <cell r="AV37">
            <v>64127</v>
          </cell>
          <cell r="BP37">
            <v>663239</v>
          </cell>
        </row>
        <row r="38">
          <cell r="AG38">
            <v>-289217</v>
          </cell>
          <cell r="AL38">
            <v>-235010</v>
          </cell>
          <cell r="AV38">
            <v>-64127</v>
          </cell>
          <cell r="BP38">
            <v>-663239</v>
          </cell>
        </row>
        <row r="47">
          <cell r="AL47">
            <v>76052000</v>
          </cell>
          <cell r="BP47">
            <v>0</v>
          </cell>
        </row>
        <row r="48">
          <cell r="BP48">
            <v>0</v>
          </cell>
        </row>
        <row r="50">
          <cell r="M50">
            <v>-391647</v>
          </cell>
          <cell r="R50">
            <v>-14120864</v>
          </cell>
          <cell r="AQ50">
            <v>-391647</v>
          </cell>
          <cell r="AV50">
            <v>-1940</v>
          </cell>
          <cell r="BP50">
            <v>-12046193</v>
          </cell>
        </row>
        <row r="51">
          <cell r="M51">
            <v>-236802</v>
          </cell>
          <cell r="R51">
            <v>-11126521</v>
          </cell>
          <cell r="AQ51">
            <v>-262844</v>
          </cell>
          <cell r="AV51">
            <v>-4425</v>
          </cell>
          <cell r="BP51">
            <v>-12646074</v>
          </cell>
        </row>
        <row r="71">
          <cell r="M71">
            <v>-17895405</v>
          </cell>
          <cell r="R71">
            <v>-2162772</v>
          </cell>
          <cell r="W71">
            <v>1746060</v>
          </cell>
          <cell r="AB71">
            <v>9207825</v>
          </cell>
          <cell r="AG71">
            <v>-8222766</v>
          </cell>
          <cell r="AL71">
            <v>21412052</v>
          </cell>
          <cell r="AQ71">
            <v>67094</v>
          </cell>
          <cell r="AV71">
            <v>5423083</v>
          </cell>
          <cell r="BA71">
            <v>3006040</v>
          </cell>
          <cell r="BF71">
            <v>484408</v>
          </cell>
          <cell r="BK71">
            <v>4553332</v>
          </cell>
          <cell r="BP71">
            <v>-34627077</v>
          </cell>
        </row>
        <row r="72">
          <cell r="R72">
            <v>0</v>
          </cell>
          <cell r="AL72">
            <v>0</v>
          </cell>
          <cell r="AQ72">
            <v>0</v>
          </cell>
          <cell r="AV72">
            <v>0</v>
          </cell>
          <cell r="BA72">
            <v>0</v>
          </cell>
          <cell r="BF72">
            <v>0</v>
          </cell>
          <cell r="BK72">
            <v>0</v>
          </cell>
        </row>
        <row r="73">
          <cell r="M73">
            <v>1285536</v>
          </cell>
          <cell r="R73">
            <v>0</v>
          </cell>
          <cell r="W73">
            <v>12272</v>
          </cell>
          <cell r="AB73">
            <v>0</v>
          </cell>
          <cell r="AG73">
            <v>1736919</v>
          </cell>
          <cell r="AL73">
            <v>245929</v>
          </cell>
          <cell r="AQ73">
            <v>2261765</v>
          </cell>
          <cell r="AV73">
            <v>1146180</v>
          </cell>
          <cell r="BA73">
            <v>1005353</v>
          </cell>
          <cell r="BF73">
            <v>41798</v>
          </cell>
          <cell r="BK73">
            <v>360442</v>
          </cell>
          <cell r="BP73">
            <v>3730402</v>
          </cell>
        </row>
        <row r="74">
          <cell r="M74">
            <v>0</v>
          </cell>
          <cell r="R74">
            <v>0</v>
          </cell>
          <cell r="W74">
            <v>0</v>
          </cell>
          <cell r="AB74">
            <v>0</v>
          </cell>
          <cell r="AG74">
            <v>-98</v>
          </cell>
          <cell r="AL74">
            <v>0</v>
          </cell>
          <cell r="AQ74">
            <v>-372528</v>
          </cell>
          <cell r="AV74">
            <v>0</v>
          </cell>
          <cell r="BA74">
            <v>0</v>
          </cell>
          <cell r="BF74">
            <v>0</v>
          </cell>
          <cell r="BK74">
            <v>0</v>
          </cell>
          <cell r="BP74">
            <v>-77</v>
          </cell>
        </row>
      </sheetData>
      <sheetData sheetId="1" refreshError="1"/>
      <sheetData sheetId="2" refreshError="1"/>
      <sheetData sheetId="3" refreshError="1"/>
      <sheetData sheetId="4" refreshError="1">
        <row r="18">
          <cell r="R18">
            <v>159100607</v>
          </cell>
          <cell r="W18">
            <v>157556488</v>
          </cell>
          <cell r="AB18">
            <v>154393121</v>
          </cell>
          <cell r="AG18">
            <v>153790115</v>
          </cell>
          <cell r="AL18">
            <v>226475319</v>
          </cell>
          <cell r="AQ18">
            <v>223710506</v>
          </cell>
          <cell r="AV18">
            <v>222808884</v>
          </cell>
          <cell r="BA18">
            <v>216296990</v>
          </cell>
          <cell r="BF18">
            <v>214990489</v>
          </cell>
          <cell r="BK18">
            <v>214239939</v>
          </cell>
          <cell r="BP18">
            <v>191125443</v>
          </cell>
        </row>
        <row r="19">
          <cell r="R19">
            <v>33339485</v>
          </cell>
          <cell r="W19">
            <v>115078441</v>
          </cell>
          <cell r="AB19">
            <v>46756026</v>
          </cell>
          <cell r="AG19">
            <v>36843796</v>
          </cell>
          <cell r="AL19">
            <v>68686871</v>
          </cell>
          <cell r="AQ19">
            <v>68719811</v>
          </cell>
          <cell r="AV19">
            <v>78991172</v>
          </cell>
          <cell r="BA19">
            <v>93399589</v>
          </cell>
          <cell r="BF19">
            <v>61341436</v>
          </cell>
          <cell r="BK19">
            <v>90031748</v>
          </cell>
          <cell r="BP19">
            <v>44536225</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W32">
            <v>0</v>
          </cell>
        </row>
        <row r="33">
          <cell r="W33">
            <v>0</v>
          </cell>
        </row>
        <row r="34">
          <cell r="W34">
            <v>0</v>
          </cell>
        </row>
        <row r="37">
          <cell r="W37">
            <v>0</v>
          </cell>
        </row>
        <row r="38">
          <cell r="W38">
            <v>0</v>
          </cell>
        </row>
        <row r="47">
          <cell r="W47">
            <v>0</v>
          </cell>
        </row>
        <row r="48">
          <cell r="W48">
            <v>0</v>
          </cell>
        </row>
        <row r="50">
          <cell r="W50">
            <v>0</v>
          </cell>
        </row>
        <row r="51">
          <cell r="W51">
            <v>0</v>
          </cell>
        </row>
      </sheetData>
      <sheetData sheetId="1" refreshError="1"/>
      <sheetData sheetId="2" refreshError="1"/>
      <sheetData sheetId="3" refreshError="1"/>
      <sheetData sheetId="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AB32">
            <v>0</v>
          </cell>
        </row>
        <row r="33">
          <cell r="AB33">
            <v>0</v>
          </cell>
        </row>
        <row r="34">
          <cell r="AB34">
            <v>0</v>
          </cell>
        </row>
        <row r="37">
          <cell r="AB37">
            <v>0</v>
          </cell>
        </row>
        <row r="38">
          <cell r="AB38">
            <v>0</v>
          </cell>
        </row>
        <row r="47">
          <cell r="AB47">
            <v>0</v>
          </cell>
        </row>
        <row r="48">
          <cell r="AB48">
            <v>0</v>
          </cell>
        </row>
        <row r="50">
          <cell r="AB50">
            <v>0</v>
          </cell>
        </row>
        <row r="51">
          <cell r="AB51">
            <v>0</v>
          </cell>
        </row>
      </sheetData>
      <sheetData sheetId="1" refreshError="1"/>
      <sheetData sheetId="2" refreshError="1"/>
      <sheetData sheetId="3" refreshError="1"/>
      <sheetData sheetId="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AG32">
            <v>0</v>
          </cell>
        </row>
        <row r="33">
          <cell r="AG33">
            <v>0</v>
          </cell>
        </row>
        <row r="34">
          <cell r="AG34">
            <v>0</v>
          </cell>
        </row>
        <row r="47">
          <cell r="AG47">
            <v>0</v>
          </cell>
        </row>
        <row r="48">
          <cell r="AG48">
            <v>0</v>
          </cell>
        </row>
        <row r="50">
          <cell r="AG50">
            <v>0</v>
          </cell>
        </row>
        <row r="51">
          <cell r="AG51">
            <v>0</v>
          </cell>
        </row>
      </sheetData>
      <sheetData sheetId="1" refreshError="1"/>
      <sheetData sheetId="2" refreshError="1"/>
      <sheetData sheetId="3" refreshError="1"/>
      <sheetData sheetId="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AL32">
            <v>0</v>
          </cell>
        </row>
        <row r="33">
          <cell r="AL33">
            <v>0</v>
          </cell>
        </row>
        <row r="34">
          <cell r="AL34">
            <v>0</v>
          </cell>
        </row>
        <row r="48">
          <cell r="AL48">
            <v>0</v>
          </cell>
        </row>
        <row r="50">
          <cell r="AL50">
            <v>0</v>
          </cell>
        </row>
        <row r="51">
          <cell r="AL51">
            <v>0</v>
          </cell>
        </row>
      </sheetData>
      <sheetData sheetId="1" refreshError="1"/>
      <sheetData sheetId="2" refreshError="1"/>
      <sheetData sheetId="3" refreshError="1"/>
      <sheetData sheetId="4"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AQ32">
            <v>0</v>
          </cell>
        </row>
        <row r="33">
          <cell r="AQ33">
            <v>0</v>
          </cell>
        </row>
        <row r="34">
          <cell r="AQ34">
            <v>0</v>
          </cell>
        </row>
        <row r="37">
          <cell r="AQ37">
            <v>0</v>
          </cell>
        </row>
        <row r="38">
          <cell r="AQ38">
            <v>0</v>
          </cell>
        </row>
        <row r="47">
          <cell r="AQ47">
            <v>0</v>
          </cell>
        </row>
        <row r="48">
          <cell r="AQ48">
            <v>0</v>
          </cell>
        </row>
      </sheetData>
      <sheetData sheetId="1" refreshError="1"/>
      <sheetData sheetId="2" refreshError="1"/>
      <sheetData sheetId="3" refreshError="1"/>
      <sheetData sheetId="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AV32">
            <v>0</v>
          </cell>
        </row>
        <row r="33">
          <cell r="AV33">
            <v>0</v>
          </cell>
        </row>
        <row r="34">
          <cell r="AV34">
            <v>0</v>
          </cell>
        </row>
        <row r="47">
          <cell r="AV47">
            <v>0</v>
          </cell>
        </row>
        <row r="48">
          <cell r="AV48">
            <v>0</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1"/>
    </sheetNames>
    <sheetDataSet>
      <sheetData sheetId="0">
        <row r="114">
          <cell r="P114">
            <v>99218194.778589994</v>
          </cell>
          <cell r="V114">
            <v>1345880147.4470804</v>
          </cell>
          <cell r="AD114">
            <v>95520711.034100011</v>
          </cell>
        </row>
        <row r="148">
          <cell r="V148">
            <v>1345204000.9348805</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BA32">
            <v>0</v>
          </cell>
        </row>
        <row r="33">
          <cell r="BA33">
            <v>0</v>
          </cell>
        </row>
        <row r="34">
          <cell r="BA34">
            <v>0</v>
          </cell>
        </row>
        <row r="37">
          <cell r="BA37">
            <v>0</v>
          </cell>
        </row>
        <row r="38">
          <cell r="BA38">
            <v>0</v>
          </cell>
        </row>
        <row r="47">
          <cell r="BA47">
            <v>0</v>
          </cell>
        </row>
        <row r="48">
          <cell r="BA48">
            <v>0</v>
          </cell>
        </row>
        <row r="50">
          <cell r="BA50">
            <v>0</v>
          </cell>
        </row>
        <row r="51">
          <cell r="BA51">
            <v>0</v>
          </cell>
        </row>
      </sheetData>
      <sheetData sheetId="1" refreshError="1"/>
      <sheetData sheetId="2" refreshError="1"/>
      <sheetData sheetId="3" refreshError="1"/>
      <sheetData sheetId="4"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BF32">
            <v>0</v>
          </cell>
        </row>
        <row r="33">
          <cell r="BF33">
            <v>0</v>
          </cell>
        </row>
        <row r="34">
          <cell r="BF34">
            <v>0</v>
          </cell>
        </row>
        <row r="37">
          <cell r="BF37">
            <v>0</v>
          </cell>
        </row>
        <row r="38">
          <cell r="BF38">
            <v>0</v>
          </cell>
        </row>
        <row r="47">
          <cell r="BF47">
            <v>0</v>
          </cell>
        </row>
        <row r="48">
          <cell r="BF48">
            <v>0</v>
          </cell>
        </row>
        <row r="50">
          <cell r="BF50">
            <v>0</v>
          </cell>
        </row>
        <row r="51">
          <cell r="BF51">
            <v>0</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2">
          <cell r="BK32">
            <v>0</v>
          </cell>
        </row>
        <row r="33">
          <cell r="BK33">
            <v>0</v>
          </cell>
        </row>
        <row r="34">
          <cell r="BK34">
            <v>0</v>
          </cell>
        </row>
        <row r="37">
          <cell r="BK37">
            <v>0</v>
          </cell>
        </row>
        <row r="38">
          <cell r="BK38">
            <v>0</v>
          </cell>
        </row>
        <row r="47">
          <cell r="BK47">
            <v>0</v>
          </cell>
        </row>
        <row r="48">
          <cell r="BK48">
            <v>0</v>
          </cell>
        </row>
        <row r="50">
          <cell r="BK50">
            <v>0</v>
          </cell>
        </row>
        <row r="51">
          <cell r="BK51">
            <v>0</v>
          </cell>
        </row>
      </sheetData>
      <sheetData sheetId="1" refreshError="1"/>
      <sheetData sheetId="2" refreshError="1"/>
      <sheetData sheetId="3" refreshError="1"/>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37">
          <cell r="R37">
            <v>0</v>
          </cell>
        </row>
        <row r="38">
          <cell r="R38">
            <v>0</v>
          </cell>
        </row>
        <row r="47">
          <cell r="R47">
            <v>0</v>
          </cell>
        </row>
        <row r="48">
          <cell r="R48">
            <v>0</v>
          </cell>
        </row>
      </sheetData>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47">
          <cell r="BU47">
            <v>0</v>
          </cell>
        </row>
        <row r="48">
          <cell r="BU48">
            <v>0</v>
          </cell>
        </row>
        <row r="73">
          <cell r="BU73">
            <v>0</v>
          </cell>
        </row>
      </sheetData>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55">
          <cell r="H55">
            <v>0</v>
          </cell>
          <cell r="M55">
            <v>0</v>
          </cell>
        </row>
        <row r="56">
          <cell r="H56">
            <v>0</v>
          </cell>
          <cell r="M56">
            <v>0</v>
          </cell>
        </row>
        <row r="58">
          <cell r="H58">
            <v>0</v>
          </cell>
          <cell r="M58">
            <v>0</v>
          </cell>
        </row>
        <row r="59">
          <cell r="H59">
            <v>0</v>
          </cell>
          <cell r="M59">
            <v>0</v>
          </cell>
        </row>
      </sheetData>
      <sheetData sheetId="1" refreshError="1"/>
      <sheetData sheetId="2" refreshError="1"/>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55">
          <cell r="R55">
            <v>0</v>
          </cell>
        </row>
        <row r="56">
          <cell r="R56">
            <v>0</v>
          </cell>
        </row>
        <row r="58">
          <cell r="R58">
            <v>0</v>
          </cell>
        </row>
        <row r="59">
          <cell r="R59">
            <v>0</v>
          </cell>
        </row>
      </sheetData>
      <sheetData sheetId="1" refreshError="1"/>
      <sheetData sheetId="2" refreshError="1"/>
      <sheetData sheetId="3" refreshError="1"/>
      <sheetData sheetId="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omlongtermissues"/>
      <sheetName val="domredemp"/>
      <sheetName val="foreigndebt"/>
      <sheetName val="cashbalances"/>
    </sheetNames>
    <sheetDataSet>
      <sheetData sheetId="0" refreshError="1">
        <row r="55">
          <cell r="BP55">
            <v>0</v>
          </cell>
        </row>
        <row r="56">
          <cell r="BP56">
            <v>0</v>
          </cell>
        </row>
        <row r="58">
          <cell r="BP58">
            <v>0</v>
          </cell>
        </row>
        <row r="59">
          <cell r="BP59">
            <v>0</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CB239"/>
  <sheetViews>
    <sheetView view="pageBreakPreview" topLeftCell="A24" zoomScale="110" zoomScaleNormal="110" zoomScaleSheetLayoutView="110" workbookViewId="0">
      <selection activeCell="B1" sqref="A1:XFD2"/>
    </sheetView>
  </sheetViews>
  <sheetFormatPr defaultColWidth="3" defaultRowHeight="12.75" x14ac:dyDescent="0.25"/>
  <cols>
    <col min="1" max="1" width="0.85546875" style="666" customWidth="1"/>
    <col min="2" max="2" width="1" style="666" customWidth="1"/>
    <col min="3" max="3" width="1.28515625" style="666" customWidth="1"/>
    <col min="4" max="4" width="50.5703125" style="666" customWidth="1"/>
    <col min="5" max="5" width="4.7109375" style="666" customWidth="1"/>
    <col min="6" max="6" width="5.7109375" style="666" customWidth="1"/>
    <col min="7" max="7" width="18.5703125" style="666" customWidth="1"/>
    <col min="8" max="8" width="15.7109375" style="666" hidden="1" customWidth="1"/>
    <col min="9" max="9" width="16.28515625" style="666" hidden="1" customWidth="1"/>
    <col min="10" max="10" width="17.140625" style="666" hidden="1" customWidth="1"/>
    <col min="11" max="13" width="16.28515625" style="666" hidden="1" customWidth="1"/>
    <col min="14" max="14" width="17" style="666" hidden="1" customWidth="1"/>
    <col min="15" max="15" width="16.28515625" style="666" hidden="1" customWidth="1"/>
    <col min="16" max="16" width="17.140625" style="666" hidden="1" customWidth="1"/>
    <col min="17" max="17" width="18.5703125" style="666" hidden="1" customWidth="1"/>
    <col min="18" max="18" width="16.42578125" style="666" hidden="1" customWidth="1"/>
    <col min="19" max="20" width="16.42578125" style="666" customWidth="1"/>
    <col min="21" max="21" width="17" style="666" customWidth="1"/>
    <col min="22" max="22" width="14.85546875" style="666" hidden="1" customWidth="1"/>
    <col min="23" max="23" width="16.28515625" style="666" hidden="1" customWidth="1"/>
    <col min="24" max="24" width="16.5703125" style="666" hidden="1" customWidth="1"/>
    <col min="25" max="25" width="15.42578125" style="666" hidden="1" customWidth="1"/>
    <col min="26" max="26" width="16.28515625" style="666" hidden="1" customWidth="1"/>
    <col min="27" max="27" width="17.140625" style="666" hidden="1" customWidth="1"/>
    <col min="28" max="28" width="17" style="666" hidden="1" customWidth="1"/>
    <col min="29" max="29" width="16.7109375" style="666" hidden="1" customWidth="1"/>
    <col min="30" max="31" width="18.5703125" style="666" hidden="1" customWidth="1"/>
    <col min="32" max="32" width="17.5703125" style="666" hidden="1" customWidth="1"/>
    <col min="33" max="33" width="16.7109375" style="666" customWidth="1"/>
    <col min="34" max="34" width="18.5703125" style="666" customWidth="1"/>
    <col min="35" max="35" width="1.7109375" style="666" customWidth="1"/>
    <col min="36" max="36" width="12.7109375" style="666" customWidth="1"/>
    <col min="37" max="37" width="11.28515625" style="666" bestFit="1" customWidth="1"/>
    <col min="38" max="49" width="8.7109375" style="666" customWidth="1"/>
    <col min="50" max="50" width="10.28515625" style="666" customWidth="1"/>
    <col min="51" max="51" width="9.28515625" style="666" customWidth="1"/>
    <col min="52" max="52" width="7.7109375" style="666" customWidth="1"/>
    <col min="53" max="53" width="7.28515625" style="666" customWidth="1"/>
    <col min="54" max="54" width="3.7109375" style="666" customWidth="1"/>
    <col min="55" max="58" width="3.140625" style="666" customWidth="1"/>
    <col min="59" max="59" width="4" style="666" customWidth="1"/>
    <col min="60" max="60" width="3.28515625" style="666" customWidth="1"/>
    <col min="61" max="63" width="3.140625" style="666" customWidth="1"/>
    <col min="64" max="64" width="9.28515625" style="666" customWidth="1"/>
    <col min="65" max="66" width="3.140625" style="666" customWidth="1"/>
    <col min="67" max="109" width="1.7109375" style="666" customWidth="1"/>
    <col min="110" max="16384" width="3" style="666"/>
  </cols>
  <sheetData>
    <row r="1" spans="2:80" s="656" customFormat="1" hidden="1" x14ac:dyDescent="0.25">
      <c r="B1" s="742" t="s">
        <v>605</v>
      </c>
      <c r="C1" s="743"/>
      <c r="D1" s="743"/>
      <c r="E1" s="743"/>
      <c r="F1" s="743"/>
      <c r="G1" s="743"/>
      <c r="H1" s="743"/>
      <c r="I1" s="743"/>
      <c r="J1" s="743"/>
      <c r="K1" s="743"/>
      <c r="L1" s="743"/>
      <c r="M1" s="743"/>
      <c r="N1" s="743"/>
      <c r="O1" s="743"/>
      <c r="P1" s="743"/>
      <c r="Q1" s="743"/>
      <c r="R1" s="743"/>
      <c r="S1" s="743"/>
      <c r="T1" s="743"/>
      <c r="U1" s="743"/>
      <c r="V1" s="743"/>
      <c r="W1" s="743"/>
      <c r="X1" s="743"/>
      <c r="Y1" s="743"/>
      <c r="Z1" s="743"/>
      <c r="AA1" s="743"/>
      <c r="AB1" s="743"/>
      <c r="AC1" s="743"/>
      <c r="AD1" s="743"/>
      <c r="AE1" s="743"/>
      <c r="AF1" s="743"/>
      <c r="AG1" s="743"/>
      <c r="AH1" s="744"/>
      <c r="AI1" s="655"/>
    </row>
    <row r="2" spans="2:80" s="659" customFormat="1" ht="18.75" hidden="1" customHeight="1" thickBot="1" x14ac:dyDescent="0.3">
      <c r="B2" s="745" t="s">
        <v>606</v>
      </c>
      <c r="C2" s="746"/>
      <c r="D2" s="746"/>
      <c r="E2" s="746"/>
      <c r="F2" s="746"/>
      <c r="G2" s="746"/>
      <c r="H2" s="746"/>
      <c r="I2" s="746"/>
      <c r="J2" s="746"/>
      <c r="K2" s="746"/>
      <c r="L2" s="746"/>
      <c r="M2" s="746"/>
      <c r="N2" s="746"/>
      <c r="O2" s="746"/>
      <c r="P2" s="746"/>
      <c r="Q2" s="746"/>
      <c r="R2" s="746"/>
      <c r="S2" s="746"/>
      <c r="T2" s="746"/>
      <c r="U2" s="746"/>
      <c r="V2" s="746"/>
      <c r="W2" s="746"/>
      <c r="X2" s="746"/>
      <c r="Y2" s="746"/>
      <c r="Z2" s="746"/>
      <c r="AA2" s="746"/>
      <c r="AB2" s="746"/>
      <c r="AC2" s="746"/>
      <c r="AD2" s="746"/>
      <c r="AE2" s="746"/>
      <c r="AF2" s="746"/>
      <c r="AG2" s="746"/>
      <c r="AH2" s="747"/>
      <c r="AI2" s="657"/>
      <c r="AJ2" s="658"/>
      <c r="AK2" s="658"/>
      <c r="AL2" s="658"/>
      <c r="AM2" s="658"/>
      <c r="AN2" s="658"/>
      <c r="AO2" s="658"/>
      <c r="AP2" s="658"/>
      <c r="AQ2" s="658"/>
      <c r="AR2" s="658"/>
      <c r="AS2" s="658"/>
      <c r="AT2" s="658"/>
      <c r="AU2" s="658"/>
      <c r="AV2" s="658"/>
      <c r="AW2" s="658"/>
      <c r="AX2" s="658"/>
      <c r="AY2" s="658"/>
      <c r="AZ2" s="658"/>
      <c r="BA2" s="658"/>
      <c r="BB2" s="658"/>
      <c r="BC2" s="658"/>
      <c r="BD2" s="658"/>
      <c r="BE2" s="658"/>
      <c r="BF2" s="658"/>
      <c r="BG2" s="658"/>
      <c r="BH2" s="658"/>
      <c r="BI2" s="658"/>
      <c r="BJ2" s="658"/>
      <c r="BK2" s="658"/>
      <c r="BL2" s="658"/>
    </row>
    <row r="3" spans="2:80" s="659" customFormat="1" ht="15.75" x14ac:dyDescent="0.25">
      <c r="B3" s="518"/>
      <c r="C3" s="526"/>
      <c r="F3" s="660"/>
      <c r="H3" s="3"/>
      <c r="I3" s="3"/>
      <c r="J3" s="3"/>
      <c r="K3" s="3"/>
      <c r="L3" s="3"/>
      <c r="M3" s="3"/>
      <c r="N3" s="3"/>
      <c r="O3" s="3"/>
      <c r="P3" s="3"/>
      <c r="Q3" s="3"/>
      <c r="R3" s="3"/>
      <c r="S3" s="3"/>
      <c r="T3" s="660"/>
      <c r="U3" s="660"/>
      <c r="V3" s="660"/>
      <c r="W3" s="660"/>
      <c r="X3" s="660"/>
      <c r="Y3" s="660"/>
      <c r="Z3" s="660"/>
      <c r="AA3" s="660"/>
      <c r="AB3" s="660"/>
      <c r="AC3" s="660"/>
      <c r="AD3" s="660"/>
      <c r="AE3" s="660"/>
      <c r="AF3" s="660"/>
      <c r="AG3" s="660"/>
    </row>
    <row r="4" spans="2:80" ht="15.75" x14ac:dyDescent="0.25">
      <c r="B4" s="661" t="s">
        <v>607</v>
      </c>
      <c r="C4" s="662"/>
      <c r="D4" s="663"/>
      <c r="E4" s="663"/>
      <c r="F4" s="664"/>
      <c r="G4" s="663"/>
      <c r="H4" s="665"/>
      <c r="I4" s="665"/>
      <c r="J4" s="665"/>
      <c r="K4" s="665"/>
      <c r="L4" s="665"/>
      <c r="M4" s="665"/>
      <c r="N4" s="665"/>
      <c r="O4" s="665"/>
      <c r="P4" s="665"/>
      <c r="Q4" s="665"/>
      <c r="R4" s="665"/>
      <c r="S4" s="665"/>
      <c r="T4" s="664"/>
      <c r="U4" s="660"/>
      <c r="V4" s="660"/>
      <c r="W4" s="660"/>
      <c r="X4" s="660"/>
      <c r="Y4" s="660"/>
      <c r="Z4" s="660"/>
      <c r="AA4" s="660"/>
      <c r="AB4" s="660"/>
      <c r="AC4" s="660"/>
      <c r="AD4" s="660"/>
      <c r="AE4" s="660"/>
      <c r="AF4" s="660"/>
      <c r="AG4" s="660"/>
      <c r="AH4" s="659"/>
    </row>
    <row r="5" spans="2:80" s="509" customFormat="1" x14ac:dyDescent="0.2">
      <c r="B5" s="525"/>
      <c r="C5" s="526"/>
      <c r="D5" s="526"/>
      <c r="E5" s="526"/>
      <c r="F5" s="667"/>
      <c r="G5" s="748" t="s">
        <v>0</v>
      </c>
      <c r="H5" s="749"/>
      <c r="I5" s="749"/>
      <c r="J5" s="749"/>
      <c r="K5" s="749"/>
      <c r="L5" s="749"/>
      <c r="M5" s="749"/>
      <c r="N5" s="749"/>
      <c r="O5" s="749"/>
      <c r="P5" s="749"/>
      <c r="Q5" s="749"/>
      <c r="R5" s="749"/>
      <c r="S5" s="749"/>
      <c r="T5" s="750"/>
      <c r="U5" s="748" t="s">
        <v>1</v>
      </c>
      <c r="V5" s="749"/>
      <c r="W5" s="749"/>
      <c r="X5" s="749"/>
      <c r="Y5" s="749"/>
      <c r="Z5" s="749"/>
      <c r="AA5" s="749"/>
      <c r="AB5" s="749"/>
      <c r="AC5" s="749"/>
      <c r="AD5" s="749"/>
      <c r="AE5" s="749"/>
      <c r="AF5" s="749"/>
      <c r="AG5" s="749"/>
      <c r="AH5" s="751"/>
      <c r="AI5" s="524"/>
    </row>
    <row r="6" spans="2:80" s="509" customFormat="1" x14ac:dyDescent="0.2">
      <c r="B6" s="525"/>
      <c r="C6" s="526"/>
      <c r="D6" s="526"/>
      <c r="E6" s="526"/>
      <c r="F6" s="668"/>
      <c r="G6" s="669" t="s">
        <v>2</v>
      </c>
      <c r="H6" s="669" t="s">
        <v>3</v>
      </c>
      <c r="I6" s="670" t="s">
        <v>4</v>
      </c>
      <c r="J6" s="670" t="s">
        <v>5</v>
      </c>
      <c r="K6" s="670" t="s">
        <v>6</v>
      </c>
      <c r="L6" s="670" t="s">
        <v>7</v>
      </c>
      <c r="M6" s="670" t="s">
        <v>8</v>
      </c>
      <c r="N6" s="670" t="s">
        <v>9</v>
      </c>
      <c r="O6" s="670" t="s">
        <v>10</v>
      </c>
      <c r="P6" s="670" t="s">
        <v>11</v>
      </c>
      <c r="Q6" s="670" t="s">
        <v>12</v>
      </c>
      <c r="R6" s="670" t="s">
        <v>13</v>
      </c>
      <c r="S6" s="670" t="s">
        <v>14</v>
      </c>
      <c r="T6" s="671" t="s">
        <v>15</v>
      </c>
      <c r="U6" s="669" t="s">
        <v>16</v>
      </c>
      <c r="V6" s="669" t="s">
        <v>3</v>
      </c>
      <c r="W6" s="669" t="s">
        <v>4</v>
      </c>
      <c r="X6" s="669" t="s">
        <v>5</v>
      </c>
      <c r="Y6" s="669" t="s">
        <v>6</v>
      </c>
      <c r="Z6" s="669" t="s">
        <v>7</v>
      </c>
      <c r="AA6" s="669" t="s">
        <v>8</v>
      </c>
      <c r="AB6" s="669" t="s">
        <v>9</v>
      </c>
      <c r="AC6" s="669" t="s">
        <v>10</v>
      </c>
      <c r="AD6" s="669" t="s">
        <v>11</v>
      </c>
      <c r="AE6" s="669" t="s">
        <v>12</v>
      </c>
      <c r="AF6" s="669" t="s">
        <v>13</v>
      </c>
      <c r="AG6" s="669" t="s">
        <v>14</v>
      </c>
      <c r="AH6" s="672" t="s">
        <v>15</v>
      </c>
      <c r="AI6" s="524"/>
      <c r="AK6" s="557"/>
      <c r="AL6" s="557"/>
      <c r="AM6" s="557"/>
      <c r="AN6" s="557"/>
      <c r="AO6" s="557"/>
      <c r="AP6" s="557"/>
      <c r="AQ6" s="557"/>
      <c r="AR6" s="557"/>
      <c r="AS6" s="557"/>
      <c r="AT6" s="557"/>
      <c r="AU6" s="557"/>
      <c r="AV6" s="557"/>
      <c r="AW6" s="557"/>
      <c r="AX6" s="557"/>
      <c r="AY6" s="557"/>
      <c r="AZ6" s="557"/>
      <c r="BA6" s="557"/>
      <c r="BB6" s="557"/>
      <c r="BC6" s="557"/>
      <c r="BD6" s="557"/>
      <c r="BE6" s="557"/>
      <c r="BF6" s="557"/>
      <c r="BG6" s="557"/>
      <c r="BH6" s="557"/>
      <c r="BI6" s="557"/>
      <c r="BJ6" s="557"/>
      <c r="BK6" s="557"/>
      <c r="BL6" s="557"/>
    </row>
    <row r="7" spans="2:80" s="509" customFormat="1" x14ac:dyDescent="0.2">
      <c r="B7" s="532" t="s">
        <v>17</v>
      </c>
      <c r="C7" s="533"/>
      <c r="D7" s="533"/>
      <c r="E7" s="533"/>
      <c r="F7" s="539" t="s">
        <v>18</v>
      </c>
      <c r="G7" s="673" t="s">
        <v>19</v>
      </c>
      <c r="H7" s="673"/>
      <c r="I7" s="674"/>
      <c r="J7" s="674"/>
      <c r="K7" s="674"/>
      <c r="L7" s="674"/>
      <c r="M7" s="674"/>
      <c r="N7" s="674"/>
      <c r="O7" s="674"/>
      <c r="P7" s="674"/>
      <c r="Q7" s="674"/>
      <c r="R7" s="674"/>
      <c r="S7" s="674"/>
      <c r="T7" s="534"/>
      <c r="U7" s="536" t="s">
        <v>608</v>
      </c>
      <c r="V7" s="673"/>
      <c r="W7" s="673"/>
      <c r="X7" s="673"/>
      <c r="Y7" s="673"/>
      <c r="Z7" s="673"/>
      <c r="AA7" s="673"/>
      <c r="AB7" s="673"/>
      <c r="AC7" s="673"/>
      <c r="AD7" s="673"/>
      <c r="AE7" s="673"/>
      <c r="AF7" s="673"/>
      <c r="AG7" s="673"/>
      <c r="AH7" s="675"/>
      <c r="AI7" s="524"/>
      <c r="AK7" s="557"/>
      <c r="AL7" s="557"/>
      <c r="AM7" s="557"/>
      <c r="AN7" s="557"/>
      <c r="AO7" s="557"/>
      <c r="AP7" s="557"/>
      <c r="AQ7" s="557"/>
      <c r="AR7" s="557"/>
      <c r="AS7" s="557"/>
      <c r="AT7" s="557"/>
      <c r="AU7" s="557"/>
      <c r="AV7" s="557"/>
      <c r="AW7" s="557"/>
      <c r="AX7" s="557"/>
      <c r="AY7" s="557"/>
      <c r="AZ7" s="557"/>
      <c r="BA7" s="557"/>
      <c r="BB7" s="557"/>
      <c r="BC7" s="557"/>
      <c r="BD7" s="557"/>
      <c r="BE7" s="557"/>
      <c r="BF7" s="557"/>
      <c r="BG7" s="557"/>
      <c r="BH7" s="557"/>
      <c r="BI7" s="557"/>
      <c r="BJ7" s="557"/>
      <c r="BK7" s="557"/>
      <c r="BL7" s="557"/>
    </row>
    <row r="8" spans="2:80" s="509" customFormat="1" ht="13.5" thickBot="1" x14ac:dyDescent="0.25">
      <c r="B8" s="676"/>
      <c r="C8" s="677"/>
      <c r="D8" s="677"/>
      <c r="E8" s="677"/>
      <c r="F8" s="678"/>
      <c r="G8" s="679"/>
      <c r="H8" s="546"/>
      <c r="I8" s="546"/>
      <c r="J8" s="546"/>
      <c r="K8" s="546"/>
      <c r="L8" s="546"/>
      <c r="M8" s="680"/>
      <c r="N8" s="680"/>
      <c r="O8" s="680"/>
      <c r="P8" s="680"/>
      <c r="Q8" s="680"/>
      <c r="R8" s="680"/>
      <c r="S8" s="680"/>
      <c r="T8" s="681"/>
      <c r="U8" s="682"/>
      <c r="V8" s="679"/>
      <c r="W8" s="679"/>
      <c r="X8" s="679"/>
      <c r="Y8" s="679"/>
      <c r="Z8" s="679"/>
      <c r="AA8" s="679"/>
      <c r="AB8" s="679"/>
      <c r="AC8" s="679"/>
      <c r="AD8" s="679"/>
      <c r="AE8" s="679"/>
      <c r="AF8" s="679"/>
      <c r="AG8" s="679"/>
      <c r="AH8" s="683"/>
      <c r="AI8" s="524"/>
      <c r="AJ8" s="519"/>
      <c r="AK8" s="740"/>
      <c r="AL8" s="740"/>
      <c r="AM8" s="740"/>
      <c r="AN8" s="740"/>
      <c r="AO8" s="740"/>
      <c r="AP8" s="740"/>
      <c r="AQ8" s="740"/>
      <c r="AR8" s="740"/>
      <c r="AS8" s="740"/>
      <c r="AT8" s="740"/>
      <c r="AU8" s="740"/>
      <c r="AV8" s="740"/>
      <c r="AW8" s="740"/>
      <c r="AX8" s="740"/>
      <c r="AZ8" s="740"/>
      <c r="BA8" s="740"/>
      <c r="BB8" s="740"/>
      <c r="BC8" s="740"/>
    </row>
    <row r="9" spans="2:80" s="509" customFormat="1" ht="13.5" thickBot="1" x14ac:dyDescent="0.25">
      <c r="B9" s="525" t="s">
        <v>609</v>
      </c>
      <c r="C9" s="526"/>
      <c r="D9" s="510"/>
      <c r="E9" s="510"/>
      <c r="F9" s="668">
        <v>1</v>
      </c>
      <c r="G9" s="546">
        <f>+'[1]Statement 1'!$H$114</f>
        <v>1200785660.997653</v>
      </c>
      <c r="H9" s="546">
        <f>+'[2]Statement 1'!$I$114</f>
        <v>63095740.380769998</v>
      </c>
      <c r="I9" s="684">
        <f>+'[3]Statement 1'!$J$114</f>
        <v>68106446.022430018</v>
      </c>
      <c r="J9" s="684">
        <f>+'[4]Statement 1'!$K$114</f>
        <v>108554101.37664002</v>
      </c>
      <c r="K9" s="684">
        <f>+'[5]Statement 1'!$L$114</f>
        <v>62846312.960169993</v>
      </c>
      <c r="L9" s="684">
        <f>+'[6]Statement 1'!$M$114</f>
        <v>101855148.66649999</v>
      </c>
      <c r="M9" s="684">
        <f>+'[7]Statement 1'!$N$114</f>
        <v>105679255.27216996</v>
      </c>
      <c r="N9" s="684">
        <f>+'[8]Statement 1'!$O$114</f>
        <v>83230717.11586</v>
      </c>
      <c r="O9" s="684">
        <f>+'[9]Statement 1'!$P$114</f>
        <v>99218194.778589994</v>
      </c>
      <c r="P9" s="684">
        <f>+'[10]Statement 1'!$Q$114</f>
        <v>176370693.76949999</v>
      </c>
      <c r="Q9" s="684">
        <f>+'[11]Statement 1'!$R$114</f>
        <v>87476541.460689977</v>
      </c>
      <c r="R9" s="684">
        <f>+'[1]Statement 1'!$S$114</f>
        <v>132745358.18300997</v>
      </c>
      <c r="S9" s="684">
        <f>+'[3]Statement 1'!$T$114</f>
        <v>146956569.37684998</v>
      </c>
      <c r="T9" s="13">
        <f>SUM(H9:S9)</f>
        <v>1236135079.3631797</v>
      </c>
      <c r="U9" s="14">
        <f>+'[9]Statement 1'!$V$114</f>
        <v>1345880147.4470804</v>
      </c>
      <c r="V9" s="546">
        <f>+'[2]Statement 1'!$W$114</f>
        <v>73824343.085730031</v>
      </c>
      <c r="W9" s="546">
        <f>+'[3]Statement 1'!$X$114</f>
        <v>96920893.069020018</v>
      </c>
      <c r="X9" s="546">
        <f>+'[4]Statement 1'!$Y$114</f>
        <v>147241477.99728</v>
      </c>
      <c r="Y9" s="546">
        <f>+'[5]Statement 1'!$Z$114</f>
        <v>73749809.529299989</v>
      </c>
      <c r="Z9" s="546">
        <f>+'[6]Statement 1'!$AA$114</f>
        <v>117932465.64524999</v>
      </c>
      <c r="AA9" s="546">
        <f>+'[7]Statement 1'!$AB$114</f>
        <v>117713729.27432001</v>
      </c>
      <c r="AB9" s="546">
        <f>+'[12]Statement 1'!$AC$114</f>
        <v>83787244.734929979</v>
      </c>
      <c r="AC9" s="546">
        <f>+'[9]Statement 1'!$AD$114</f>
        <v>95520711.034100011</v>
      </c>
      <c r="AD9" s="546">
        <f>+'[10]Statement 1'!$AE$114</f>
        <v>160349623.42506</v>
      </c>
      <c r="AE9" s="546">
        <f>+'[11]Statement 1'!$AF$114</f>
        <v>91356528.666240022</v>
      </c>
      <c r="AF9" s="546">
        <f>+'[1]Statement 1'!$AG$114</f>
        <v>144478940.09164</v>
      </c>
      <c r="AG9" s="546">
        <f>+'[3]Statement 1'!$AH$114</f>
        <v>143004381.44247997</v>
      </c>
      <c r="AH9" s="13">
        <f>SUM(V9:AG9)-1</f>
        <v>1345880146.9953499</v>
      </c>
      <c r="AI9" s="548"/>
      <c r="AJ9" s="541"/>
      <c r="AK9" s="685"/>
      <c r="AL9" s="686"/>
      <c r="AM9" s="686"/>
      <c r="AN9" s="686"/>
      <c r="AO9" s="686"/>
      <c r="AP9" s="686"/>
      <c r="AQ9" s="686"/>
      <c r="AR9" s="686"/>
      <c r="AS9" s="686"/>
      <c r="AT9" s="686"/>
      <c r="AU9" s="686"/>
      <c r="AV9" s="686"/>
      <c r="AW9" s="686"/>
      <c r="AX9" s="687"/>
      <c r="AY9" s="688"/>
      <c r="AZ9" s="688"/>
      <c r="BA9" s="688"/>
      <c r="BB9" s="688"/>
      <c r="BC9" s="688"/>
      <c r="BD9" s="688"/>
      <c r="BE9" s="688"/>
      <c r="BF9" s="688"/>
      <c r="BG9" s="688"/>
      <c r="BH9" s="688"/>
      <c r="BI9" s="688"/>
      <c r="BJ9" s="688"/>
      <c r="BK9" s="688"/>
      <c r="BL9" s="688"/>
      <c r="BM9" s="688"/>
      <c r="BO9" s="688"/>
      <c r="BP9" s="688"/>
      <c r="BQ9" s="688"/>
      <c r="BR9" s="688"/>
      <c r="BS9" s="688"/>
      <c r="BT9" s="688"/>
      <c r="BU9" s="688"/>
      <c r="BV9" s="688"/>
      <c r="BW9" s="688"/>
      <c r="BX9" s="688"/>
      <c r="BY9" s="688"/>
      <c r="BZ9" s="688"/>
      <c r="CA9" s="688"/>
      <c r="CB9" s="688"/>
    </row>
    <row r="10" spans="2:80" s="509" customFormat="1" x14ac:dyDescent="0.2">
      <c r="B10" s="524"/>
      <c r="C10" s="510"/>
      <c r="D10" s="510"/>
      <c r="E10" s="510"/>
      <c r="F10" s="542"/>
      <c r="G10" s="17"/>
      <c r="H10" s="689"/>
      <c r="I10" s="690"/>
      <c r="J10" s="690"/>
      <c r="K10" s="690"/>
      <c r="L10" s="690"/>
      <c r="M10" s="690"/>
      <c r="N10" s="690"/>
      <c r="O10" s="690"/>
      <c r="P10" s="690"/>
      <c r="Q10" s="690"/>
      <c r="R10" s="690"/>
      <c r="S10" s="690"/>
      <c r="T10" s="18"/>
      <c r="U10" s="19"/>
      <c r="V10" s="17"/>
      <c r="W10" s="17"/>
      <c r="X10" s="17"/>
      <c r="Y10" s="17"/>
      <c r="Z10" s="17"/>
      <c r="AA10" s="17"/>
      <c r="AB10" s="17"/>
      <c r="AC10" s="17"/>
      <c r="AD10" s="17"/>
      <c r="AE10" s="17"/>
      <c r="AF10" s="17"/>
      <c r="AG10" s="17"/>
      <c r="AH10" s="691"/>
      <c r="AI10" s="548"/>
      <c r="AJ10" s="541"/>
      <c r="AK10" s="598"/>
      <c r="AL10" s="598"/>
      <c r="AM10" s="598"/>
      <c r="AN10" s="598"/>
      <c r="AO10" s="598"/>
      <c r="AP10" s="598"/>
      <c r="AQ10" s="598"/>
      <c r="AR10" s="598"/>
      <c r="AS10" s="598"/>
      <c r="AT10" s="598"/>
      <c r="AU10" s="598"/>
      <c r="AV10" s="598"/>
      <c r="AW10" s="598"/>
      <c r="AX10" s="598"/>
      <c r="AY10" s="598"/>
      <c r="AZ10" s="598"/>
      <c r="BA10" s="598"/>
      <c r="BB10" s="598"/>
      <c r="BC10" s="598"/>
      <c r="BD10" s="598"/>
      <c r="BE10" s="598"/>
      <c r="BF10" s="598"/>
      <c r="BG10" s="598"/>
      <c r="BH10" s="598"/>
      <c r="BI10" s="598"/>
      <c r="BJ10" s="598"/>
      <c r="BK10" s="598"/>
      <c r="BL10" s="598"/>
    </row>
    <row r="11" spans="2:80" s="509" customFormat="1" x14ac:dyDescent="0.2">
      <c r="B11" s="525" t="s">
        <v>610</v>
      </c>
      <c r="C11" s="526"/>
      <c r="D11" s="510"/>
      <c r="E11" s="510"/>
      <c r="F11" s="668">
        <v>2</v>
      </c>
      <c r="G11" s="546">
        <f>+G13+G15+G34</f>
        <v>1804174081</v>
      </c>
      <c r="H11" s="546">
        <f t="shared" ref="H11:AH11" si="0">+H13+H15+H34</f>
        <v>114252197.427</v>
      </c>
      <c r="I11" s="546">
        <f t="shared" si="0"/>
        <v>120475526.13</v>
      </c>
      <c r="J11" s="546">
        <f t="shared" si="0"/>
        <v>130850284</v>
      </c>
      <c r="K11" s="546">
        <f t="shared" si="0"/>
        <v>197375961</v>
      </c>
      <c r="L11" s="546">
        <f t="shared" si="0"/>
        <v>165528942.123</v>
      </c>
      <c r="M11" s="546">
        <f t="shared" si="0"/>
        <v>148546057.243</v>
      </c>
      <c r="N11" s="546">
        <f t="shared" si="0"/>
        <v>132959844.963</v>
      </c>
      <c r="O11" s="546">
        <f t="shared" si="0"/>
        <v>120621480.005</v>
      </c>
      <c r="P11" s="546">
        <f t="shared" si="0"/>
        <v>171319375</v>
      </c>
      <c r="Q11" s="546">
        <f t="shared" si="0"/>
        <v>163711820.23699999</v>
      </c>
      <c r="R11" s="546">
        <f>+R13+R15+R34</f>
        <v>145575977.97599</v>
      </c>
      <c r="S11" s="546">
        <f t="shared" si="0"/>
        <v>176775322</v>
      </c>
      <c r="T11" s="546">
        <f t="shared" si="0"/>
        <v>1787992789.1039901</v>
      </c>
      <c r="U11" s="546">
        <f t="shared" si="0"/>
        <v>1691133186.7</v>
      </c>
      <c r="V11" s="546">
        <f t="shared" si="0"/>
        <v>137354468</v>
      </c>
      <c r="W11" s="546">
        <f t="shared" si="0"/>
        <v>114461286</v>
      </c>
      <c r="X11" s="546">
        <f t="shared" si="0"/>
        <v>123635470</v>
      </c>
      <c r="Y11" s="546">
        <f t="shared" si="0"/>
        <v>172853789</v>
      </c>
      <c r="Z11" s="546">
        <f t="shared" si="0"/>
        <v>150772273</v>
      </c>
      <c r="AA11" s="546">
        <f t="shared" si="0"/>
        <v>118363376</v>
      </c>
      <c r="AB11" s="546">
        <f t="shared" si="0"/>
        <v>126130445</v>
      </c>
      <c r="AC11" s="546">
        <f t="shared" si="0"/>
        <v>110661893</v>
      </c>
      <c r="AD11" s="546">
        <f>+AD13+AD15+AD34</f>
        <v>162518733</v>
      </c>
      <c r="AE11" s="546">
        <f>+AE13+AE15+AE34</f>
        <v>138902933</v>
      </c>
      <c r="AF11" s="546">
        <f t="shared" si="0"/>
        <v>142325970</v>
      </c>
      <c r="AG11" s="546">
        <f t="shared" si="0"/>
        <v>193152550.69999999</v>
      </c>
      <c r="AH11" s="546">
        <f t="shared" si="0"/>
        <v>1691133186.7</v>
      </c>
      <c r="AI11" s="548"/>
      <c r="AJ11" s="598"/>
      <c r="AK11" s="692"/>
      <c r="AL11" s="692"/>
      <c r="AM11" s="692"/>
      <c r="AN11" s="692"/>
      <c r="AO11" s="692"/>
      <c r="AP11" s="692"/>
      <c r="AQ11" s="692"/>
      <c r="AR11" s="692"/>
      <c r="AS11" s="692"/>
      <c r="AT11" s="692"/>
      <c r="AU11" s="692"/>
      <c r="AV11" s="692"/>
      <c r="AW11" s="692"/>
      <c r="AX11" s="692"/>
      <c r="AY11" s="598"/>
      <c r="AZ11" s="598"/>
      <c r="BA11" s="598"/>
      <c r="BB11" s="598"/>
      <c r="BC11" s="598"/>
      <c r="BD11" s="598"/>
      <c r="BE11" s="598"/>
      <c r="BF11" s="598"/>
      <c r="BG11" s="598"/>
      <c r="BH11" s="598"/>
      <c r="BI11" s="598"/>
      <c r="BJ11" s="598"/>
      <c r="BK11" s="598"/>
      <c r="BL11" s="598"/>
    </row>
    <row r="12" spans="2:80" s="509" customFormat="1" x14ac:dyDescent="0.2">
      <c r="B12" s="525"/>
      <c r="C12" s="526"/>
      <c r="D12" s="510"/>
      <c r="E12" s="510"/>
      <c r="F12" s="668"/>
      <c r="G12" s="546"/>
      <c r="H12" s="546"/>
      <c r="I12" s="684"/>
      <c r="J12" s="684"/>
      <c r="K12" s="684"/>
      <c r="L12" s="684"/>
      <c r="M12" s="684"/>
      <c r="N12" s="684"/>
      <c r="O12" s="684"/>
      <c r="P12" s="684"/>
      <c r="Q12" s="684"/>
      <c r="R12" s="684"/>
      <c r="S12" s="684"/>
      <c r="T12" s="684"/>
      <c r="U12" s="14"/>
      <c r="V12" s="546"/>
      <c r="W12" s="546"/>
      <c r="X12" s="546"/>
      <c r="Y12" s="546"/>
      <c r="Z12" s="546"/>
      <c r="AA12" s="546"/>
      <c r="AB12" s="546"/>
      <c r="AC12" s="546"/>
      <c r="AD12" s="546"/>
      <c r="AE12" s="546"/>
      <c r="AF12" s="546"/>
      <c r="AG12" s="546"/>
      <c r="AH12" s="693"/>
      <c r="AI12" s="548"/>
      <c r="AJ12" s="598"/>
      <c r="AK12" s="688"/>
      <c r="AL12" s="688"/>
      <c r="AM12" s="688"/>
      <c r="AN12" s="688"/>
      <c r="AO12" s="688"/>
      <c r="AP12" s="688"/>
      <c r="AQ12" s="688"/>
      <c r="AR12" s="688"/>
      <c r="AS12" s="688"/>
      <c r="AT12" s="688"/>
      <c r="AU12" s="688"/>
      <c r="AV12" s="688"/>
      <c r="AW12" s="688"/>
      <c r="AX12" s="688"/>
      <c r="AY12" s="598"/>
      <c r="AZ12" s="598"/>
      <c r="BA12" s="598"/>
      <c r="BB12" s="598"/>
      <c r="BC12" s="598"/>
      <c r="BD12" s="598"/>
      <c r="BE12" s="598"/>
      <c r="BF12" s="598"/>
      <c r="BG12" s="598"/>
      <c r="BH12" s="598"/>
      <c r="BI12" s="598"/>
      <c r="BJ12" s="598"/>
      <c r="BK12" s="598"/>
      <c r="BL12" s="598"/>
    </row>
    <row r="13" spans="2:80" s="509" customFormat="1" x14ac:dyDescent="0.2">
      <c r="B13" s="694"/>
      <c r="C13" s="526" t="s">
        <v>611</v>
      </c>
      <c r="D13" s="510"/>
      <c r="E13" s="510"/>
      <c r="F13" s="668">
        <v>2</v>
      </c>
      <c r="G13" s="21">
        <f>+'[13]20-21'!$I$48</f>
        <v>1025349737</v>
      </c>
      <c r="H13" s="21">
        <f>+'[14]20-21'!$N$48</f>
        <v>63165298</v>
      </c>
      <c r="I13" s="13">
        <f>+'[15]20-21'!$S$48</f>
        <v>71995377</v>
      </c>
      <c r="J13" s="13">
        <f>+'[16]20-21'!$X$48</f>
        <v>61212482</v>
      </c>
      <c r="K13" s="13">
        <f>+'[17]20-21'!$AC$48</f>
        <v>118355901</v>
      </c>
      <c r="L13" s="13">
        <f>+'[18]20-21'!$AH$48</f>
        <v>82985001</v>
      </c>
      <c r="M13" s="13">
        <f>+'[19]20-21'!$AM$48</f>
        <v>75682961</v>
      </c>
      <c r="N13" s="13">
        <f>+'[20]20-21'!$AR$48</f>
        <v>84022361</v>
      </c>
      <c r="O13" s="13">
        <f>+'[21]20-21'!$AW$48</f>
        <v>71737880</v>
      </c>
      <c r="P13" s="13">
        <f>+'[22]20-21'!$BB$48</f>
        <v>103042121</v>
      </c>
      <c r="Q13" s="13">
        <f>+'[23]20-21'!$BG$48</f>
        <v>89092970</v>
      </c>
      <c r="R13" s="13">
        <f>+'[13]20-21'!$BL$48</f>
        <v>71862220</v>
      </c>
      <c r="S13" s="13">
        <f>+'[24]20-21'!$BQ$48</f>
        <v>110219519</v>
      </c>
      <c r="T13" s="13">
        <f>SUM(H13:S13)</f>
        <v>1003374091</v>
      </c>
      <c r="U13" s="22">
        <f>+'[25]19-20'!$I$47</f>
        <v>945130248</v>
      </c>
      <c r="V13" s="21">
        <f>+'[26]19-20'!$N$47</f>
        <v>76160742</v>
      </c>
      <c r="W13" s="21">
        <f>+'[27]19-20'!$S$47</f>
        <v>66186499</v>
      </c>
      <c r="X13" s="21">
        <f>+'[28]19-20'!$X$47</f>
        <v>59534955</v>
      </c>
      <c r="Y13" s="21">
        <f>+'[29]19-20'!$AC$47</f>
        <v>101551864</v>
      </c>
      <c r="Z13" s="21">
        <f>+'[30]19-20'!$AH$47</f>
        <v>71020894</v>
      </c>
      <c r="AA13" s="21">
        <f>+'[31]19-20'!$AM$47</f>
        <v>67597899</v>
      </c>
      <c r="AB13" s="21">
        <f>+'[32]19-20'!$AR$47</f>
        <v>75589014</v>
      </c>
      <c r="AC13" s="21">
        <f>+'[25]19-20'!$AW$47</f>
        <v>64382062</v>
      </c>
      <c r="AD13" s="21">
        <f>+'[33]19-20'!$BB$47</f>
        <v>92964228</v>
      </c>
      <c r="AE13" s="21">
        <f>+'[34]19-20'!$BG$47</f>
        <v>75735161</v>
      </c>
      <c r="AF13" s="21">
        <f>+'[35]19-20'!$BL$47</f>
        <v>68781631</v>
      </c>
      <c r="AG13" s="21">
        <f>+'[36]19-20'!$BQ$47</f>
        <v>125625299</v>
      </c>
      <c r="AH13" s="23">
        <f>SUM(V13:AG13)</f>
        <v>945130248</v>
      </c>
      <c r="AI13" s="548"/>
      <c r="AJ13" s="598"/>
      <c r="AK13" s="692"/>
      <c r="AL13" s="692"/>
      <c r="AM13" s="692"/>
      <c r="AN13" s="692"/>
      <c r="AO13" s="692"/>
      <c r="AP13" s="692"/>
      <c r="AQ13" s="692"/>
      <c r="AR13" s="692"/>
      <c r="AS13" s="692"/>
      <c r="AT13" s="692"/>
      <c r="AU13" s="692"/>
      <c r="AV13" s="692"/>
      <c r="AW13" s="692"/>
      <c r="AX13" s="692"/>
      <c r="AY13" s="598"/>
      <c r="AZ13" s="598"/>
      <c r="BA13" s="598"/>
      <c r="BB13" s="598"/>
      <c r="BC13" s="598"/>
      <c r="BD13" s="598"/>
      <c r="BE13" s="598"/>
      <c r="BF13" s="598"/>
      <c r="BG13" s="598"/>
      <c r="BH13" s="598"/>
      <c r="BI13" s="598"/>
      <c r="BJ13" s="598"/>
      <c r="BK13" s="598"/>
      <c r="BL13" s="598"/>
    </row>
    <row r="14" spans="2:80" s="509" customFormat="1" x14ac:dyDescent="0.2">
      <c r="B14" s="525"/>
      <c r="C14" s="526"/>
      <c r="D14" s="510"/>
      <c r="E14" s="510"/>
      <c r="F14" s="668"/>
      <c r="G14" s="546"/>
      <c r="H14" s="546"/>
      <c r="I14" s="684"/>
      <c r="J14" s="684"/>
      <c r="K14" s="684"/>
      <c r="L14" s="684"/>
      <c r="M14" s="684"/>
      <c r="N14" s="684"/>
      <c r="O14" s="684"/>
      <c r="P14" s="684"/>
      <c r="Q14" s="684"/>
      <c r="R14" s="684"/>
      <c r="S14" s="684"/>
      <c r="T14" s="684"/>
      <c r="U14" s="14"/>
      <c r="V14" s="546"/>
      <c r="W14" s="546"/>
      <c r="X14" s="546"/>
      <c r="Y14" s="546"/>
      <c r="Z14" s="546"/>
      <c r="AA14" s="546"/>
      <c r="AB14" s="546"/>
      <c r="AC14" s="546"/>
      <c r="AD14" s="546"/>
      <c r="AE14" s="546"/>
      <c r="AF14" s="546"/>
      <c r="AG14" s="546"/>
      <c r="AH14" s="693"/>
      <c r="AI14" s="54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row>
    <row r="15" spans="2:80" s="509" customFormat="1" x14ac:dyDescent="0.2">
      <c r="B15" s="694"/>
      <c r="C15" s="526" t="s">
        <v>20</v>
      </c>
      <c r="D15" s="510"/>
      <c r="E15" s="510"/>
      <c r="F15" s="668">
        <v>2</v>
      </c>
      <c r="G15" s="21">
        <f>SUM(G16:G32)-G21</f>
        <v>782517261</v>
      </c>
      <c r="H15" s="21">
        <f t="shared" ref="H15:S15" si="1">SUM(H16:H32)-H21</f>
        <v>51086899.427000001</v>
      </c>
      <c r="I15" s="21">
        <f t="shared" si="1"/>
        <v>48480149.130000003</v>
      </c>
      <c r="J15" s="21">
        <f t="shared" si="1"/>
        <v>69637802</v>
      </c>
      <c r="K15" s="21">
        <f t="shared" si="1"/>
        <v>79020060</v>
      </c>
      <c r="L15" s="21">
        <f t="shared" si="1"/>
        <v>82543941.122999996</v>
      </c>
      <c r="M15" s="21">
        <f>SUM(M16:M32)-M21-M26</f>
        <v>72863096.243000001</v>
      </c>
      <c r="N15" s="21">
        <f t="shared" si="1"/>
        <v>48937483.963</v>
      </c>
      <c r="O15" s="21">
        <f t="shared" si="1"/>
        <v>48883600.005000003</v>
      </c>
      <c r="P15" s="21">
        <f>SUM(P16:P32)-P21-P26</f>
        <v>68277254</v>
      </c>
      <c r="Q15" s="21">
        <f t="shared" si="1"/>
        <v>74618850.236999989</v>
      </c>
      <c r="R15" s="21">
        <f t="shared" si="1"/>
        <v>73713757.975989997</v>
      </c>
      <c r="S15" s="21">
        <f t="shared" si="1"/>
        <v>66555803</v>
      </c>
      <c r="T15" s="21">
        <f>SUM(T16:T32)-T21-T26</f>
        <v>784618698.10398996</v>
      </c>
      <c r="U15" s="21">
        <f>SUM(U16:U32)</f>
        <v>746002938.70000005</v>
      </c>
      <c r="V15" s="21">
        <f>SUM(V16:V32)</f>
        <v>61193726</v>
      </c>
      <c r="W15" s="21">
        <f>SUM(W16:W32)</f>
        <v>48274787</v>
      </c>
      <c r="X15" s="21">
        <f>SUM(X16:X32)</f>
        <v>64100515</v>
      </c>
      <c r="Y15" s="21">
        <f>SUM(Y16:Y32)</f>
        <v>71301925</v>
      </c>
      <c r="Z15" s="21">
        <f>SUM(Z16:Z32)-Z26</f>
        <v>79751379</v>
      </c>
      <c r="AA15" s="21">
        <f>SUM(AA16:AA32)-AA26</f>
        <v>50765477</v>
      </c>
      <c r="AB15" s="21">
        <f>SUM(AB16:AB32)-AB26</f>
        <v>50541431</v>
      </c>
      <c r="AC15" s="21">
        <f t="shared" ref="AC15:AI15" si="2">SUM(AC16:AC32)-AC26</f>
        <v>46279831</v>
      </c>
      <c r="AD15" s="21">
        <f t="shared" si="2"/>
        <v>69554505</v>
      </c>
      <c r="AE15" s="21">
        <f>SUM(AE16:AE32)-AE26</f>
        <v>63167772</v>
      </c>
      <c r="AF15" s="21">
        <f t="shared" si="2"/>
        <v>73544339</v>
      </c>
      <c r="AG15" s="21">
        <f t="shared" si="2"/>
        <v>67527251.700000003</v>
      </c>
      <c r="AH15" s="24">
        <f t="shared" si="2"/>
        <v>746002938.70000005</v>
      </c>
      <c r="AI15" s="22">
        <f t="shared" si="2"/>
        <v>0</v>
      </c>
      <c r="AJ15" s="514"/>
      <c r="AK15" s="692"/>
      <c r="AL15" s="692"/>
      <c r="AM15" s="692"/>
      <c r="AN15" s="692"/>
      <c r="AO15" s="692"/>
      <c r="AP15" s="692"/>
      <c r="AQ15" s="692"/>
      <c r="AR15" s="692"/>
      <c r="AS15" s="692"/>
      <c r="AT15" s="692"/>
      <c r="AU15" s="692"/>
      <c r="AV15" s="692"/>
      <c r="AW15" s="692"/>
      <c r="AX15" s="692"/>
      <c r="AY15" s="598"/>
      <c r="AZ15" s="598"/>
      <c r="BA15" s="598"/>
      <c r="BB15" s="598"/>
      <c r="BC15" s="598"/>
      <c r="BD15" s="598"/>
      <c r="BE15" s="598"/>
      <c r="BF15" s="598"/>
      <c r="BG15" s="598"/>
      <c r="BH15" s="598"/>
      <c r="BI15" s="598"/>
      <c r="BJ15" s="598"/>
      <c r="BK15" s="598"/>
      <c r="BL15" s="598"/>
    </row>
    <row r="16" spans="2:80" s="509" customFormat="1" x14ac:dyDescent="0.2">
      <c r="B16" s="694"/>
      <c r="C16" s="526"/>
      <c r="D16" s="593" t="s">
        <v>21</v>
      </c>
      <c r="E16" s="593"/>
      <c r="F16" s="695"/>
      <c r="G16" s="26">
        <f>+'[22]20-21'!$I$53</f>
        <v>233027798</v>
      </c>
      <c r="H16" s="26">
        <f>+'[14]20-21'!$N$53</f>
        <v>4156462.4270000001</v>
      </c>
      <c r="I16" s="27">
        <f>+'[15]20-21'!$S$53</f>
        <v>1746959.1300000001</v>
      </c>
      <c r="J16" s="27">
        <f>+'[16]20-21'!$X$53</f>
        <v>23287136</v>
      </c>
      <c r="K16" s="27">
        <f>+'[17]20-21'!$AC$53</f>
        <v>33793248</v>
      </c>
      <c r="L16" s="27">
        <f>+'[18]20-21'!$AH$53</f>
        <v>32588390.123</v>
      </c>
      <c r="M16" s="27">
        <f>+'[19]20-21'!$AM$53</f>
        <v>20719704.243000001</v>
      </c>
      <c r="N16" s="27">
        <f>+'[20]20-21'!$AR$53</f>
        <v>3593963.963</v>
      </c>
      <c r="O16" s="27">
        <f>+'[21]20-21'!$AW$53</f>
        <v>2242145.0050000004</v>
      </c>
      <c r="P16" s="27">
        <f>+'[22]20-21'!$BB$53</f>
        <v>23505078</v>
      </c>
      <c r="Q16" s="27">
        <f>+'[23]20-21'!$BG$53</f>
        <v>33703384.236999996</v>
      </c>
      <c r="R16" s="27">
        <f>+'[13]20-21'!$BL$53</f>
        <v>32103379.975990001</v>
      </c>
      <c r="S16" s="27">
        <f>+'[24]20-21'!$BQ$53</f>
        <v>21155807</v>
      </c>
      <c r="T16" s="27">
        <f>SUM(H16:S16)+1</f>
        <v>232595659.10398996</v>
      </c>
      <c r="U16" s="26">
        <f>+'[25]19-20'!$I$52</f>
        <v>204769349.69999999</v>
      </c>
      <c r="V16" s="26">
        <f>+'[26]19-20'!$N$52</f>
        <v>3587887</v>
      </c>
      <c r="W16" s="26">
        <f>+'[27]19-20'!$S$52</f>
        <v>4274259</v>
      </c>
      <c r="X16" s="26">
        <f>+'[28]19-20'!$X$52</f>
        <v>20232557</v>
      </c>
      <c r="Y16" s="26">
        <f>+'[29]19-20'!$AC$52</f>
        <v>27300430</v>
      </c>
      <c r="Z16" s="26">
        <f>+'[30]19-20'!$AH$52</f>
        <v>27624060</v>
      </c>
      <c r="AA16" s="26">
        <f>+'[31]19-20'!$AM$52</f>
        <v>16497519</v>
      </c>
      <c r="AB16" s="26">
        <f>+'[32]19-20'!$AR$52</f>
        <v>4518363</v>
      </c>
      <c r="AC16" s="26">
        <f>+'[25]19-20'!$AW$52</f>
        <v>2314875</v>
      </c>
      <c r="AD16" s="26">
        <f>+'[33]19-20'!$BB$52</f>
        <v>21145008</v>
      </c>
      <c r="AE16" s="26">
        <f>+'[34]19-20'!$BG$52</f>
        <v>28808483</v>
      </c>
      <c r="AF16" s="26">
        <f>+'[35]19-20'!$BL$52</f>
        <v>29392738</v>
      </c>
      <c r="AG16" s="26">
        <f>+'[36]19-20'!$BQ$52</f>
        <v>19073170.699999999</v>
      </c>
      <c r="AH16" s="28">
        <f>SUM(V16:AG16)</f>
        <v>204769349.69999999</v>
      </c>
      <c r="AI16" s="548"/>
      <c r="AJ16" s="598"/>
      <c r="AK16" s="598"/>
      <c r="AL16" s="598"/>
      <c r="AM16" s="598"/>
      <c r="AN16" s="598"/>
      <c r="AO16" s="598"/>
      <c r="AP16" s="598"/>
      <c r="AQ16" s="598"/>
      <c r="AR16" s="598"/>
      <c r="AS16" s="598"/>
      <c r="AT16" s="598"/>
      <c r="AU16" s="598"/>
      <c r="AV16" s="598"/>
      <c r="AW16" s="598"/>
      <c r="AX16" s="598"/>
      <c r="AY16" s="598"/>
      <c r="AZ16" s="598"/>
      <c r="BA16" s="598"/>
      <c r="BB16" s="598"/>
      <c r="BC16" s="598"/>
      <c r="BD16" s="598"/>
      <c r="BE16" s="598"/>
      <c r="BF16" s="598"/>
      <c r="BG16" s="598"/>
      <c r="BH16" s="598"/>
      <c r="BI16" s="598"/>
      <c r="BJ16" s="598"/>
      <c r="BK16" s="598"/>
      <c r="BL16" s="598"/>
    </row>
    <row r="17" spans="2:64" s="509" customFormat="1" x14ac:dyDescent="0.2">
      <c r="B17" s="694"/>
      <c r="C17" s="526"/>
      <c r="D17" s="593" t="s">
        <v>22</v>
      </c>
      <c r="E17" s="593"/>
      <c r="F17" s="668"/>
      <c r="G17" s="26">
        <f>+'[22]20-21'!$I$56</f>
        <v>520717021</v>
      </c>
      <c r="H17" s="26">
        <f>+'[14]20-21'!$N$56</f>
        <v>44872627</v>
      </c>
      <c r="I17" s="27">
        <f>+'[15]20-21'!$S$56</f>
        <v>44872627</v>
      </c>
      <c r="J17" s="27">
        <f>+'[16]20-21'!$X$56</f>
        <v>44872627</v>
      </c>
      <c r="K17" s="27">
        <f>+'[17]20-21'!$AC$56</f>
        <v>44872627</v>
      </c>
      <c r="L17" s="27">
        <f>+'[18]20-21'!$AH$56</f>
        <v>44872627</v>
      </c>
      <c r="M17" s="27">
        <f>+'[19]20-21'!$AM$56</f>
        <v>44872627</v>
      </c>
      <c r="N17" s="27">
        <f>+'[20]20-21'!$AR$56</f>
        <v>44872627</v>
      </c>
      <c r="O17" s="27">
        <f>+'[21]20-21'!$AW$56</f>
        <v>44872626</v>
      </c>
      <c r="P17" s="27">
        <f>+'[22]20-21'!$BB$56</f>
        <v>44872625</v>
      </c>
      <c r="Q17" s="27">
        <f>+'[23]20-21'!$BG$56</f>
        <v>38954457</v>
      </c>
      <c r="R17" s="27">
        <f>+'[13]20-21'!$BL$56</f>
        <v>38954457</v>
      </c>
      <c r="S17" s="27">
        <f>+'[24]20-21'!$BQ$56</f>
        <v>38954467</v>
      </c>
      <c r="T17" s="27">
        <f>SUM(H17:S17)</f>
        <v>520717021</v>
      </c>
      <c r="U17" s="28">
        <f>+'[25]19-20'!$I$55</f>
        <v>505553753</v>
      </c>
      <c r="V17" s="26">
        <f>+'[26]19-20'!$N$55</f>
        <v>42129484</v>
      </c>
      <c r="W17" s="26">
        <f>+'[27]19-20'!$S$55</f>
        <v>42129482</v>
      </c>
      <c r="X17" s="26">
        <f>+'[28]19-20'!$X$55</f>
        <v>42129482</v>
      </c>
      <c r="Y17" s="26">
        <f>+'[29]19-20'!$AC$55</f>
        <v>42129482</v>
      </c>
      <c r="Z17" s="26">
        <f>+'[30]19-20'!$AH$55</f>
        <v>42129480</v>
      </c>
      <c r="AA17" s="26">
        <f>+'[31]19-20'!$AM$55</f>
        <v>42129480</v>
      </c>
      <c r="AB17" s="26">
        <f>+'[32]19-20'!$AR$55</f>
        <v>42129479</v>
      </c>
      <c r="AC17" s="26">
        <f>+'[25]19-20'!$AW$55</f>
        <v>42129479</v>
      </c>
      <c r="AD17" s="26">
        <f>+'[33]19-20'!$BB$55</f>
        <v>42129478</v>
      </c>
      <c r="AE17" s="26">
        <f>+'[34]19-20'!$BG$55</f>
        <v>42129477</v>
      </c>
      <c r="AF17" s="26">
        <f>+'[35]19-20'!$BL$55</f>
        <v>42129475</v>
      </c>
      <c r="AG17" s="26">
        <f>+'[36]19-20'!$BQ$55</f>
        <v>42129475</v>
      </c>
      <c r="AH17" s="696">
        <f>SUM(V17:AG17)</f>
        <v>505553753</v>
      </c>
      <c r="AI17" s="54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8"/>
    </row>
    <row r="18" spans="2:64" s="509" customFormat="1" x14ac:dyDescent="0.2">
      <c r="B18" s="694"/>
      <c r="C18" s="526"/>
      <c r="D18" s="593" t="s">
        <v>23</v>
      </c>
      <c r="E18" s="593"/>
      <c r="F18" s="668"/>
      <c r="G18" s="26">
        <f>+'[22]20-21'!$I$57</f>
        <v>14026878</v>
      </c>
      <c r="H18" s="26">
        <f>+'[14]20-21'!$N$57</f>
        <v>0</v>
      </c>
      <c r="I18" s="27">
        <f>+'[15]20-21'!$S$57</f>
        <v>0</v>
      </c>
      <c r="J18" s="27">
        <f>+'[16]20-21'!$X$57</f>
        <v>0</v>
      </c>
      <c r="K18" s="27">
        <f>+'[17]20-21'!$AC$57</f>
        <v>0</v>
      </c>
      <c r="L18" s="27">
        <f>+'[18]20-21'!$AH$57</f>
        <v>4675628</v>
      </c>
      <c r="M18" s="27">
        <f>+'[19]20-21'!$AM$57</f>
        <v>0</v>
      </c>
      <c r="N18" s="27">
        <f>+'[20]20-21'!$AR$57</f>
        <v>0</v>
      </c>
      <c r="O18" s="27">
        <f>+'[21]20-21'!$AW$57</f>
        <v>0</v>
      </c>
      <c r="P18" s="27">
        <f>+'[22]20-21'!$BB$57</f>
        <v>4675628</v>
      </c>
      <c r="Q18" s="27">
        <v>0</v>
      </c>
      <c r="R18" s="27">
        <f>+'[13]20-21'!$BL$57</f>
        <v>0</v>
      </c>
      <c r="S18" s="27">
        <f>+'[24]20-21'!$BQ$57</f>
        <v>4675622</v>
      </c>
      <c r="T18" s="27">
        <f>SUM(H18:S18)</f>
        <v>14026878</v>
      </c>
      <c r="U18" s="28">
        <f>+'[25]19-20'!$I$56</f>
        <v>13166793</v>
      </c>
      <c r="V18" s="26">
        <v>0</v>
      </c>
      <c r="W18" s="27">
        <f>+'[37]19-20'!$S$56</f>
        <v>0</v>
      </c>
      <c r="X18" s="26">
        <f>+'[28]19-20'!$X$56</f>
        <v>0</v>
      </c>
      <c r="Y18" s="26">
        <f>+'[29]19-20'!$AC$56</f>
        <v>0</v>
      </c>
      <c r="Z18" s="26">
        <f>+'[30]19-20'!$AH$56</f>
        <v>4388928</v>
      </c>
      <c r="AA18" s="26">
        <f>+'[31]19-20'!$AM$56</f>
        <v>0</v>
      </c>
      <c r="AB18" s="26">
        <f>+'[32]19-20'!$AR$56</f>
        <v>0</v>
      </c>
      <c r="AC18" s="26">
        <f>+'[25]19-20'!$AW$56</f>
        <v>0</v>
      </c>
      <c r="AD18" s="26">
        <f>+'[33]19-20'!$BB$56</f>
        <v>4388931</v>
      </c>
      <c r="AE18" s="26">
        <v>0</v>
      </c>
      <c r="AF18" s="26">
        <f>+'[35]19-20'!$BL$56</f>
        <v>0</v>
      </c>
      <c r="AG18" s="26">
        <f>+'[36]19-20'!$BQ$56</f>
        <v>4388934</v>
      </c>
      <c r="AH18" s="696">
        <f>SUM(V18:AG18)</f>
        <v>13166793</v>
      </c>
      <c r="AI18" s="548"/>
      <c r="AJ18" s="598"/>
      <c r="AK18" s="598"/>
      <c r="AL18" s="598"/>
      <c r="AM18" s="598"/>
      <c r="AN18" s="598"/>
      <c r="AO18" s="598"/>
      <c r="AP18" s="598"/>
      <c r="AQ18" s="598"/>
      <c r="AR18" s="598"/>
      <c r="AS18" s="598"/>
      <c r="AT18" s="598"/>
      <c r="AU18" s="598"/>
      <c r="AV18" s="598"/>
      <c r="AW18" s="598"/>
      <c r="AX18" s="598"/>
      <c r="AY18" s="598"/>
      <c r="AZ18" s="598"/>
      <c r="BA18" s="598"/>
      <c r="BB18" s="598"/>
      <c r="BC18" s="598"/>
      <c r="BD18" s="598"/>
      <c r="BE18" s="598"/>
      <c r="BF18" s="598"/>
      <c r="BG18" s="598"/>
      <c r="BH18" s="598"/>
      <c r="BI18" s="598"/>
      <c r="BJ18" s="598"/>
      <c r="BK18" s="598"/>
      <c r="BL18" s="598"/>
    </row>
    <row r="19" spans="2:64" s="509" customFormat="1" x14ac:dyDescent="0.2">
      <c r="B19" s="694"/>
      <c r="C19" s="526"/>
      <c r="D19" s="593" t="str">
        <f>+'[19]20-21'!$A$60</f>
        <v>Other payments</v>
      </c>
      <c r="E19" s="593"/>
      <c r="F19" s="668"/>
      <c r="G19" s="26"/>
      <c r="H19" s="26"/>
      <c r="I19" s="27"/>
      <c r="J19" s="27"/>
      <c r="K19" s="27"/>
      <c r="L19" s="27"/>
      <c r="M19" s="27"/>
      <c r="N19" s="27"/>
      <c r="O19" s="27"/>
      <c r="P19" s="27"/>
      <c r="Q19" s="27"/>
      <c r="R19" s="27"/>
      <c r="S19" s="27"/>
      <c r="T19" s="27"/>
      <c r="U19" s="28"/>
      <c r="V19" s="26"/>
      <c r="W19" s="27"/>
      <c r="X19" s="26"/>
      <c r="Y19" s="26"/>
      <c r="Z19" s="26"/>
      <c r="AA19" s="26"/>
      <c r="AB19" s="26"/>
      <c r="AC19" s="26"/>
      <c r="AD19" s="26"/>
      <c r="AE19" s="26"/>
      <c r="AF19" s="26"/>
      <c r="AG19" s="26"/>
      <c r="AH19" s="696"/>
      <c r="AI19" s="548"/>
      <c r="AJ19" s="598"/>
      <c r="AK19" s="598"/>
      <c r="AL19" s="598"/>
      <c r="AM19" s="598"/>
      <c r="AN19" s="598"/>
      <c r="AO19" s="598"/>
      <c r="AP19" s="598"/>
      <c r="AQ19" s="598"/>
      <c r="AR19" s="598"/>
      <c r="AS19" s="598"/>
      <c r="AT19" s="598"/>
      <c r="AU19" s="598"/>
      <c r="AV19" s="598"/>
      <c r="AW19" s="598"/>
      <c r="AX19" s="598"/>
      <c r="AY19" s="598"/>
      <c r="AZ19" s="598"/>
      <c r="BA19" s="598"/>
      <c r="BB19" s="598"/>
      <c r="BC19" s="598"/>
      <c r="BD19" s="598"/>
      <c r="BE19" s="598"/>
      <c r="BF19" s="598"/>
      <c r="BG19" s="598"/>
      <c r="BH19" s="598"/>
      <c r="BI19" s="598"/>
      <c r="BJ19" s="598"/>
      <c r="BK19" s="598"/>
      <c r="BL19" s="598"/>
    </row>
    <row r="20" spans="2:64" s="509" customFormat="1" hidden="1" x14ac:dyDescent="0.2">
      <c r="B20" s="694"/>
      <c r="C20" s="526"/>
      <c r="D20" s="593" t="str">
        <f>+'[25]19-20'!$A$58</f>
        <v>Eskom - payment in terms of Section 16(1) of the PFMA</v>
      </c>
      <c r="E20" s="593"/>
      <c r="F20" s="668"/>
      <c r="G20" s="26"/>
      <c r="H20" s="26"/>
      <c r="I20" s="27"/>
      <c r="J20" s="27"/>
      <c r="K20" s="27"/>
      <c r="L20" s="27"/>
      <c r="M20" s="27"/>
      <c r="N20" s="27"/>
      <c r="O20" s="27"/>
      <c r="P20" s="27"/>
      <c r="Q20" s="27"/>
      <c r="R20" s="27"/>
      <c r="S20" s="27"/>
      <c r="T20" s="27"/>
      <c r="U20" s="28"/>
      <c r="V20" s="26">
        <f>+'[25]19-20'!$M$58</f>
        <v>13500000</v>
      </c>
      <c r="W20" s="27">
        <v>0</v>
      </c>
      <c r="X20" s="27">
        <v>0</v>
      </c>
      <c r="Y20" s="27">
        <v>0</v>
      </c>
      <c r="Z20" s="27">
        <v>0</v>
      </c>
      <c r="AA20" s="26">
        <f>+'[25]19-20'!$AL$58</f>
        <v>-13500000</v>
      </c>
      <c r="AB20" s="26">
        <v>0</v>
      </c>
      <c r="AC20" s="26">
        <f>+'[25]19-20'!$AW$58</f>
        <v>0</v>
      </c>
      <c r="AD20" s="26"/>
      <c r="AE20" s="26"/>
      <c r="AF20" s="27"/>
      <c r="AG20" s="27"/>
      <c r="AH20" s="28"/>
      <c r="AI20" s="548"/>
      <c r="AJ20" s="598"/>
      <c r="AK20" s="598"/>
      <c r="AL20" s="598"/>
      <c r="AM20" s="598"/>
      <c r="AN20" s="598"/>
      <c r="AO20" s="598"/>
      <c r="AP20" s="598"/>
      <c r="AQ20" s="598"/>
      <c r="AR20" s="598"/>
      <c r="AS20" s="598"/>
      <c r="AT20" s="598"/>
      <c r="AU20" s="598"/>
      <c r="AV20" s="598"/>
      <c r="AW20" s="598"/>
      <c r="AX20" s="598"/>
      <c r="AY20" s="598"/>
      <c r="AZ20" s="598"/>
      <c r="BA20" s="598"/>
      <c r="BB20" s="598"/>
      <c r="BC20" s="598"/>
      <c r="BD20" s="598"/>
      <c r="BE20" s="598"/>
      <c r="BF20" s="598"/>
      <c r="BG20" s="598"/>
      <c r="BH20" s="598"/>
      <c r="BI20" s="598"/>
      <c r="BJ20" s="598"/>
      <c r="BK20" s="598"/>
      <c r="BL20" s="598"/>
    </row>
    <row r="21" spans="2:64" s="703" customFormat="1" x14ac:dyDescent="0.2">
      <c r="B21" s="697"/>
      <c r="C21" s="698"/>
      <c r="D21" s="699" t="s">
        <v>612</v>
      </c>
      <c r="E21" s="569"/>
      <c r="F21" s="700"/>
      <c r="G21" s="701">
        <f>SUM(G22:G24)</f>
        <v>217761</v>
      </c>
      <c r="H21" s="701">
        <f t="shared" ref="H21:S21" si="3">SUM(H22:H24)</f>
        <v>0</v>
      </c>
      <c r="I21" s="701">
        <f t="shared" si="3"/>
        <v>0</v>
      </c>
      <c r="J21" s="701">
        <f t="shared" si="3"/>
        <v>0</v>
      </c>
      <c r="K21" s="701">
        <f t="shared" si="3"/>
        <v>0</v>
      </c>
      <c r="L21" s="701">
        <f t="shared" si="3"/>
        <v>0</v>
      </c>
      <c r="M21" s="701">
        <f t="shared" si="3"/>
        <v>217761</v>
      </c>
      <c r="N21" s="701">
        <f t="shared" si="3"/>
        <v>0</v>
      </c>
      <c r="O21" s="701">
        <f t="shared" si="3"/>
        <v>0</v>
      </c>
      <c r="P21" s="701">
        <f t="shared" si="3"/>
        <v>0</v>
      </c>
      <c r="Q21" s="701">
        <f t="shared" si="3"/>
        <v>0</v>
      </c>
      <c r="R21" s="701">
        <f>SUM(R22:R25)</f>
        <v>266904</v>
      </c>
      <c r="S21" s="701">
        <f t="shared" si="3"/>
        <v>0</v>
      </c>
      <c r="T21" s="701">
        <f>SUM(T22:T25)</f>
        <v>484665</v>
      </c>
      <c r="U21" s="701">
        <f t="shared" ref="U21:AH21" si="4">SUM(U22:U24)</f>
        <v>0</v>
      </c>
      <c r="V21" s="701">
        <f t="shared" si="4"/>
        <v>0</v>
      </c>
      <c r="W21" s="701">
        <f t="shared" si="4"/>
        <v>0</v>
      </c>
      <c r="X21" s="701">
        <f t="shared" si="4"/>
        <v>0</v>
      </c>
      <c r="Y21" s="701">
        <f t="shared" si="4"/>
        <v>0</v>
      </c>
      <c r="Z21" s="701">
        <f t="shared" si="4"/>
        <v>0</v>
      </c>
      <c r="AA21" s="701">
        <f t="shared" si="4"/>
        <v>0</v>
      </c>
      <c r="AB21" s="701">
        <f t="shared" si="4"/>
        <v>0</v>
      </c>
      <c r="AC21" s="701">
        <f t="shared" si="4"/>
        <v>0</v>
      </c>
      <c r="AD21" s="701">
        <f t="shared" si="4"/>
        <v>0</v>
      </c>
      <c r="AE21" s="701">
        <f t="shared" si="4"/>
        <v>0</v>
      </c>
      <c r="AF21" s="701">
        <f t="shared" si="4"/>
        <v>0</v>
      </c>
      <c r="AG21" s="701">
        <f t="shared" si="4"/>
        <v>0</v>
      </c>
      <c r="AH21" s="701">
        <f t="shared" si="4"/>
        <v>0</v>
      </c>
      <c r="AI21" s="702"/>
    </row>
    <row r="22" spans="2:64" s="509" customFormat="1" x14ac:dyDescent="0.2">
      <c r="B22" s="694"/>
      <c r="C22" s="526"/>
      <c r="D22" s="704" t="str">
        <f>+'[19]20-21'!$B$62</f>
        <v xml:space="preserve">South African Express Airways </v>
      </c>
      <c r="E22" s="593"/>
      <c r="F22" s="695"/>
      <c r="G22" s="26">
        <f>+'[22]20-21'!$H$62</f>
        <v>143395</v>
      </c>
      <c r="H22" s="26"/>
      <c r="I22" s="27"/>
      <c r="J22" s="27"/>
      <c r="K22" s="27"/>
      <c r="L22" s="28"/>
      <c r="M22" s="26">
        <f>+'[19]20-21'!$AL$62</f>
        <v>143395</v>
      </c>
      <c r="N22" s="27">
        <v>0</v>
      </c>
      <c r="O22" s="27">
        <v>0</v>
      </c>
      <c r="P22" s="27">
        <v>0</v>
      </c>
      <c r="Q22" s="27">
        <v>0</v>
      </c>
      <c r="R22" s="27">
        <f>+'[13]20-21'!$BL$62</f>
        <v>266904</v>
      </c>
      <c r="S22" s="27">
        <v>0</v>
      </c>
      <c r="T22" s="27">
        <v>143395</v>
      </c>
      <c r="U22" s="28">
        <v>0</v>
      </c>
      <c r="V22" s="26"/>
      <c r="W22" s="27"/>
      <c r="X22" s="27"/>
      <c r="Y22" s="27"/>
      <c r="Z22" s="27"/>
      <c r="AA22" s="701">
        <v>0</v>
      </c>
      <c r="AB22" s="701">
        <v>0</v>
      </c>
      <c r="AC22" s="26">
        <v>0</v>
      </c>
      <c r="AD22" s="26">
        <v>0</v>
      </c>
      <c r="AE22" s="26">
        <v>0</v>
      </c>
      <c r="AF22" s="26">
        <v>0</v>
      </c>
      <c r="AG22" s="701">
        <v>0</v>
      </c>
      <c r="AH22" s="705">
        <v>0</v>
      </c>
      <c r="AI22" s="548"/>
      <c r="AJ22" s="598"/>
      <c r="AK22" s="598"/>
      <c r="AL22" s="598"/>
      <c r="AM22" s="598"/>
      <c r="AN22" s="598"/>
      <c r="AO22" s="598"/>
      <c r="AP22" s="598"/>
      <c r="AQ22" s="598"/>
      <c r="AR22" s="598"/>
      <c r="AS22" s="598"/>
      <c r="AT22" s="598"/>
      <c r="AU22" s="598"/>
      <c r="AV22" s="598"/>
      <c r="AW22" s="598"/>
      <c r="AX22" s="598"/>
      <c r="AY22" s="598"/>
      <c r="AZ22" s="598"/>
      <c r="BA22" s="598"/>
      <c r="BB22" s="598"/>
      <c r="BC22" s="598"/>
      <c r="BD22" s="598"/>
      <c r="BE22" s="598"/>
      <c r="BF22" s="598"/>
      <c r="BG22" s="598"/>
      <c r="BH22" s="598"/>
      <c r="BI22" s="598"/>
      <c r="BJ22" s="598"/>
      <c r="BK22" s="598"/>
      <c r="BL22" s="598"/>
    </row>
    <row r="23" spans="2:64" s="509" customFormat="1" x14ac:dyDescent="0.2">
      <c r="B23" s="694"/>
      <c r="C23" s="526"/>
      <c r="D23" s="704" t="s">
        <v>24</v>
      </c>
      <c r="E23" s="593"/>
      <c r="F23" s="695"/>
      <c r="G23" s="26">
        <v>0</v>
      </c>
      <c r="H23" s="26"/>
      <c r="I23" s="27"/>
      <c r="J23" s="27"/>
      <c r="K23" s="27"/>
      <c r="L23" s="28"/>
      <c r="M23" s="26"/>
      <c r="N23" s="27"/>
      <c r="O23" s="27"/>
      <c r="P23" s="27"/>
      <c r="Q23" s="27"/>
      <c r="R23" s="27"/>
      <c r="S23" s="27">
        <v>0</v>
      </c>
      <c r="T23" s="27">
        <v>266904</v>
      </c>
      <c r="U23" s="28">
        <v>0</v>
      </c>
      <c r="V23" s="26"/>
      <c r="W23" s="27"/>
      <c r="X23" s="27"/>
      <c r="Y23" s="27"/>
      <c r="Z23" s="27"/>
      <c r="AA23" s="701"/>
      <c r="AB23" s="701"/>
      <c r="AC23" s="26"/>
      <c r="AD23" s="26"/>
      <c r="AE23" s="26"/>
      <c r="AF23" s="26"/>
      <c r="AG23" s="701">
        <v>0</v>
      </c>
      <c r="AH23" s="705">
        <v>0</v>
      </c>
      <c r="AI23" s="548"/>
      <c r="AJ23" s="598"/>
      <c r="AK23" s="598"/>
      <c r="AL23" s="598"/>
      <c r="AM23" s="598"/>
      <c r="AN23" s="598"/>
      <c r="AO23" s="598"/>
      <c r="AP23" s="598"/>
      <c r="AQ23" s="598"/>
      <c r="AR23" s="598"/>
      <c r="AS23" s="598"/>
      <c r="AT23" s="598"/>
      <c r="AU23" s="598"/>
      <c r="AV23" s="598"/>
      <c r="AW23" s="598"/>
      <c r="AX23" s="598"/>
      <c r="AY23" s="598"/>
      <c r="AZ23" s="598"/>
      <c r="BA23" s="598"/>
      <c r="BB23" s="598"/>
      <c r="BC23" s="598"/>
      <c r="BD23" s="598"/>
      <c r="BE23" s="598"/>
      <c r="BF23" s="598"/>
      <c r="BG23" s="598"/>
      <c r="BH23" s="598"/>
      <c r="BI23" s="598"/>
      <c r="BJ23" s="598"/>
      <c r="BK23" s="598"/>
      <c r="BL23" s="598"/>
    </row>
    <row r="24" spans="2:64" s="509" customFormat="1" x14ac:dyDescent="0.2">
      <c r="B24" s="694"/>
      <c r="C24" s="526"/>
      <c r="D24" s="704" t="str">
        <f>+'[19]20-21'!$B$63</f>
        <v>Land and Agricultural Development Bank of SA</v>
      </c>
      <c r="E24" s="593"/>
      <c r="F24" s="695"/>
      <c r="G24" s="26">
        <f>+'[22]20-21'!$H$63</f>
        <v>74366</v>
      </c>
      <c r="H24" s="26"/>
      <c r="I24" s="27"/>
      <c r="J24" s="27"/>
      <c r="K24" s="27"/>
      <c r="L24" s="28"/>
      <c r="M24" s="26">
        <f>+'[19]20-21'!$AL$63</f>
        <v>74366</v>
      </c>
      <c r="N24" s="27">
        <v>0</v>
      </c>
      <c r="O24" s="27">
        <v>0</v>
      </c>
      <c r="P24" s="27">
        <v>0</v>
      </c>
      <c r="Q24" s="27">
        <v>0</v>
      </c>
      <c r="R24" s="27">
        <v>0</v>
      </c>
      <c r="S24" s="27">
        <v>0</v>
      </c>
      <c r="T24" s="27">
        <f>SUM(H24:S24)</f>
        <v>74366</v>
      </c>
      <c r="U24" s="28">
        <v>0</v>
      </c>
      <c r="V24" s="26"/>
      <c r="W24" s="27"/>
      <c r="X24" s="27"/>
      <c r="Y24" s="27"/>
      <c r="Z24" s="27"/>
      <c r="AA24" s="701">
        <v>0</v>
      </c>
      <c r="AB24" s="701">
        <v>0</v>
      </c>
      <c r="AC24" s="26">
        <v>0</v>
      </c>
      <c r="AD24" s="26">
        <v>0</v>
      </c>
      <c r="AE24" s="26">
        <v>0</v>
      </c>
      <c r="AF24" s="26">
        <v>0</v>
      </c>
      <c r="AG24" s="701">
        <v>0</v>
      </c>
      <c r="AH24" s="705">
        <v>0</v>
      </c>
      <c r="AI24" s="548"/>
      <c r="AJ24" s="598"/>
      <c r="AK24" s="598"/>
      <c r="AL24" s="598"/>
      <c r="AM24" s="598"/>
      <c r="AN24" s="598"/>
      <c r="AO24" s="598"/>
      <c r="AP24" s="598"/>
      <c r="AQ24" s="598"/>
      <c r="AR24" s="598"/>
      <c r="AS24" s="598"/>
      <c r="AT24" s="598"/>
      <c r="AU24" s="598"/>
      <c r="AV24" s="598"/>
      <c r="AW24" s="598"/>
      <c r="AX24" s="598"/>
      <c r="AY24" s="598"/>
      <c r="AZ24" s="598"/>
      <c r="BA24" s="598"/>
      <c r="BB24" s="598"/>
      <c r="BC24" s="598"/>
      <c r="BD24" s="598"/>
      <c r="BE24" s="598"/>
      <c r="BF24" s="598"/>
      <c r="BG24" s="598"/>
      <c r="BH24" s="598"/>
      <c r="BI24" s="598"/>
      <c r="BJ24" s="598"/>
      <c r="BK24" s="598"/>
      <c r="BL24" s="598"/>
    </row>
    <row r="25" spans="2:64" s="509" customFormat="1" hidden="1" x14ac:dyDescent="0.2">
      <c r="B25" s="694"/>
      <c r="C25" s="526"/>
      <c r="D25" s="706" t="s">
        <v>24</v>
      </c>
      <c r="E25" s="593"/>
      <c r="F25" s="695"/>
      <c r="G25" s="26">
        <v>0</v>
      </c>
      <c r="H25" s="26"/>
      <c r="I25" s="27"/>
      <c r="J25" s="27"/>
      <c r="K25" s="27"/>
      <c r="L25" s="28"/>
      <c r="M25" s="26"/>
      <c r="N25" s="27"/>
      <c r="O25" s="27"/>
      <c r="P25" s="27"/>
      <c r="Q25" s="27">
        <v>0</v>
      </c>
      <c r="R25" s="27">
        <f>+'[13]20-21'!$BK$65</f>
        <v>0</v>
      </c>
      <c r="S25" s="27"/>
      <c r="T25" s="27">
        <f>SUM(H25:S25)</f>
        <v>0</v>
      </c>
      <c r="U25" s="28">
        <v>0</v>
      </c>
      <c r="V25" s="26"/>
      <c r="W25" s="27"/>
      <c r="X25" s="27"/>
      <c r="Y25" s="27"/>
      <c r="Z25" s="27"/>
      <c r="AA25" s="701"/>
      <c r="AB25" s="701"/>
      <c r="AC25" s="26"/>
      <c r="AD25" s="26"/>
      <c r="AE25" s="26">
        <v>0</v>
      </c>
      <c r="AF25" s="26">
        <v>0</v>
      </c>
      <c r="AG25" s="701"/>
      <c r="AH25" s="29"/>
      <c r="AI25" s="548"/>
      <c r="AJ25" s="598"/>
      <c r="AK25" s="598"/>
      <c r="AL25" s="598"/>
      <c r="AM25" s="598"/>
      <c r="AN25" s="598"/>
      <c r="AO25" s="598"/>
      <c r="AP25" s="598"/>
      <c r="AQ25" s="598"/>
      <c r="AR25" s="598"/>
      <c r="AS25" s="598"/>
      <c r="AT25" s="598"/>
      <c r="AU25" s="598"/>
      <c r="AV25" s="598"/>
      <c r="AW25" s="598"/>
      <c r="AX25" s="598"/>
      <c r="AY25" s="598"/>
      <c r="AZ25" s="598"/>
      <c r="BA25" s="598"/>
      <c r="BB25" s="598"/>
      <c r="BC25" s="598"/>
      <c r="BD25" s="598"/>
      <c r="BE25" s="598"/>
      <c r="BF25" s="598"/>
      <c r="BG25" s="598"/>
      <c r="BH25" s="598"/>
      <c r="BI25" s="598"/>
      <c r="BJ25" s="598"/>
      <c r="BK25" s="598"/>
      <c r="BL25" s="598"/>
    </row>
    <row r="26" spans="2:64" s="509" customFormat="1" hidden="1" x14ac:dyDescent="0.2">
      <c r="B26" s="707"/>
      <c r="C26" s="510"/>
      <c r="D26" s="708" t="s">
        <v>613</v>
      </c>
      <c r="E26" s="593"/>
      <c r="F26" s="709"/>
      <c r="G26" s="26">
        <v>0</v>
      </c>
      <c r="H26" s="26">
        <v>0</v>
      </c>
      <c r="I26" s="27">
        <v>0</v>
      </c>
      <c r="J26" s="27">
        <v>0</v>
      </c>
      <c r="K26" s="27"/>
      <c r="M26" s="30">
        <f>SUM(M27:M29)</f>
        <v>6571667</v>
      </c>
      <c r="N26" s="30">
        <f t="shared" ref="N26:T26" si="5">SUM(N27:N29)</f>
        <v>0</v>
      </c>
      <c r="O26" s="30">
        <f t="shared" si="5"/>
        <v>0</v>
      </c>
      <c r="P26" s="30">
        <f t="shared" si="5"/>
        <v>-6571667</v>
      </c>
      <c r="Q26" s="30">
        <f t="shared" si="5"/>
        <v>0</v>
      </c>
      <c r="R26" s="30">
        <f t="shared" si="5"/>
        <v>0</v>
      </c>
      <c r="S26" s="30">
        <f t="shared" si="5"/>
        <v>0</v>
      </c>
      <c r="T26" s="30">
        <f t="shared" si="5"/>
        <v>0</v>
      </c>
      <c r="U26" s="28">
        <v>0</v>
      </c>
      <c r="V26" s="30">
        <v>0</v>
      </c>
      <c r="W26" s="31">
        <v>0</v>
      </c>
      <c r="X26" s="31">
        <v>0</v>
      </c>
      <c r="Y26" s="31">
        <v>0</v>
      </c>
      <c r="Z26" s="31">
        <f>+'[30]19-20'!$AH$59</f>
        <v>3800000</v>
      </c>
      <c r="AA26" s="30">
        <f>SUM(AA27:AA30)</f>
        <v>3800000</v>
      </c>
      <c r="AB26" s="701">
        <f>SUM(AB27:AB30)</f>
        <v>2100000</v>
      </c>
      <c r="AC26" s="30">
        <v>0</v>
      </c>
      <c r="AD26" s="30">
        <v>0</v>
      </c>
      <c r="AE26" s="30">
        <f>SUM(AE27:AE30)</f>
        <v>-9700000</v>
      </c>
      <c r="AF26" s="30">
        <v>0</v>
      </c>
      <c r="AG26" s="701"/>
      <c r="AH26" s="32">
        <f>SUM(V26:AG26)</f>
        <v>0</v>
      </c>
      <c r="AI26" s="548"/>
      <c r="AJ26" s="598"/>
      <c r="AK26" s="598"/>
      <c r="AL26" s="598"/>
      <c r="AM26" s="598"/>
      <c r="AN26" s="598"/>
      <c r="AO26" s="598"/>
      <c r="AP26" s="598"/>
      <c r="AQ26" s="598"/>
      <c r="AR26" s="598"/>
      <c r="AS26" s="598"/>
      <c r="AT26" s="598"/>
      <c r="AU26" s="598"/>
      <c r="AV26" s="598"/>
      <c r="AW26" s="598"/>
      <c r="AX26" s="598"/>
      <c r="AY26" s="598"/>
      <c r="AZ26" s="598"/>
      <c r="BA26" s="598"/>
      <c r="BB26" s="598"/>
      <c r="BC26" s="598"/>
      <c r="BD26" s="598"/>
      <c r="BE26" s="598"/>
      <c r="BF26" s="598"/>
      <c r="BG26" s="598"/>
      <c r="BH26" s="598"/>
      <c r="BI26" s="598"/>
      <c r="BJ26" s="598"/>
      <c r="BK26" s="598"/>
      <c r="BL26" s="598"/>
    </row>
    <row r="27" spans="2:64" s="509" customFormat="1" hidden="1" x14ac:dyDescent="0.2">
      <c r="B27" s="694"/>
      <c r="C27" s="526"/>
      <c r="D27" s="706" t="s">
        <v>24</v>
      </c>
      <c r="E27" s="593"/>
      <c r="F27" s="695"/>
      <c r="G27" s="26">
        <v>0</v>
      </c>
      <c r="H27" s="26"/>
      <c r="I27" s="27"/>
      <c r="J27" s="27"/>
      <c r="K27" s="27"/>
      <c r="M27" s="26">
        <f>+'[19]20-21'!$AL$65</f>
        <v>6571667</v>
      </c>
      <c r="N27" s="27">
        <v>0</v>
      </c>
      <c r="O27" s="27">
        <v>0</v>
      </c>
      <c r="P27" s="27">
        <f>+'[22]20-21'!$BA$65</f>
        <v>-6571667</v>
      </c>
      <c r="Q27" s="27">
        <v>0</v>
      </c>
      <c r="R27" s="27">
        <v>0</v>
      </c>
      <c r="S27" s="27"/>
      <c r="T27" s="27">
        <f>SUM(H27:S27)</f>
        <v>0</v>
      </c>
      <c r="U27" s="28">
        <v>0</v>
      </c>
      <c r="V27" s="26">
        <v>0</v>
      </c>
      <c r="W27" s="26">
        <v>0</v>
      </c>
      <c r="X27" s="26">
        <v>0</v>
      </c>
      <c r="Y27" s="26">
        <v>0</v>
      </c>
      <c r="Z27" s="26">
        <f>+'[31]19-20'!$AG$60</f>
        <v>2000000</v>
      </c>
      <c r="AA27" s="26">
        <f>+'[31]19-20'!$AL$60</f>
        <v>3500000</v>
      </c>
      <c r="AB27" s="26">
        <v>0</v>
      </c>
      <c r="AC27" s="26">
        <v>0</v>
      </c>
      <c r="AD27" s="26">
        <v>0</v>
      </c>
      <c r="AE27" s="26">
        <f>+'[34]19-20'!$BF$60</f>
        <v>-5500000</v>
      </c>
      <c r="AF27" s="26">
        <v>0</v>
      </c>
      <c r="AG27" s="701"/>
      <c r="AH27" s="696">
        <f t="shared" ref="AH27:AH32" si="6">SUM(V27:AG27)</f>
        <v>0</v>
      </c>
      <c r="AI27" s="548"/>
      <c r="AJ27" s="598"/>
      <c r="AK27" s="598"/>
      <c r="AL27" s="598"/>
      <c r="AM27" s="598"/>
      <c r="AN27" s="598"/>
      <c r="AO27" s="598"/>
      <c r="AP27" s="598"/>
      <c r="AQ27" s="598"/>
      <c r="AR27" s="598"/>
      <c r="AS27" s="598"/>
      <c r="AT27" s="598"/>
      <c r="AU27" s="598"/>
      <c r="AV27" s="598"/>
      <c r="AW27" s="598"/>
      <c r="AX27" s="598"/>
      <c r="AY27" s="598"/>
      <c r="AZ27" s="598"/>
      <c r="BA27" s="598"/>
      <c r="BB27" s="598"/>
      <c r="BC27" s="598"/>
      <c r="BD27" s="598"/>
      <c r="BE27" s="598"/>
      <c r="BF27" s="598"/>
      <c r="BG27" s="598"/>
      <c r="BH27" s="598"/>
      <c r="BI27" s="598"/>
      <c r="BJ27" s="598"/>
      <c r="BK27" s="598"/>
      <c r="BL27" s="598"/>
    </row>
    <row r="28" spans="2:64" s="509" customFormat="1" hidden="1" x14ac:dyDescent="0.2">
      <c r="B28" s="694"/>
      <c r="C28" s="526"/>
      <c r="D28" s="706" t="str">
        <f>+'[38]19-20'!$A$61</f>
        <v>South African Express Airways</v>
      </c>
      <c r="E28" s="593"/>
      <c r="F28" s="695"/>
      <c r="G28" s="26">
        <v>0</v>
      </c>
      <c r="H28" s="26">
        <v>0</v>
      </c>
      <c r="I28" s="27">
        <v>0</v>
      </c>
      <c r="J28" s="27">
        <v>0</v>
      </c>
      <c r="K28" s="27"/>
      <c r="L28" s="27"/>
      <c r="M28" s="27">
        <v>0</v>
      </c>
      <c r="N28" s="27">
        <v>0</v>
      </c>
      <c r="O28" s="27">
        <v>0</v>
      </c>
      <c r="P28" s="27">
        <v>0</v>
      </c>
      <c r="Q28" s="27">
        <v>0</v>
      </c>
      <c r="R28" s="27">
        <v>0</v>
      </c>
      <c r="S28" s="27"/>
      <c r="T28" s="27">
        <f>SUM(H28:S28)</f>
        <v>0</v>
      </c>
      <c r="U28" s="28">
        <v>0</v>
      </c>
      <c r="V28" s="26">
        <v>0</v>
      </c>
      <c r="W28" s="26">
        <v>0</v>
      </c>
      <c r="X28" s="26">
        <v>0</v>
      </c>
      <c r="Y28" s="26">
        <v>0</v>
      </c>
      <c r="Z28" s="26"/>
      <c r="AA28" s="26">
        <f>+'[31]19-20'!$AL$61</f>
        <v>300000</v>
      </c>
      <c r="AB28" s="26">
        <v>0</v>
      </c>
      <c r="AC28" s="26">
        <v>0</v>
      </c>
      <c r="AD28" s="26">
        <v>0</v>
      </c>
      <c r="AE28" s="26">
        <f>+'[34]19-20'!$BF$61</f>
        <v>-300000</v>
      </c>
      <c r="AF28" s="26">
        <v>0</v>
      </c>
      <c r="AG28" s="26"/>
      <c r="AH28" s="696">
        <f t="shared" si="6"/>
        <v>0</v>
      </c>
      <c r="AI28" s="548"/>
      <c r="AJ28" s="598"/>
      <c r="AK28" s="598"/>
      <c r="AL28" s="598"/>
      <c r="AM28" s="598"/>
      <c r="AN28" s="598"/>
      <c r="AO28" s="598"/>
      <c r="AP28" s="598"/>
      <c r="AQ28" s="598"/>
      <c r="AR28" s="598"/>
      <c r="AS28" s="598"/>
      <c r="AT28" s="598"/>
      <c r="AU28" s="598"/>
      <c r="AV28" s="598"/>
      <c r="AW28" s="598"/>
      <c r="AX28" s="598"/>
      <c r="AY28" s="598"/>
      <c r="AZ28" s="598"/>
      <c r="BA28" s="598"/>
      <c r="BB28" s="598"/>
      <c r="BC28" s="598"/>
      <c r="BD28" s="598"/>
      <c r="BE28" s="598"/>
      <c r="BF28" s="598"/>
      <c r="BG28" s="598"/>
      <c r="BH28" s="598"/>
      <c r="BI28" s="598"/>
      <c r="BJ28" s="598"/>
      <c r="BK28" s="598"/>
      <c r="BL28" s="598"/>
    </row>
    <row r="29" spans="2:64" s="509" customFormat="1" hidden="1" x14ac:dyDescent="0.2">
      <c r="B29" s="694"/>
      <c r="C29" s="526"/>
      <c r="D29" s="706" t="str">
        <f>+'[38]19-20'!$A$62</f>
        <v xml:space="preserve">Denel </v>
      </c>
      <c r="E29" s="593"/>
      <c r="F29" s="695"/>
      <c r="G29" s="26">
        <v>0</v>
      </c>
      <c r="H29" s="26">
        <v>0</v>
      </c>
      <c r="I29" s="27">
        <v>0</v>
      </c>
      <c r="J29" s="27">
        <v>0</v>
      </c>
      <c r="K29" s="27"/>
      <c r="L29" s="27"/>
      <c r="M29" s="27">
        <v>0</v>
      </c>
      <c r="N29" s="27">
        <v>0</v>
      </c>
      <c r="O29" s="27">
        <v>0</v>
      </c>
      <c r="P29" s="27">
        <v>0</v>
      </c>
      <c r="Q29" s="27">
        <v>0</v>
      </c>
      <c r="R29" s="27">
        <v>0</v>
      </c>
      <c r="S29" s="27"/>
      <c r="T29" s="27">
        <f>SUM(H29:S29)</f>
        <v>0</v>
      </c>
      <c r="U29" s="28">
        <v>0</v>
      </c>
      <c r="V29" s="26">
        <v>0</v>
      </c>
      <c r="W29" s="26">
        <v>0</v>
      </c>
      <c r="X29" s="26">
        <v>0</v>
      </c>
      <c r="Y29" s="26">
        <v>0</v>
      </c>
      <c r="Z29" s="26">
        <f>+'[31]19-20'!$AG$62</f>
        <v>1800000</v>
      </c>
      <c r="AA29" s="26">
        <v>0</v>
      </c>
      <c r="AB29" s="26">
        <v>0</v>
      </c>
      <c r="AC29" s="26">
        <v>0</v>
      </c>
      <c r="AD29" s="26">
        <v>0</v>
      </c>
      <c r="AE29" s="26">
        <f>+'[34]19-20'!$BF$62</f>
        <v>-1800000</v>
      </c>
      <c r="AF29" s="26">
        <v>0</v>
      </c>
      <c r="AG29" s="26"/>
      <c r="AH29" s="696">
        <f t="shared" si="6"/>
        <v>0</v>
      </c>
      <c r="AI29" s="548"/>
      <c r="AJ29" s="598"/>
      <c r="AK29" s="598"/>
      <c r="AL29" s="598"/>
      <c r="AM29" s="598"/>
      <c r="AN29" s="598"/>
      <c r="AO29" s="598"/>
      <c r="AP29" s="598"/>
      <c r="AQ29" s="598"/>
      <c r="AR29" s="598"/>
      <c r="AS29" s="598"/>
      <c r="AT29" s="598"/>
      <c r="AU29" s="598"/>
      <c r="AV29" s="598"/>
      <c r="AW29" s="598"/>
      <c r="AX29" s="598"/>
      <c r="AY29" s="598"/>
      <c r="AZ29" s="598"/>
      <c r="BA29" s="598"/>
      <c r="BB29" s="598"/>
      <c r="BC29" s="598"/>
      <c r="BD29" s="598"/>
      <c r="BE29" s="598"/>
      <c r="BF29" s="598"/>
      <c r="BG29" s="598"/>
      <c r="BH29" s="598"/>
      <c r="BI29" s="598"/>
      <c r="BJ29" s="598"/>
      <c r="BK29" s="598"/>
      <c r="BL29" s="598"/>
    </row>
    <row r="30" spans="2:64" s="509" customFormat="1" hidden="1" x14ac:dyDescent="0.2">
      <c r="B30" s="694"/>
      <c r="C30" s="526"/>
      <c r="D30" s="706" t="s">
        <v>25</v>
      </c>
      <c r="E30" s="593"/>
      <c r="F30" s="695"/>
      <c r="G30" s="26">
        <v>0</v>
      </c>
      <c r="H30" s="26"/>
      <c r="I30" s="27"/>
      <c r="J30" s="27"/>
      <c r="K30" s="27"/>
      <c r="L30" s="27"/>
      <c r="M30" s="27">
        <v>0</v>
      </c>
      <c r="N30" s="27">
        <v>0</v>
      </c>
      <c r="O30" s="27">
        <v>0</v>
      </c>
      <c r="P30" s="27">
        <v>0</v>
      </c>
      <c r="Q30" s="27">
        <v>0</v>
      </c>
      <c r="R30" s="27">
        <v>0</v>
      </c>
      <c r="S30" s="27"/>
      <c r="T30" s="27">
        <v>0</v>
      </c>
      <c r="U30" s="28">
        <v>0</v>
      </c>
      <c r="V30" s="26"/>
      <c r="W30" s="26"/>
      <c r="X30" s="26"/>
      <c r="Y30" s="26"/>
      <c r="Z30" s="26"/>
      <c r="AA30" s="26">
        <v>0</v>
      </c>
      <c r="AB30" s="26">
        <f>+'[32]19-20'!$AR$63</f>
        <v>2100000</v>
      </c>
      <c r="AC30" s="26">
        <v>0</v>
      </c>
      <c r="AD30" s="26">
        <v>0</v>
      </c>
      <c r="AE30" s="26">
        <f>+'[34]19-20'!$BF$63</f>
        <v>-2100000</v>
      </c>
      <c r="AF30" s="26">
        <v>0</v>
      </c>
      <c r="AG30" s="26"/>
      <c r="AH30" s="696">
        <f t="shared" si="6"/>
        <v>0</v>
      </c>
      <c r="AI30" s="548"/>
      <c r="AJ30" s="598"/>
      <c r="AK30" s="598"/>
      <c r="AL30" s="598"/>
      <c r="AM30" s="598"/>
      <c r="AN30" s="598"/>
      <c r="AO30" s="598"/>
      <c r="AP30" s="598"/>
      <c r="AQ30" s="598"/>
      <c r="AR30" s="598"/>
      <c r="AS30" s="598"/>
      <c r="AT30" s="598"/>
      <c r="AU30" s="598"/>
      <c r="AV30" s="598"/>
      <c r="AW30" s="598"/>
      <c r="AX30" s="598"/>
      <c r="AY30" s="598"/>
      <c r="AZ30" s="598"/>
      <c r="BA30" s="598"/>
      <c r="BB30" s="598"/>
      <c r="BC30" s="598"/>
      <c r="BD30" s="598"/>
      <c r="BE30" s="598"/>
      <c r="BF30" s="598"/>
      <c r="BG30" s="598"/>
      <c r="BH30" s="598"/>
      <c r="BI30" s="598"/>
      <c r="BJ30" s="598"/>
      <c r="BK30" s="598"/>
      <c r="BL30" s="598"/>
    </row>
    <row r="31" spans="2:64" s="509" customFormat="1" x14ac:dyDescent="0.2">
      <c r="B31" s="694"/>
      <c r="C31" s="526"/>
      <c r="D31" s="593" t="s">
        <v>614</v>
      </c>
      <c r="E31" s="593"/>
      <c r="F31" s="668"/>
      <c r="G31" s="26">
        <f>+'[22]20-21'!$I$66</f>
        <v>10174611</v>
      </c>
      <c r="H31" s="26">
        <f>+'[14]20-21'!$N$60</f>
        <v>1745798</v>
      </c>
      <c r="I31" s="27">
        <f>+'[15]20-21'!$S$60</f>
        <v>1447692</v>
      </c>
      <c r="J31" s="27">
        <f>+'[16]20-21'!$X$60</f>
        <v>1118322</v>
      </c>
      <c r="K31" s="27">
        <f>+'[17]20-21'!$AC$60</f>
        <v>54518</v>
      </c>
      <c r="L31" s="27">
        <f>+'[18]20-21'!$AH$60</f>
        <v>92107</v>
      </c>
      <c r="M31" s="27">
        <f>+'[19]20-21'!$AM$66</f>
        <v>75474</v>
      </c>
      <c r="N31" s="27">
        <f>+'[20]20-21'!$AR$66</f>
        <v>169312</v>
      </c>
      <c r="O31" s="27">
        <f>+'[21]20-21'!$AW$66</f>
        <v>1460680</v>
      </c>
      <c r="P31" s="27">
        <f>+'[22]20-21'!$BB$66</f>
        <v>1486244</v>
      </c>
      <c r="Q31" s="27">
        <f>+'[23]20-21'!$BG$66</f>
        <v>1665558</v>
      </c>
      <c r="R31" s="27">
        <f>+'[13]20-21'!$BL$66</f>
        <v>1635698</v>
      </c>
      <c r="S31" s="27">
        <f>+'[24]20-21'!$BQ$66</f>
        <v>1461571</v>
      </c>
      <c r="T31" s="27">
        <f>SUM(H31:S31)</f>
        <v>12412974</v>
      </c>
      <c r="U31" s="28">
        <f>+'[25]19-20'!$I$64</f>
        <v>18283844</v>
      </c>
      <c r="V31" s="26">
        <f>+'[26]19-20'!$N$64</f>
        <v>1549593</v>
      </c>
      <c r="W31" s="26">
        <f>+'[27]19-20'!$S$64</f>
        <v>1486615</v>
      </c>
      <c r="X31" s="26">
        <f>+'[28]19-20'!$X$64</f>
        <v>1412283</v>
      </c>
      <c r="Y31" s="26">
        <f>+'[29]19-20'!$AC$64</f>
        <v>1388691</v>
      </c>
      <c r="Z31" s="26">
        <f>+'[30]19-20'!$AH$64</f>
        <v>1443945</v>
      </c>
      <c r="AA31" s="26">
        <f>+'[31]19-20'!$AM$64</f>
        <v>1524417</v>
      </c>
      <c r="AB31" s="26">
        <f>+'[32]19-20'!$AR$64</f>
        <v>1497621</v>
      </c>
      <c r="AC31" s="26">
        <f>+'[25]19-20'!$AW$64</f>
        <v>1535042</v>
      </c>
      <c r="AD31" s="26">
        <f>+'[33]19-20'!$BB$64</f>
        <v>1484863</v>
      </c>
      <c r="AE31" s="26">
        <f>+'[34]19-20'!$BG$64</f>
        <v>1682694</v>
      </c>
      <c r="AF31" s="26">
        <f>+'[35]19-20'!$BL$64</f>
        <v>1703401</v>
      </c>
      <c r="AG31" s="26">
        <f>+'[36]19-20'!$BQ$64</f>
        <v>1574679</v>
      </c>
      <c r="AH31" s="696">
        <f t="shared" si="6"/>
        <v>18283844</v>
      </c>
      <c r="AI31" s="548"/>
      <c r="AJ31" s="598"/>
      <c r="AK31" s="598"/>
      <c r="AL31" s="598"/>
      <c r="AM31" s="598"/>
      <c r="AN31" s="598"/>
      <c r="AO31" s="598"/>
      <c r="AP31" s="598"/>
      <c r="AQ31" s="598"/>
      <c r="AR31" s="598"/>
      <c r="AS31" s="598"/>
      <c r="AT31" s="598"/>
      <c r="AU31" s="598"/>
      <c r="AV31" s="598"/>
      <c r="AW31" s="598"/>
      <c r="AX31" s="598"/>
      <c r="AY31" s="598"/>
      <c r="AZ31" s="598"/>
      <c r="BA31" s="598"/>
      <c r="BB31" s="598"/>
      <c r="BC31" s="598"/>
      <c r="BD31" s="598"/>
      <c r="BE31" s="598"/>
      <c r="BF31" s="598"/>
      <c r="BG31" s="598"/>
      <c r="BH31" s="598"/>
      <c r="BI31" s="598"/>
      <c r="BJ31" s="598"/>
      <c r="BK31" s="598"/>
      <c r="BL31" s="598"/>
    </row>
    <row r="32" spans="2:64" s="509" customFormat="1" x14ac:dyDescent="0.2">
      <c r="B32" s="694"/>
      <c r="C32" s="526"/>
      <c r="D32" s="593" t="s">
        <v>26</v>
      </c>
      <c r="E32" s="593"/>
      <c r="F32" s="668"/>
      <c r="G32" s="26">
        <f>+'[22]20-21'!$I$51+'[22]20-21'!$I$52+'[22]20-21'!$I$58+'[22]20-21'!$I$59+'[22]20-21'!$I$67+'[22]20-21'!$I$68+'[22]20-21'!$I$69</f>
        <v>4353192</v>
      </c>
      <c r="H32" s="26">
        <f>+'[14]20-21'!$N$51+'[14]20-21'!$N$52+'[14]20-21'!$N$58+'[14]20-21'!$N$59+'[14]20-21'!$N$61+'[14]20-21'!$N$62+'[14]20-21'!$N$63</f>
        <v>312012</v>
      </c>
      <c r="I32" s="27">
        <f>+'[15]20-21'!$S$51+'[15]20-21'!$S$52+'[15]20-21'!$S$58+'[15]20-21'!$S$59+'[15]20-21'!$S$61+'[15]20-21'!$S$62+'[15]20-21'!$S$63</f>
        <v>412871</v>
      </c>
      <c r="J32" s="27">
        <f>+'[16]20-21'!$X$51+'[16]20-21'!$X$52+'[16]20-21'!$X$58+'[16]20-21'!$X$59+'[16]20-21'!$X$61+'[16]20-21'!$X$62+'[16]20-21'!$X$63</f>
        <v>359717</v>
      </c>
      <c r="K32" s="27">
        <f>+'[17]20-21'!$AC$51+'[17]20-21'!$AC$52+'[17]20-21'!$AC$57+'[17]20-21'!$AC$58+'[17]20-21'!$AC$61+'[17]20-21'!$AC$62+'[17]20-21'!$AC$63+'[17]20-21'!$AC$59</f>
        <v>299667</v>
      </c>
      <c r="L32" s="27">
        <f>+'[18]20-21'!$AH$51+'[18]20-21'!$AH$52+'[18]20-21'!$AH$58+'[18]20-21'!$AH$59+'[18]20-21'!$AH$61+'[18]20-21'!$AH$62+'[18]20-21'!$AH$63</f>
        <v>315189</v>
      </c>
      <c r="M32" s="27">
        <f>+'[19]20-21'!$AM$51+'[19]20-21'!$AM$52+'[19]20-21'!$AM$58+'[19]20-21'!$AM$59+'[19]20-21'!$AM$67+'[19]20-21'!$AM$68</f>
        <v>405863</v>
      </c>
      <c r="N32" s="27">
        <f>+'[39]20-21'!$AR$51+'[39]20-21'!$AR$52+'[39]20-21'!$AR$58+'[39]20-21'!$AR$67+'[39]20-21'!$AR$68</f>
        <v>301581</v>
      </c>
      <c r="O32" s="27">
        <f>+'[21]20-21'!$AW$51+'[21]20-21'!$AW$52+'[21]20-21'!$AW$67+'[21]20-21'!$AW$68+'[21]20-21'!$AW$69</f>
        <v>308149</v>
      </c>
      <c r="P32" s="27">
        <f>+'[22]20-21'!$BB$51+'[22]20-21'!$BB$52+'[22]20-21'!$BB$67+'[22]20-21'!$BB$68+'[22]20-21'!$BB$58</f>
        <v>309346</v>
      </c>
      <c r="Q32" s="27">
        <f>+'[23]20-21'!$BG$51+'[23]20-21'!$BG$52+'[23]20-21'!$BG$67+'[23]20-21'!$BG$68+'[23]20-21'!$BG$69+'[23]20-21'!$BG$58</f>
        <v>295451</v>
      </c>
      <c r="R32" s="27">
        <f>+'[13]20-21'!$BL$51+'[13]20-21'!$BL$52+'[13]20-21'!$BL$58+'[13]20-21'!$BL$67+'[13]20-21'!$BL$68+'[13]20-21'!$BL$69+'[13]20-21'!$BL$59</f>
        <v>753319</v>
      </c>
      <c r="S32" s="27">
        <f>+'[24]20-21'!$BQ$51+'[24]20-21'!$BQ$52+'[24]20-21'!$BQ$67+'[24]20-21'!$BQ$68+'[24]20-21'!$BQ$69+'[24]20-21'!$BQ$58</f>
        <v>308336</v>
      </c>
      <c r="T32" s="27">
        <f>SUM(H32:S32)</f>
        <v>4381501</v>
      </c>
      <c r="U32" s="28">
        <f>+'[25]19-20'!$I$50+'[25]19-20'!$I$51+'[25]19-20'!$I$57+'[25]19-20'!$I$65+'[25]19-20'!$I$66+'[25]19-20'!$I$67</f>
        <v>4229199</v>
      </c>
      <c r="V32" s="26">
        <f>+'[26]19-20'!$N$50+'[26]19-20'!$N$51+'[26]19-20'!$N$57+'[26]19-20'!$N$65+'[26]19-20'!$N$66+'[26]19-20'!$N$67</f>
        <v>426762</v>
      </c>
      <c r="W32" s="26">
        <f>+'[27]19-20'!$S$50+'[27]19-20'!$S$51+'[27]19-20'!$S$57+'[27]19-20'!$S$65+'[27]19-20'!$S$66</f>
        <v>384431</v>
      </c>
      <c r="X32" s="26">
        <f>+'[28]19-20'!$X$50+'[28]19-20'!$X$51+'[28]19-20'!$X$57+'[28]19-20'!$X$58+'[28]19-20'!$X$65+'[28]19-20'!$X$66+'[28]19-20'!$X$67</f>
        <v>326193</v>
      </c>
      <c r="Y32" s="26">
        <f>+'[29]19-20'!$AC$50+'[29]19-20'!$AC$51+'[29]19-20'!$AC$65+'[29]19-20'!$AC$66+'[29]19-20'!$AC$67+'[29]19-20'!$AC$57</f>
        <v>483322</v>
      </c>
      <c r="Z32" s="26">
        <f>+'[30]19-20'!$AH$50+'[30]19-20'!$AH$51+'[30]19-20'!$AH$57+'[30]19-20'!$AH$65+'[30]19-20'!$AH$66+'[30]19-20'!$AH$67</f>
        <v>364966</v>
      </c>
      <c r="AA32" s="26">
        <f>+'[31]19-20'!$AM$50+'[31]19-20'!$AM$51+'[31]19-20'!$AM$57+'[31]19-20'!$AM$65+'[31]19-20'!$AM$66+'[31]19-20'!$AM$67</f>
        <v>314061</v>
      </c>
      <c r="AB32" s="26">
        <f>+'[32]19-20'!$AR$50+'[32]19-20'!$AR$51+'[32]19-20'!$AR$57+'[32]19-20'!$AR$65+'[32]19-20'!$AR$66</f>
        <v>295968</v>
      </c>
      <c r="AC32" s="26">
        <f>+'[25]19-20'!$AW$50+'[25]19-20'!$AW$51+'[25]19-20'!$AW$57+'[25]19-20'!$AW$65+'[25]19-20'!$AW$66+'[25]19-20'!$AW$67</f>
        <v>300435</v>
      </c>
      <c r="AD32" s="26">
        <f>+'[33]19-20'!$BB$50+'[33]19-20'!$BB$51+'[33]19-20'!$BB$65+'[33]19-20'!$BB$66+'[33]19-20'!$BB$57</f>
        <v>406225</v>
      </c>
      <c r="AE32" s="26">
        <f>+'[34]19-20'!$BG$50+'[34]19-20'!$BG$51+'[34]19-20'!$BG$57+'[34]19-20'!$BG$65+'[34]19-20'!$BG$66+'[34]19-20'!$BG$67</f>
        <v>247118</v>
      </c>
      <c r="AF32" s="26">
        <f>+'[35]19-20'!$BL$50+'[35]19-20'!$BL$51+'[35]19-20'!$BL$57+'[35]19-20'!$BL$65+'[35]19-20'!$BL$66+'[35]19-20'!$BL$67</f>
        <v>318725</v>
      </c>
      <c r="AG32" s="26">
        <f>+'[36]19-20'!$BQ$50+'[36]19-20'!$BQ$51+'[36]19-20'!$BQ$57+'[36]19-20'!$BQ$65+'[36]19-20'!$BQ$66</f>
        <v>360993</v>
      </c>
      <c r="AH32" s="696">
        <f t="shared" si="6"/>
        <v>4229199</v>
      </c>
      <c r="AI32" s="548"/>
      <c r="AJ32" s="598"/>
      <c r="AK32" s="598"/>
      <c r="AL32" s="598"/>
      <c r="AM32" s="598"/>
      <c r="AN32" s="598"/>
      <c r="AO32" s="598"/>
      <c r="AP32" s="598"/>
      <c r="AQ32" s="598"/>
      <c r="AR32" s="598"/>
      <c r="AS32" s="598"/>
      <c r="AT32" s="598"/>
      <c r="AU32" s="598"/>
      <c r="AV32" s="598"/>
      <c r="AW32" s="598"/>
      <c r="AX32" s="598"/>
      <c r="AY32" s="598"/>
      <c r="AZ32" s="598"/>
      <c r="BA32" s="598"/>
      <c r="BB32" s="598"/>
      <c r="BC32" s="598"/>
      <c r="BD32" s="598"/>
      <c r="BE32" s="598"/>
      <c r="BF32" s="598"/>
      <c r="BG32" s="598"/>
      <c r="BH32" s="598"/>
      <c r="BI32" s="598"/>
      <c r="BJ32" s="598"/>
      <c r="BK32" s="598"/>
      <c r="BL32" s="598"/>
    </row>
    <row r="33" spans="2:66" s="557" customFormat="1" x14ac:dyDescent="0.2">
      <c r="B33" s="694"/>
      <c r="C33" s="710"/>
      <c r="D33" s="526"/>
      <c r="E33" s="526"/>
      <c r="F33" s="668"/>
      <c r="G33" s="30"/>
      <c r="H33" s="30"/>
      <c r="I33" s="31"/>
      <c r="J33" s="31"/>
      <c r="K33" s="31"/>
      <c r="L33" s="31"/>
      <c r="M33" s="31"/>
      <c r="N33" s="31"/>
      <c r="O33" s="31"/>
      <c r="P33" s="13"/>
      <c r="Q33" s="13"/>
      <c r="R33" s="13"/>
      <c r="S33" s="13"/>
      <c r="T33" s="31"/>
      <c r="U33" s="33"/>
      <c r="V33" s="30"/>
      <c r="W33" s="30"/>
      <c r="X33" s="30"/>
      <c r="Y33" s="30"/>
      <c r="Z33" s="30"/>
      <c r="AA33" s="30"/>
      <c r="AB33" s="30"/>
      <c r="AC33" s="30"/>
      <c r="AD33" s="30"/>
      <c r="AE33" s="30"/>
      <c r="AF33" s="30"/>
      <c r="AG33" s="30"/>
      <c r="AH33" s="32"/>
      <c r="AI33" s="556"/>
      <c r="AJ33" s="688"/>
      <c r="AK33" s="688"/>
      <c r="AL33" s="688"/>
      <c r="AM33" s="688"/>
      <c r="AN33" s="688"/>
      <c r="AO33" s="688"/>
      <c r="AP33" s="688"/>
      <c r="AQ33" s="688"/>
      <c r="AR33" s="688"/>
      <c r="AS33" s="688"/>
      <c r="AT33" s="688"/>
      <c r="AU33" s="688"/>
      <c r="AV33" s="688"/>
      <c r="AW33" s="688"/>
      <c r="AX33" s="688"/>
      <c r="AY33" s="688"/>
      <c r="AZ33" s="688"/>
      <c r="BA33" s="688"/>
      <c r="BB33" s="688"/>
      <c r="BC33" s="688"/>
      <c r="BD33" s="688"/>
      <c r="BE33" s="688"/>
      <c r="BF33" s="688"/>
      <c r="BG33" s="688"/>
      <c r="BH33" s="688"/>
      <c r="BI33" s="688"/>
      <c r="BJ33" s="688"/>
      <c r="BK33" s="688"/>
      <c r="BL33" s="688"/>
    </row>
    <row r="34" spans="2:66" s="557" customFormat="1" x14ac:dyDescent="0.2">
      <c r="B34" s="694"/>
      <c r="C34" s="710" t="s">
        <v>27</v>
      </c>
      <c r="D34" s="526"/>
      <c r="E34" s="526"/>
      <c r="F34" s="668"/>
      <c r="G34" s="30">
        <f>+'[13]20-21'!$I$73</f>
        <v>-3692917</v>
      </c>
      <c r="H34" s="30">
        <v>0</v>
      </c>
      <c r="I34" s="31">
        <v>0</v>
      </c>
      <c r="J34" s="31">
        <v>0</v>
      </c>
      <c r="K34" s="31">
        <v>0</v>
      </c>
      <c r="L34" s="31">
        <v>0</v>
      </c>
      <c r="M34" s="31">
        <v>0</v>
      </c>
      <c r="N34" s="31">
        <v>0</v>
      </c>
      <c r="O34" s="31">
        <v>0</v>
      </c>
      <c r="P34" s="13">
        <v>0</v>
      </c>
      <c r="Q34" s="31">
        <v>0</v>
      </c>
      <c r="R34" s="31">
        <v>0</v>
      </c>
      <c r="S34" s="31">
        <v>0</v>
      </c>
      <c r="T34" s="31">
        <v>0</v>
      </c>
      <c r="U34" s="30">
        <v>0</v>
      </c>
      <c r="V34" s="30">
        <v>0</v>
      </c>
      <c r="W34" s="31">
        <v>0</v>
      </c>
      <c r="X34" s="31">
        <v>0</v>
      </c>
      <c r="Y34" s="31">
        <v>0</v>
      </c>
      <c r="Z34" s="31">
        <v>0</v>
      </c>
      <c r="AA34" s="31">
        <v>0</v>
      </c>
      <c r="AB34" s="31">
        <v>0</v>
      </c>
      <c r="AC34" s="31">
        <v>0</v>
      </c>
      <c r="AD34" s="30">
        <v>0</v>
      </c>
      <c r="AE34" s="30">
        <v>0</v>
      </c>
      <c r="AF34" s="30">
        <v>0</v>
      </c>
      <c r="AG34" s="30">
        <v>0</v>
      </c>
      <c r="AH34" s="32">
        <v>0</v>
      </c>
      <c r="AI34" s="556"/>
      <c r="AJ34" s="688"/>
      <c r="AK34" s="688"/>
      <c r="AL34" s="688"/>
      <c r="AM34" s="688"/>
      <c r="AN34" s="688"/>
      <c r="AO34" s="688"/>
      <c r="AP34" s="688"/>
      <c r="AQ34" s="688"/>
      <c r="AR34" s="688"/>
      <c r="AS34" s="688"/>
      <c r="AT34" s="688"/>
      <c r="AU34" s="688"/>
      <c r="AV34" s="688"/>
      <c r="AW34" s="688"/>
      <c r="AX34" s="688"/>
      <c r="AY34" s="688"/>
      <c r="AZ34" s="688"/>
      <c r="BA34" s="688"/>
      <c r="BB34" s="688"/>
      <c r="BC34" s="688"/>
      <c r="BD34" s="688"/>
      <c r="BE34" s="688"/>
      <c r="BF34" s="688"/>
      <c r="BG34" s="688"/>
      <c r="BH34" s="688"/>
      <c r="BI34" s="688"/>
      <c r="BJ34" s="688"/>
      <c r="BK34" s="688"/>
      <c r="BL34" s="688"/>
    </row>
    <row r="35" spans="2:66" s="557" customFormat="1" x14ac:dyDescent="0.2">
      <c r="B35" s="694"/>
      <c r="C35" s="710"/>
      <c r="D35" s="526"/>
      <c r="E35" s="526"/>
      <c r="F35" s="668"/>
      <c r="G35" s="30"/>
      <c r="H35" s="30"/>
      <c r="I35" s="13"/>
      <c r="J35" s="13"/>
      <c r="K35" s="31"/>
      <c r="L35" s="31"/>
      <c r="M35" s="13"/>
      <c r="N35" s="31"/>
      <c r="O35" s="13"/>
      <c r="P35" s="13"/>
      <c r="Q35" s="13"/>
      <c r="R35" s="13"/>
      <c r="S35" s="13"/>
      <c r="T35" s="31"/>
      <c r="U35" s="33"/>
      <c r="V35" s="30"/>
      <c r="W35" s="21"/>
      <c r="X35" s="21"/>
      <c r="Y35" s="21"/>
      <c r="Z35" s="21"/>
      <c r="AA35" s="21"/>
      <c r="AB35" s="21"/>
      <c r="AC35" s="21"/>
      <c r="AD35" s="21"/>
      <c r="AE35" s="21"/>
      <c r="AF35" s="21"/>
      <c r="AG35" s="21"/>
      <c r="AH35" s="23"/>
      <c r="AI35" s="556"/>
      <c r="AJ35" s="688"/>
      <c r="AK35" s="688"/>
      <c r="AL35" s="688"/>
      <c r="AM35" s="688"/>
      <c r="AN35" s="688"/>
      <c r="AO35" s="688"/>
      <c r="AP35" s="688"/>
      <c r="AQ35" s="688"/>
      <c r="AR35" s="688"/>
      <c r="AS35" s="688"/>
      <c r="AT35" s="688"/>
      <c r="AU35" s="688"/>
      <c r="AV35" s="688"/>
      <c r="AW35" s="688"/>
      <c r="AX35" s="688"/>
      <c r="AY35" s="688"/>
      <c r="AZ35" s="688"/>
      <c r="BA35" s="688"/>
      <c r="BB35" s="688"/>
      <c r="BC35" s="688"/>
      <c r="BD35" s="688"/>
      <c r="BE35" s="688"/>
      <c r="BF35" s="688"/>
      <c r="BG35" s="688"/>
      <c r="BH35" s="688"/>
      <c r="BI35" s="688"/>
      <c r="BJ35" s="688"/>
      <c r="BK35" s="688"/>
      <c r="BL35" s="688"/>
    </row>
    <row r="36" spans="2:66" s="509" customFormat="1" x14ac:dyDescent="0.2">
      <c r="B36" s="525" t="s">
        <v>28</v>
      </c>
      <c r="C36" s="526"/>
      <c r="D36" s="526"/>
      <c r="E36" s="526"/>
      <c r="F36" s="668"/>
      <c r="G36" s="711">
        <f t="shared" ref="G36:Q36" si="7">+G9-G11</f>
        <v>-603388420.00234699</v>
      </c>
      <c r="H36" s="711">
        <f t="shared" si="7"/>
        <v>-51156457.046230003</v>
      </c>
      <c r="I36" s="711">
        <f t="shared" si="7"/>
        <v>-52369080.107569978</v>
      </c>
      <c r="J36" s="711">
        <f t="shared" si="7"/>
        <v>-22296182.623359978</v>
      </c>
      <c r="K36" s="711">
        <f t="shared" si="7"/>
        <v>-134529648.03983</v>
      </c>
      <c r="L36" s="711">
        <f t="shared" si="7"/>
        <v>-63673793.456500009</v>
      </c>
      <c r="M36" s="711">
        <f>+M9-M11</f>
        <v>-42866801.970830038</v>
      </c>
      <c r="N36" s="711">
        <f t="shared" si="7"/>
        <v>-49729127.847139999</v>
      </c>
      <c r="O36" s="711">
        <f t="shared" si="7"/>
        <v>-21403285.226410002</v>
      </c>
      <c r="P36" s="711">
        <f t="shared" si="7"/>
        <v>5051318.7694999874</v>
      </c>
      <c r="Q36" s="711">
        <f t="shared" si="7"/>
        <v>-76235278.776310012</v>
      </c>
      <c r="R36" s="711">
        <f>+R9-R11</f>
        <v>-12830619.79298003</v>
      </c>
      <c r="S36" s="711">
        <f>+S9-S11</f>
        <v>-29818752.623150021</v>
      </c>
      <c r="T36" s="712">
        <f>+T9-T11+1</f>
        <v>-551857708.74081039</v>
      </c>
      <c r="U36" s="712">
        <f t="shared" ref="U36:AF36" si="8">+U9-U11</f>
        <v>-345253039.25291967</v>
      </c>
      <c r="V36" s="711">
        <f t="shared" si="8"/>
        <v>-63530124.914269969</v>
      </c>
      <c r="W36" s="711">
        <f t="shared" si="8"/>
        <v>-17540392.930979982</v>
      </c>
      <c r="X36" s="711">
        <f t="shared" si="8"/>
        <v>23606007.997280002</v>
      </c>
      <c r="Y36" s="711">
        <f t="shared" si="8"/>
        <v>-99103979.470700011</v>
      </c>
      <c r="Z36" s="711">
        <f t="shared" si="8"/>
        <v>-32839807.354750007</v>
      </c>
      <c r="AA36" s="711">
        <f t="shared" si="8"/>
        <v>-649646.72567999363</v>
      </c>
      <c r="AB36" s="711">
        <f t="shared" si="8"/>
        <v>-42343200.265070021</v>
      </c>
      <c r="AC36" s="711">
        <f t="shared" si="8"/>
        <v>-15141181.965899989</v>
      </c>
      <c r="AD36" s="711">
        <f t="shared" si="8"/>
        <v>-2169109.574939996</v>
      </c>
      <c r="AE36" s="711">
        <f>+AE9-AE11</f>
        <v>-47546404.333759978</v>
      </c>
      <c r="AF36" s="711">
        <f t="shared" si="8"/>
        <v>2152970.0916399956</v>
      </c>
      <c r="AG36" s="711">
        <f>+AG9-AG11-1</f>
        <v>-50148170.25752002</v>
      </c>
      <c r="AH36" s="713">
        <f>+AH9-AH11</f>
        <v>-345253039.70465016</v>
      </c>
      <c r="AI36" s="548"/>
      <c r="AJ36" s="541"/>
      <c r="AK36" s="688"/>
      <c r="AL36" s="688"/>
      <c r="AM36" s="688"/>
      <c r="AN36" s="688"/>
      <c r="AO36" s="688"/>
      <c r="AP36" s="688"/>
      <c r="AQ36" s="688"/>
      <c r="AR36" s="688"/>
      <c r="AS36" s="688"/>
      <c r="AT36" s="688"/>
      <c r="AU36" s="688"/>
      <c r="AV36" s="688"/>
      <c r="AW36" s="688"/>
      <c r="AX36" s="688"/>
      <c r="AY36" s="688"/>
      <c r="AZ36" s="688"/>
      <c r="BA36" s="688"/>
      <c r="BB36" s="688"/>
      <c r="BC36" s="688"/>
      <c r="BD36" s="688"/>
      <c r="BE36" s="688"/>
      <c r="BF36" s="688"/>
      <c r="BG36" s="688"/>
      <c r="BH36" s="688"/>
      <c r="BI36" s="688"/>
      <c r="BJ36" s="688"/>
      <c r="BK36" s="688"/>
      <c r="BL36" s="688"/>
      <c r="BM36" s="598"/>
      <c r="BN36" s="598"/>
    </row>
    <row r="37" spans="2:66" s="509" customFormat="1" x14ac:dyDescent="0.2">
      <c r="B37" s="524"/>
      <c r="C37" s="510"/>
      <c r="D37" s="510"/>
      <c r="E37" s="510"/>
      <c r="F37" s="668"/>
      <c r="G37" s="714"/>
      <c r="H37" s="714"/>
      <c r="I37" s="715"/>
      <c r="J37" s="715"/>
      <c r="K37" s="715"/>
      <c r="L37" s="715"/>
      <c r="M37" s="715"/>
      <c r="N37" s="715"/>
      <c r="O37" s="715"/>
      <c r="P37" s="715"/>
      <c r="Q37" s="715"/>
      <c r="R37" s="715"/>
      <c r="S37" s="715"/>
      <c r="T37" s="715"/>
      <c r="U37" s="716"/>
      <c r="V37" s="714"/>
      <c r="W37" s="714"/>
      <c r="X37" s="714"/>
      <c r="Y37" s="714"/>
      <c r="Z37" s="714"/>
      <c r="AA37" s="714"/>
      <c r="AB37" s="714"/>
      <c r="AC37" s="714"/>
      <c r="AD37" s="714"/>
      <c r="AE37" s="714"/>
      <c r="AF37" s="714"/>
      <c r="AG37" s="714"/>
      <c r="AH37" s="717"/>
      <c r="AI37" s="548"/>
      <c r="AJ37" s="598"/>
      <c r="AK37" s="598"/>
      <c r="AL37" s="598"/>
      <c r="AM37" s="598"/>
      <c r="AN37" s="598"/>
      <c r="AO37" s="598"/>
      <c r="AP37" s="598"/>
      <c r="AQ37" s="598"/>
      <c r="AR37" s="598"/>
      <c r="AS37" s="598"/>
      <c r="AT37" s="598"/>
      <c r="AU37" s="598"/>
      <c r="AV37" s="598"/>
      <c r="AW37" s="598"/>
      <c r="AX37" s="598"/>
      <c r="AY37" s="598"/>
      <c r="AZ37" s="598"/>
      <c r="BA37" s="598"/>
      <c r="BB37" s="598"/>
      <c r="BC37" s="598"/>
      <c r="BD37" s="598"/>
      <c r="BE37" s="598"/>
      <c r="BF37" s="598"/>
      <c r="BG37" s="598"/>
      <c r="BH37" s="598"/>
      <c r="BI37" s="598"/>
      <c r="BJ37" s="598"/>
      <c r="BK37" s="598"/>
      <c r="BL37" s="598"/>
    </row>
    <row r="38" spans="2:66" s="509" customFormat="1" x14ac:dyDescent="0.2">
      <c r="B38" s="525"/>
      <c r="C38" s="526"/>
      <c r="D38" s="510"/>
      <c r="E38" s="510"/>
      <c r="F38" s="695"/>
      <c r="G38" s="718"/>
      <c r="H38" s="718"/>
      <c r="I38" s="719"/>
      <c r="J38" s="719"/>
      <c r="K38" s="719"/>
      <c r="L38" s="719"/>
      <c r="M38" s="719"/>
      <c r="N38" s="719"/>
      <c r="O38" s="719"/>
      <c r="P38" s="719"/>
      <c r="Q38" s="719"/>
      <c r="R38" s="719"/>
      <c r="S38" s="719"/>
      <c r="T38" s="719"/>
      <c r="U38" s="720"/>
      <c r="V38" s="718"/>
      <c r="W38" s="718"/>
      <c r="X38" s="718"/>
      <c r="Y38" s="718"/>
      <c r="Z38" s="718"/>
      <c r="AA38" s="718"/>
      <c r="AB38" s="718"/>
      <c r="AC38" s="718"/>
      <c r="AD38" s="718"/>
      <c r="AE38" s="718"/>
      <c r="AF38" s="718"/>
      <c r="AG38" s="718"/>
      <c r="AH38" s="721"/>
      <c r="AI38" s="548"/>
      <c r="AJ38" s="598"/>
      <c r="AK38" s="598"/>
      <c r="AL38" s="598"/>
      <c r="AM38" s="598"/>
      <c r="AN38" s="598"/>
      <c r="AO38" s="598"/>
      <c r="AP38" s="598"/>
      <c r="AQ38" s="598"/>
      <c r="AR38" s="598"/>
      <c r="AS38" s="598"/>
      <c r="AT38" s="598"/>
      <c r="AU38" s="598"/>
      <c r="AV38" s="598"/>
      <c r="AW38" s="598"/>
      <c r="AX38" s="598"/>
      <c r="AY38" s="598"/>
      <c r="AZ38" s="598"/>
      <c r="BA38" s="598"/>
      <c r="BB38" s="598"/>
      <c r="BC38" s="598"/>
      <c r="BD38" s="598"/>
      <c r="BE38" s="598"/>
      <c r="BF38" s="598"/>
      <c r="BG38" s="598"/>
      <c r="BH38" s="598"/>
      <c r="BI38" s="598"/>
      <c r="BJ38" s="598"/>
      <c r="BK38" s="598"/>
      <c r="BL38" s="598"/>
    </row>
    <row r="39" spans="2:66" s="509" customFormat="1" x14ac:dyDescent="0.2">
      <c r="B39" s="525" t="s">
        <v>615</v>
      </c>
      <c r="C39" s="526"/>
      <c r="D39" s="510"/>
      <c r="E39" s="510"/>
      <c r="F39" s="695"/>
      <c r="G39" s="722"/>
      <c r="H39" s="722"/>
      <c r="I39" s="723"/>
      <c r="J39" s="723"/>
      <c r="K39" s="723"/>
      <c r="L39" s="723"/>
      <c r="M39" s="723"/>
      <c r="N39" s="723"/>
      <c r="O39" s="723"/>
      <c r="P39" s="723"/>
      <c r="Q39" s="723"/>
      <c r="R39" s="723"/>
      <c r="S39" s="723"/>
      <c r="T39" s="723"/>
      <c r="U39" s="34"/>
      <c r="V39" s="722"/>
      <c r="W39" s="722"/>
      <c r="X39" s="722"/>
      <c r="Y39" s="722"/>
      <c r="Z39" s="722"/>
      <c r="AA39" s="722"/>
      <c r="AB39" s="722"/>
      <c r="AC39" s="722"/>
      <c r="AD39" s="722"/>
      <c r="AE39" s="722"/>
      <c r="AF39" s="722"/>
      <c r="AG39" s="722"/>
      <c r="AH39" s="724"/>
      <c r="AI39" s="548"/>
      <c r="AJ39" s="598"/>
      <c r="AK39" s="598"/>
      <c r="AL39" s="598"/>
      <c r="AM39" s="598"/>
      <c r="AN39" s="598"/>
      <c r="AO39" s="598"/>
      <c r="AP39" s="598"/>
      <c r="AQ39" s="598"/>
      <c r="AR39" s="598"/>
      <c r="AS39" s="598"/>
      <c r="AT39" s="598"/>
      <c r="AU39" s="598"/>
      <c r="AV39" s="598"/>
      <c r="AW39" s="598"/>
      <c r="AX39" s="598"/>
      <c r="AY39" s="598"/>
      <c r="AZ39" s="598"/>
      <c r="BA39" s="598"/>
      <c r="BB39" s="598"/>
      <c r="BC39" s="598"/>
      <c r="BD39" s="598"/>
      <c r="BE39" s="598"/>
      <c r="BF39" s="598"/>
      <c r="BG39" s="598"/>
      <c r="BH39" s="598"/>
      <c r="BI39" s="598"/>
      <c r="BJ39" s="598"/>
      <c r="BK39" s="598"/>
      <c r="BL39" s="598"/>
    </row>
    <row r="40" spans="2:66" s="509" customFormat="1" x14ac:dyDescent="0.2">
      <c r="B40" s="525"/>
      <c r="C40" s="526"/>
      <c r="D40" s="510"/>
      <c r="E40" s="510"/>
      <c r="F40" s="695"/>
      <c r="G40" s="722"/>
      <c r="H40" s="722"/>
      <c r="I40" s="723"/>
      <c r="J40" s="723"/>
      <c r="K40" s="723"/>
      <c r="L40" s="723"/>
      <c r="M40" s="723"/>
      <c r="N40" s="723"/>
      <c r="O40" s="723"/>
      <c r="P40" s="723"/>
      <c r="Q40" s="723"/>
      <c r="R40" s="723"/>
      <c r="S40" s="723"/>
      <c r="T40" s="723"/>
      <c r="U40" s="34"/>
      <c r="V40" s="722"/>
      <c r="W40" s="722"/>
      <c r="X40" s="722"/>
      <c r="Y40" s="722"/>
      <c r="Z40" s="722"/>
      <c r="AA40" s="722"/>
      <c r="AB40" s="722"/>
      <c r="AC40" s="722"/>
      <c r="AD40" s="722"/>
      <c r="AE40" s="722"/>
      <c r="AF40" s="722"/>
      <c r="AG40" s="722"/>
      <c r="AH40" s="724"/>
      <c r="AI40" s="548"/>
      <c r="AJ40" s="598"/>
      <c r="AK40" s="598"/>
      <c r="AL40" s="598"/>
      <c r="AM40" s="598"/>
      <c r="AN40" s="598"/>
      <c r="AO40" s="598"/>
      <c r="AP40" s="598"/>
      <c r="AQ40" s="598"/>
      <c r="AR40" s="598"/>
      <c r="AS40" s="598"/>
      <c r="AT40" s="598"/>
      <c r="AU40" s="598"/>
      <c r="AV40" s="598"/>
      <c r="AW40" s="598"/>
      <c r="AX40" s="598"/>
      <c r="AY40" s="598"/>
      <c r="AZ40" s="598"/>
      <c r="BA40" s="598"/>
      <c r="BB40" s="598"/>
      <c r="BC40" s="598"/>
      <c r="BD40" s="598"/>
      <c r="BE40" s="598"/>
      <c r="BF40" s="598"/>
      <c r="BG40" s="598"/>
      <c r="BH40" s="598"/>
      <c r="BI40" s="598"/>
      <c r="BJ40" s="598"/>
      <c r="BK40" s="598"/>
      <c r="BL40" s="598"/>
    </row>
    <row r="41" spans="2:66" s="509" customFormat="1" x14ac:dyDescent="0.2">
      <c r="B41" s="525" t="s">
        <v>29</v>
      </c>
      <c r="C41" s="725"/>
      <c r="D41" s="510"/>
      <c r="E41" s="726"/>
      <c r="F41" s="668">
        <v>3</v>
      </c>
      <c r="G41" s="21">
        <f>+[40]summary!$H$13</f>
        <v>97183520</v>
      </c>
      <c r="H41" s="21">
        <f>+[41]summary!$M$13</f>
        <v>37582688</v>
      </c>
      <c r="I41" s="13">
        <f>+[42]summary!$R$13</f>
        <v>16125619</v>
      </c>
      <c r="J41" s="13">
        <f>+[43]summary!$W$13</f>
        <v>11567828</v>
      </c>
      <c r="K41" s="13">
        <f>+[44]summary!$AB$13</f>
        <v>26289577</v>
      </c>
      <c r="L41" s="13">
        <f>+[45]summary!$AG$13</f>
        <v>-5974831</v>
      </c>
      <c r="M41" s="13">
        <f>+[46]summary!$AL$13</f>
        <v>1315362</v>
      </c>
      <c r="N41" s="13">
        <f>+[47]summary!$AQ$13</f>
        <v>31098565</v>
      </c>
      <c r="O41" s="13">
        <f>+[48]summary!$AV$13</f>
        <v>295423</v>
      </c>
      <c r="P41" s="13">
        <f>+[49]summary!$BA$13</f>
        <v>-33015782</v>
      </c>
      <c r="Q41" s="13">
        <f>+[50]summary!$BF$13</f>
        <v>15701292</v>
      </c>
      <c r="R41" s="13">
        <f>+[40]summary!$BK$13</f>
        <v>-13560314</v>
      </c>
      <c r="S41" s="13">
        <f>+[51]summary!$BP$13</f>
        <v>7899997</v>
      </c>
      <c r="T41" s="684">
        <f>SUM(H41:S41)</f>
        <v>95325424</v>
      </c>
      <c r="U41" s="14">
        <f>+[52]summary!$BZ$13</f>
        <v>36077502</v>
      </c>
      <c r="V41" s="546">
        <v>32089095</v>
      </c>
      <c r="W41" s="546">
        <f>+[42]summary!$CJ$13</f>
        <v>12375928</v>
      </c>
      <c r="X41" s="546">
        <f>+[43]summary!$CO$13</f>
        <v>21645154</v>
      </c>
      <c r="Y41" s="546">
        <f>+[44]summary!$CT$13</f>
        <v>4387554</v>
      </c>
      <c r="Z41" s="546">
        <f>+[45]summary!$CY$13</f>
        <v>10613091</v>
      </c>
      <c r="AA41" s="546">
        <f>+[46]summary!$DD$13</f>
        <v>-17323880</v>
      </c>
      <c r="AB41" s="546">
        <f>+[53]summary!$DI$13</f>
        <v>7778423</v>
      </c>
      <c r="AC41" s="546">
        <f>+[52]summary!$DN$13</f>
        <v>6126860</v>
      </c>
      <c r="AD41" s="546">
        <f>+[49]summary!$DS$13</f>
        <v>-16508019</v>
      </c>
      <c r="AE41" s="546">
        <f>+[50]summary!$DX$13</f>
        <v>13250851</v>
      </c>
      <c r="AF41" s="546">
        <f>+[40]summary!$EC$13</f>
        <v>-2500139</v>
      </c>
      <c r="AG41" s="546">
        <f>+[51]summary!$EH$13</f>
        <v>-35857416</v>
      </c>
      <c r="AH41" s="693">
        <f>SUM(V41:AG41)</f>
        <v>36077502</v>
      </c>
      <c r="AI41" s="548"/>
      <c r="AJ41" s="598"/>
      <c r="AK41" s="541"/>
      <c r="AL41" s="541"/>
      <c r="AM41" s="541"/>
      <c r="AN41" s="541"/>
      <c r="AO41" s="541"/>
      <c r="AP41" s="541"/>
      <c r="AQ41" s="541"/>
      <c r="AR41" s="541"/>
      <c r="AS41" s="541"/>
      <c r="AT41" s="541"/>
      <c r="AU41" s="541"/>
      <c r="AV41" s="541"/>
      <c r="AW41" s="541"/>
      <c r="AX41" s="598"/>
      <c r="AY41" s="598"/>
      <c r="AZ41" s="598"/>
      <c r="BA41" s="598"/>
      <c r="BB41" s="598"/>
      <c r="BC41" s="598"/>
      <c r="BD41" s="598"/>
      <c r="BE41" s="598"/>
      <c r="BF41" s="598"/>
      <c r="BG41" s="598"/>
      <c r="BH41" s="598"/>
      <c r="BI41" s="598"/>
      <c r="BJ41" s="598"/>
      <c r="BK41" s="598"/>
      <c r="BL41" s="598"/>
    </row>
    <row r="42" spans="2:66" s="509" customFormat="1" x14ac:dyDescent="0.2">
      <c r="B42" s="525"/>
      <c r="C42" s="725"/>
      <c r="D42" s="510"/>
      <c r="E42" s="510"/>
      <c r="F42" s="668"/>
      <c r="G42" s="21"/>
      <c r="H42" s="21"/>
      <c r="I42" s="13"/>
      <c r="J42" s="13"/>
      <c r="K42" s="13"/>
      <c r="L42" s="13"/>
      <c r="M42" s="13"/>
      <c r="N42" s="13"/>
      <c r="O42" s="13"/>
      <c r="P42" s="13"/>
      <c r="Q42" s="13"/>
      <c r="R42" s="13"/>
      <c r="S42" s="13"/>
      <c r="T42" s="13"/>
      <c r="U42" s="22"/>
      <c r="V42" s="21"/>
      <c r="W42" s="21"/>
      <c r="X42" s="21"/>
      <c r="Y42" s="21"/>
      <c r="Z42" s="21"/>
      <c r="AA42" s="21"/>
      <c r="AB42" s="21"/>
      <c r="AC42" s="21"/>
      <c r="AD42" s="21"/>
      <c r="AE42" s="21"/>
      <c r="AF42" s="21"/>
      <c r="AG42" s="21"/>
      <c r="AH42" s="23"/>
      <c r="AI42" s="548"/>
      <c r="AJ42" s="598"/>
      <c r="AK42" s="598"/>
      <c r="AL42" s="598"/>
      <c r="AM42" s="598"/>
      <c r="AN42" s="598"/>
      <c r="AO42" s="598"/>
      <c r="AP42" s="598"/>
      <c r="AQ42" s="598"/>
      <c r="AR42" s="598"/>
      <c r="AS42" s="598"/>
      <c r="AT42" s="598"/>
      <c r="AU42" s="598"/>
      <c r="AV42" s="598"/>
      <c r="AW42" s="598"/>
      <c r="AX42" s="598"/>
      <c r="AY42" s="598"/>
      <c r="AZ42" s="598"/>
      <c r="BA42" s="598"/>
      <c r="BB42" s="598"/>
      <c r="BC42" s="598"/>
      <c r="BD42" s="598"/>
      <c r="BE42" s="598"/>
      <c r="BF42" s="598"/>
      <c r="BG42" s="598"/>
      <c r="BH42" s="598"/>
      <c r="BI42" s="598"/>
      <c r="BJ42" s="598"/>
      <c r="BK42" s="598"/>
      <c r="BL42" s="598"/>
    </row>
    <row r="43" spans="2:66" s="509" customFormat="1" x14ac:dyDescent="0.2">
      <c r="B43" s="525" t="s">
        <v>30</v>
      </c>
      <c r="C43" s="725"/>
      <c r="D43" s="510"/>
      <c r="E43" s="510"/>
      <c r="F43" s="668">
        <v>3</v>
      </c>
      <c r="G43" s="21">
        <f>+[40]summary!$H$23</f>
        <v>465992000</v>
      </c>
      <c r="H43" s="21">
        <f>+[41]summary!$M$23</f>
        <v>32850713</v>
      </c>
      <c r="I43" s="13">
        <f>+[42]summary!$R$23</f>
        <v>40638036.743999995</v>
      </c>
      <c r="J43" s="13">
        <f>+[43]summary!$W$23</f>
        <v>43402900</v>
      </c>
      <c r="K43" s="13">
        <f>+[44]summary!$AB$23</f>
        <v>60600922</v>
      </c>
      <c r="L43" s="13">
        <f>+[45]summary!$AG$23</f>
        <v>37229982</v>
      </c>
      <c r="M43" s="13">
        <f>+[46]summary!$AL$23</f>
        <v>50427153</v>
      </c>
      <c r="N43" s="13">
        <f>+[47]summary!$AQ$23</f>
        <v>50571945</v>
      </c>
      <c r="O43" s="13">
        <f>+[48]summary!$AV$23</f>
        <v>39211461</v>
      </c>
      <c r="P43" s="13">
        <f>+[49]summary!$BA$23</f>
        <v>45711722</v>
      </c>
      <c r="Q43" s="13">
        <f>+[50]summary!$BF$23</f>
        <v>34673258</v>
      </c>
      <c r="R43" s="13">
        <f>+[40]summary!$BK$23</f>
        <v>42446719</v>
      </c>
      <c r="S43" s="13">
        <f>+[51]summary!$BP$23</f>
        <v>-7569549</v>
      </c>
      <c r="T43" s="684">
        <f>SUM(H43:S43)</f>
        <v>470195262.74399996</v>
      </c>
      <c r="U43" s="14">
        <f>+[52]summary!$BZ$23</f>
        <v>286021581</v>
      </c>
      <c r="V43" s="546">
        <v>19134410</v>
      </c>
      <c r="W43" s="546">
        <f>+[42]summary!$CJ$23</f>
        <v>24383035</v>
      </c>
      <c r="X43" s="546">
        <f>+[43]summary!$CO$23</f>
        <v>19205091</v>
      </c>
      <c r="Y43" s="546">
        <f>+[44]summary!$CT$23</f>
        <v>22800224</v>
      </c>
      <c r="Z43" s="546">
        <f>+[45]summary!$CY$23</f>
        <v>28165310</v>
      </c>
      <c r="AA43" s="546">
        <f>+[46]summary!$DD$23</f>
        <v>29107369</v>
      </c>
      <c r="AB43" s="546">
        <f>+[53]summary!$DI$23</f>
        <v>30927020</v>
      </c>
      <c r="AC43" s="546">
        <f>+[52]summary!$DN$23</f>
        <v>30718792</v>
      </c>
      <c r="AD43" s="546">
        <f>+[49]summary!$DS$23</f>
        <v>23853310</v>
      </c>
      <c r="AE43" s="546">
        <f>+[50]summary!$DX$23</f>
        <v>3150815</v>
      </c>
      <c r="AF43" s="546">
        <f>+[40]summary!$EC$23</f>
        <v>29159155</v>
      </c>
      <c r="AG43" s="546">
        <f>+[51]summary!$EH$23</f>
        <v>25417050</v>
      </c>
      <c r="AH43" s="693">
        <f>SUM(V43:AG43)</f>
        <v>286021581</v>
      </c>
      <c r="AI43" s="548"/>
      <c r="AJ43" s="598"/>
      <c r="AK43" s="541"/>
      <c r="AL43" s="541"/>
      <c r="AM43" s="541"/>
      <c r="AN43" s="541"/>
      <c r="AO43" s="541"/>
      <c r="AP43" s="541"/>
      <c r="AQ43" s="541"/>
      <c r="AR43" s="541"/>
      <c r="AS43" s="541"/>
      <c r="AT43" s="541"/>
      <c r="AU43" s="541"/>
      <c r="AV43" s="541"/>
      <c r="AW43" s="541"/>
      <c r="AX43" s="598"/>
      <c r="AY43" s="598"/>
      <c r="AZ43" s="598"/>
      <c r="BA43" s="598"/>
      <c r="BB43" s="598"/>
      <c r="BC43" s="598"/>
      <c r="BD43" s="598"/>
      <c r="BE43" s="598"/>
      <c r="BF43" s="598"/>
      <c r="BG43" s="598"/>
      <c r="BH43" s="598"/>
      <c r="BI43" s="598"/>
      <c r="BJ43" s="598"/>
      <c r="BK43" s="598"/>
      <c r="BL43" s="598"/>
    </row>
    <row r="44" spans="2:66" s="509" customFormat="1" x14ac:dyDescent="0.2">
      <c r="B44" s="524"/>
      <c r="C44" s="510"/>
      <c r="D44" s="510"/>
      <c r="E44" s="510"/>
      <c r="F44" s="668"/>
      <c r="G44" s="17"/>
      <c r="H44" s="17"/>
      <c r="I44" s="18"/>
      <c r="J44" s="18"/>
      <c r="K44" s="18"/>
      <c r="L44" s="18"/>
      <c r="M44" s="18"/>
      <c r="N44" s="18"/>
      <c r="O44" s="18"/>
      <c r="P44" s="18"/>
      <c r="Q44" s="18"/>
      <c r="R44" s="18"/>
      <c r="S44" s="18"/>
      <c r="T44" s="18"/>
      <c r="U44" s="19"/>
      <c r="V44" s="17"/>
      <c r="W44" s="17"/>
      <c r="X44" s="17"/>
      <c r="Y44" s="17"/>
      <c r="Z44" s="17"/>
      <c r="AA44" s="17"/>
      <c r="AB44" s="17"/>
      <c r="AC44" s="17"/>
      <c r="AD44" s="17"/>
      <c r="AE44" s="17"/>
      <c r="AF44" s="17"/>
      <c r="AG44" s="17"/>
      <c r="AH44" s="691"/>
      <c r="AI44" s="548"/>
      <c r="AJ44" s="598"/>
      <c r="AK44" s="598"/>
      <c r="AL44" s="598"/>
      <c r="AM44" s="598"/>
      <c r="AN44" s="598"/>
      <c r="AO44" s="598"/>
      <c r="AP44" s="598"/>
      <c r="AQ44" s="598"/>
      <c r="AR44" s="598"/>
      <c r="AS44" s="598"/>
      <c r="AT44" s="598"/>
      <c r="AU44" s="598"/>
      <c r="AV44" s="598"/>
      <c r="AW44" s="598"/>
      <c r="AX44" s="598"/>
      <c r="AY44" s="598"/>
      <c r="AZ44" s="598"/>
      <c r="BA44" s="598"/>
      <c r="BB44" s="598"/>
      <c r="BC44" s="598"/>
      <c r="BD44" s="598"/>
      <c r="BE44" s="598"/>
      <c r="BF44" s="598"/>
      <c r="BG44" s="598"/>
      <c r="BH44" s="598"/>
      <c r="BI44" s="598"/>
      <c r="BJ44" s="598"/>
      <c r="BK44" s="598"/>
      <c r="BL44" s="598"/>
    </row>
    <row r="45" spans="2:66" s="509" customFormat="1" x14ac:dyDescent="0.2">
      <c r="B45" s="525" t="s">
        <v>616</v>
      </c>
      <c r="C45" s="725"/>
      <c r="D45" s="510"/>
      <c r="E45" s="510"/>
      <c r="F45" s="668">
        <v>3</v>
      </c>
      <c r="G45" s="546">
        <f>+[40]summary!$H$44</f>
        <v>92653000</v>
      </c>
      <c r="H45" s="546">
        <f>+[41]summary!$M$45</f>
        <v>-777665</v>
      </c>
      <c r="I45" s="684">
        <f>+[42]summary!$R$45</f>
        <v>-4931986</v>
      </c>
      <c r="J45" s="684">
        <f>+[43]summary!$W$44</f>
        <v>-8699700</v>
      </c>
      <c r="K45" s="684">
        <f>+[44]summary!$AB$44</f>
        <v>86911584</v>
      </c>
      <c r="L45" s="684">
        <f>+[45]summary!$AG$44</f>
        <v>0</v>
      </c>
      <c r="M45" s="684">
        <f>+[46]summary!$AL$44</f>
        <v>0</v>
      </c>
      <c r="N45" s="684">
        <f>+[47]summary!$AQ$44</f>
        <v>5008164</v>
      </c>
      <c r="O45" s="684">
        <f>+[48]summary!$AV$44</f>
        <v>-6967</v>
      </c>
      <c r="P45" s="684">
        <f>+[49]summary!$BA$44</f>
        <v>0</v>
      </c>
      <c r="Q45" s="684">
        <f>+[50]summary!$BF$44</f>
        <v>0</v>
      </c>
      <c r="R45" s="684">
        <f>+[40]summary!$BK$44</f>
        <v>0</v>
      </c>
      <c r="S45" s="684">
        <f>+[51]summary!$BP$44</f>
        <v>0</v>
      </c>
      <c r="T45" s="684">
        <f>SUM(H45:S45)</f>
        <v>77503430</v>
      </c>
      <c r="U45" s="14">
        <f>+[52]summary!$BZ$44</f>
        <v>24823043</v>
      </c>
      <c r="V45" s="546">
        <v>-628449</v>
      </c>
      <c r="W45" s="546">
        <f>+[42]summary!$CJ$45</f>
        <v>-25247385</v>
      </c>
      <c r="X45" s="546">
        <f>+[43]summary!$CO$44</f>
        <v>0</v>
      </c>
      <c r="Y45" s="546">
        <f>+[44]summary!$CT$44</f>
        <v>0</v>
      </c>
      <c r="Z45" s="546">
        <f>+[45]summary!$CY$44</f>
        <v>0</v>
      </c>
      <c r="AA45" s="546">
        <f>+[46]summary!$DD$44</f>
        <v>76052000</v>
      </c>
      <c r="AB45" s="546">
        <f>+[53]summary!$DI$44</f>
        <v>-654491</v>
      </c>
      <c r="AC45" s="546">
        <f>+[52]summary!$DN$44</f>
        <v>-6365</v>
      </c>
      <c r="AD45" s="546">
        <f>+[49]summary!$DS$44</f>
        <v>0</v>
      </c>
      <c r="AE45" s="546">
        <f>+[50]summary!$DX$44</f>
        <v>0</v>
      </c>
      <c r="AF45" s="546">
        <f>+[40]summary!$EC$44</f>
        <v>0</v>
      </c>
      <c r="AG45" s="546">
        <f>+[51]summary!$EH$44</f>
        <v>-24692267</v>
      </c>
      <c r="AH45" s="693">
        <f>SUM(V45:AG45)</f>
        <v>24823043</v>
      </c>
      <c r="AI45" s="727"/>
      <c r="AJ45" s="728"/>
      <c r="AK45" s="541"/>
      <c r="AL45" s="541"/>
      <c r="AM45" s="541"/>
      <c r="AN45" s="541"/>
      <c r="AO45" s="541"/>
      <c r="AP45" s="541"/>
      <c r="AQ45" s="541"/>
      <c r="AR45" s="541"/>
      <c r="AS45" s="541"/>
      <c r="AT45" s="541"/>
      <c r="AU45" s="541"/>
      <c r="AV45" s="541"/>
      <c r="AW45" s="541"/>
      <c r="AX45" s="598"/>
      <c r="AY45" s="598"/>
      <c r="AZ45" s="598"/>
      <c r="BA45" s="598"/>
      <c r="BB45" s="598"/>
      <c r="BC45" s="598"/>
      <c r="BD45" s="598"/>
      <c r="BE45" s="598"/>
      <c r="BF45" s="598"/>
      <c r="BG45" s="598"/>
      <c r="BH45" s="598"/>
      <c r="BI45" s="598"/>
      <c r="BJ45" s="598"/>
      <c r="BK45" s="598"/>
      <c r="BL45" s="598"/>
    </row>
    <row r="46" spans="2:66" s="509" customFormat="1" x14ac:dyDescent="0.2">
      <c r="B46" s="525"/>
      <c r="C46" s="725"/>
      <c r="D46" s="510"/>
      <c r="E46" s="510"/>
      <c r="F46" s="542"/>
      <c r="G46" s="17"/>
      <c r="H46" s="17"/>
      <c r="I46" s="18"/>
      <c r="J46" s="18"/>
      <c r="K46" s="18"/>
      <c r="L46" s="18"/>
      <c r="M46" s="18"/>
      <c r="N46" s="18"/>
      <c r="O46" s="18"/>
      <c r="P46" s="18"/>
      <c r="Q46" s="18"/>
      <c r="R46" s="18"/>
      <c r="S46" s="18"/>
      <c r="T46" s="18"/>
      <c r="U46" s="19"/>
      <c r="V46" s="17"/>
      <c r="W46" s="17"/>
      <c r="X46" s="17"/>
      <c r="Y46" s="17"/>
      <c r="Z46" s="17"/>
      <c r="AA46" s="17"/>
      <c r="AB46" s="17"/>
      <c r="AC46" s="17"/>
      <c r="AD46" s="17"/>
      <c r="AE46" s="17"/>
      <c r="AF46" s="17"/>
      <c r="AG46" s="17"/>
      <c r="AH46" s="691"/>
      <c r="AI46" s="727"/>
      <c r="AJ46" s="728"/>
      <c r="AK46" s="598"/>
      <c r="AL46" s="598"/>
      <c r="AM46" s="598"/>
      <c r="AN46" s="598"/>
      <c r="AO46" s="598"/>
      <c r="AP46" s="598"/>
      <c r="AQ46" s="598"/>
      <c r="AR46" s="598"/>
      <c r="AS46" s="598"/>
      <c r="AT46" s="598"/>
      <c r="AU46" s="598"/>
      <c r="AV46" s="598"/>
      <c r="AW46" s="598"/>
      <c r="AX46" s="598"/>
      <c r="AY46" s="598"/>
      <c r="AZ46" s="598"/>
      <c r="BA46" s="598"/>
      <c r="BB46" s="598"/>
      <c r="BC46" s="598"/>
      <c r="BD46" s="598"/>
      <c r="BE46" s="598"/>
      <c r="BF46" s="598"/>
      <c r="BG46" s="598"/>
      <c r="BH46" s="598"/>
      <c r="BI46" s="598"/>
      <c r="BJ46" s="598"/>
      <c r="BK46" s="598"/>
      <c r="BL46" s="598"/>
    </row>
    <row r="47" spans="2:66" s="509" customFormat="1" x14ac:dyDescent="0.2">
      <c r="B47" s="525" t="s">
        <v>617</v>
      </c>
      <c r="C47" s="725"/>
      <c r="D47" s="510"/>
      <c r="E47" s="510"/>
      <c r="F47" s="668">
        <v>3</v>
      </c>
      <c r="G47" s="546">
        <f>+[40]summary!$H$67</f>
        <v>-52440099.997653</v>
      </c>
      <c r="H47" s="546">
        <f>+[41]summary!$M$68</f>
        <v>-18499278.953769997</v>
      </c>
      <c r="I47" s="684">
        <f>+[42]summary!$R$67</f>
        <v>537410.36356998235</v>
      </c>
      <c r="J47" s="684">
        <f>+[43]summary!$W$67</f>
        <v>-23974845.376640022</v>
      </c>
      <c r="K47" s="684">
        <f>+[44]summary!$AB$67</f>
        <v>-39272434.960170001</v>
      </c>
      <c r="L47" s="684">
        <f>+[45]summary!$AG$67</f>
        <v>32418642.456500009</v>
      </c>
      <c r="M47" s="684">
        <f>+[46]summary!$AL$67</f>
        <v>-8875713.0291699618</v>
      </c>
      <c r="N47" s="684">
        <f>+[47]summary!$AQ$67</f>
        <v>-36949546.152860001</v>
      </c>
      <c r="O47" s="684">
        <f>+[48]summary!$AV$67</f>
        <v>-18096631.773589998</v>
      </c>
      <c r="P47" s="684">
        <f>+[49]summary!$BA$67</f>
        <v>-17747258.769499987</v>
      </c>
      <c r="Q47" s="684">
        <f>+[50]summary!$BF$67</f>
        <v>25860728.776310012</v>
      </c>
      <c r="R47" s="684">
        <f>+[40]summary!$BK$67</f>
        <v>-16055785.20701997</v>
      </c>
      <c r="S47" s="684">
        <f>+[51]summary!$BP$67</f>
        <v>29488304.623150021</v>
      </c>
      <c r="T47" s="684">
        <f>SUM(H47:S47)</f>
        <v>-91166408.003189906</v>
      </c>
      <c r="U47" s="14">
        <f>+[48]summary!$BZ$67</f>
        <v>-1669085.7470803251</v>
      </c>
      <c r="V47" s="546">
        <v>12935069</v>
      </c>
      <c r="W47" s="546">
        <f>+[42]summary!$CJ$67</f>
        <v>6028814.930979982</v>
      </c>
      <c r="X47" s="546">
        <f>+[43]summary!$CO$67</f>
        <v>-64456252.997280002</v>
      </c>
      <c r="Y47" s="546">
        <f>+[44]summary!$CT$67</f>
        <v>71916201.470700011</v>
      </c>
      <c r="Z47" s="546">
        <f>+[45]summary!$CY$67</f>
        <v>-5938593.6452499926</v>
      </c>
      <c r="AA47" s="546">
        <f>+[46]summary!$DD$67</f>
        <v>-87185842.274320006</v>
      </c>
      <c r="AB47" s="546">
        <f>+[53]summary!$DI$67</f>
        <v>4292248.2650700212</v>
      </c>
      <c r="AC47" s="546">
        <f>+[52]summary!$DN$67</f>
        <v>-21698105.034100011</v>
      </c>
      <c r="AD47" s="546">
        <f>+[49]summary!$DS$67</f>
        <v>-5176181.425060004</v>
      </c>
      <c r="AE47" s="546">
        <f>+[50]summary!$DX$67</f>
        <v>31144738.333759978</v>
      </c>
      <c r="AF47" s="546">
        <f>+[40]summary!$EC$67</f>
        <v>-28811986.091639996</v>
      </c>
      <c r="AG47" s="546">
        <f>+[51]summary!$EH$67</f>
        <v>85280804.057520032</v>
      </c>
      <c r="AH47" s="693">
        <f>SUM(V47:AG47)</f>
        <v>-1669085.409619987</v>
      </c>
      <c r="AI47" s="727"/>
      <c r="AJ47" s="728"/>
      <c r="AK47" s="541"/>
      <c r="AL47" s="541"/>
      <c r="AM47" s="541"/>
      <c r="AN47" s="541"/>
      <c r="AO47" s="541"/>
      <c r="AP47" s="541"/>
      <c r="AQ47" s="541"/>
      <c r="AR47" s="541"/>
      <c r="AS47" s="541"/>
      <c r="AT47" s="541"/>
      <c r="AU47" s="541"/>
      <c r="AV47" s="541"/>
      <c r="AW47" s="541"/>
      <c r="AX47" s="598"/>
      <c r="AY47" s="598"/>
      <c r="AZ47" s="598"/>
      <c r="BA47" s="598"/>
      <c r="BB47" s="598"/>
      <c r="BC47" s="598"/>
      <c r="BD47" s="598"/>
      <c r="BE47" s="598"/>
      <c r="BF47" s="598"/>
      <c r="BG47" s="598"/>
      <c r="BH47" s="598"/>
      <c r="BI47" s="598"/>
      <c r="BJ47" s="598"/>
      <c r="BK47" s="598"/>
      <c r="BL47" s="598"/>
    </row>
    <row r="48" spans="2:66" s="509" customFormat="1" x14ac:dyDescent="0.2">
      <c r="B48" s="525"/>
      <c r="C48" s="725"/>
      <c r="D48" s="510"/>
      <c r="E48" s="510"/>
      <c r="F48" s="668"/>
      <c r="G48" s="35"/>
      <c r="H48" s="35"/>
      <c r="I48" s="36"/>
      <c r="J48" s="36"/>
      <c r="K48" s="36"/>
      <c r="L48" s="36"/>
      <c r="M48" s="36"/>
      <c r="N48" s="36"/>
      <c r="O48" s="36"/>
      <c r="P48" s="36"/>
      <c r="Q48" s="36"/>
      <c r="R48" s="36"/>
      <c r="S48" s="36"/>
      <c r="T48" s="36"/>
      <c r="U48" s="37"/>
      <c r="V48" s="35"/>
      <c r="W48" s="35"/>
      <c r="X48" s="35"/>
      <c r="Y48" s="35"/>
      <c r="Z48" s="35"/>
      <c r="AA48" s="35"/>
      <c r="AB48" s="35"/>
      <c r="AC48" s="35"/>
      <c r="AD48" s="35"/>
      <c r="AE48" s="35"/>
      <c r="AF48" s="35"/>
      <c r="AG48" s="35"/>
      <c r="AH48" s="729"/>
      <c r="AI48" s="727"/>
      <c r="AJ48" s="728"/>
      <c r="AK48" s="598"/>
      <c r="AL48" s="598"/>
      <c r="AM48" s="598"/>
      <c r="AN48" s="598"/>
      <c r="AO48" s="598"/>
      <c r="AP48" s="598"/>
      <c r="AQ48" s="598"/>
      <c r="AR48" s="598"/>
      <c r="AS48" s="598"/>
      <c r="AT48" s="598"/>
      <c r="AU48" s="598"/>
      <c r="AV48" s="598"/>
      <c r="AW48" s="598"/>
      <c r="AX48" s="598"/>
      <c r="AY48" s="598"/>
      <c r="AZ48" s="598"/>
      <c r="BA48" s="598"/>
      <c r="BB48" s="598"/>
      <c r="BC48" s="598"/>
      <c r="BD48" s="598"/>
      <c r="BE48" s="598"/>
      <c r="BF48" s="598"/>
      <c r="BG48" s="598"/>
      <c r="BH48" s="598"/>
      <c r="BI48" s="598"/>
      <c r="BJ48" s="598"/>
      <c r="BK48" s="598"/>
      <c r="BL48" s="598"/>
    </row>
    <row r="49" spans="2:64" s="509" customFormat="1" x14ac:dyDescent="0.2">
      <c r="B49" s="525" t="s">
        <v>618</v>
      </c>
      <c r="C49" s="526"/>
      <c r="D49" s="526"/>
      <c r="E49" s="526"/>
      <c r="F49" s="542"/>
      <c r="G49" s="730">
        <f>+G41+G43+G45+G47</f>
        <v>603388420.00234699</v>
      </c>
      <c r="H49" s="730">
        <f t="shared" ref="H49:S49" si="9">+H41+H43+H45+H47</f>
        <v>51156457.046230003</v>
      </c>
      <c r="I49" s="730">
        <f t="shared" si="9"/>
        <v>52369080.107569978</v>
      </c>
      <c r="J49" s="730">
        <f>+J41+J43+J45+J47</f>
        <v>22296182.623359978</v>
      </c>
      <c r="K49" s="730">
        <f t="shared" si="9"/>
        <v>134529648.03983</v>
      </c>
      <c r="L49" s="730">
        <f>+L41+L43+L45+L47</f>
        <v>63673793.456500009</v>
      </c>
      <c r="M49" s="730">
        <f>+M41+M43+M45+M47</f>
        <v>42866801.970830038</v>
      </c>
      <c r="N49" s="730">
        <f t="shared" si="9"/>
        <v>49729127.847139999</v>
      </c>
      <c r="O49" s="730">
        <f t="shared" si="9"/>
        <v>21403285.226410002</v>
      </c>
      <c r="P49" s="712">
        <f t="shared" si="9"/>
        <v>-5051318.7694999874</v>
      </c>
      <c r="Q49" s="730">
        <f t="shared" si="9"/>
        <v>76235278.776310012</v>
      </c>
      <c r="R49" s="730">
        <f t="shared" si="9"/>
        <v>12830619.79298003</v>
      </c>
      <c r="S49" s="730">
        <f t="shared" si="9"/>
        <v>29818752.623150021</v>
      </c>
      <c r="T49" s="731">
        <f>+T41+T43+T45+T47</f>
        <v>551857708.74081004</v>
      </c>
      <c r="U49" s="732">
        <f>+U41+U43+U45+U47</f>
        <v>345253040.25291967</v>
      </c>
      <c r="V49" s="730">
        <f>+V41+V43+V45+V47</f>
        <v>63530125</v>
      </c>
      <c r="W49" s="730">
        <f t="shared" ref="W49:AF49" si="10">+W41+W43+W45+W47</f>
        <v>17540392.930979982</v>
      </c>
      <c r="X49" s="730">
        <f t="shared" si="10"/>
        <v>-23606007.997280002</v>
      </c>
      <c r="Y49" s="730">
        <f t="shared" si="10"/>
        <v>99103979.470700011</v>
      </c>
      <c r="Z49" s="730">
        <f t="shared" si="10"/>
        <v>32839807.354750007</v>
      </c>
      <c r="AA49" s="730">
        <f t="shared" si="10"/>
        <v>649646.72567999363</v>
      </c>
      <c r="AB49" s="730">
        <f t="shared" si="10"/>
        <v>42343200.265070021</v>
      </c>
      <c r="AC49" s="730">
        <f t="shared" si="10"/>
        <v>15141181.965899989</v>
      </c>
      <c r="AD49" s="730">
        <f t="shared" si="10"/>
        <v>2169109.574939996</v>
      </c>
      <c r="AE49" s="730">
        <f t="shared" si="10"/>
        <v>47546404.333759978</v>
      </c>
      <c r="AF49" s="730">
        <f t="shared" si="10"/>
        <v>-2152970.0916399956</v>
      </c>
      <c r="AG49" s="730">
        <f>+AG41+AG43+AG45+AG47</f>
        <v>50148171.057520032</v>
      </c>
      <c r="AH49" s="733">
        <f>+AH41+AH43+AH45+AH47</f>
        <v>345253040.59038001</v>
      </c>
      <c r="AI49" s="727"/>
      <c r="AJ49" s="734"/>
      <c r="AK49" s="598"/>
      <c r="AL49" s="598"/>
      <c r="AM49" s="598"/>
      <c r="AN49" s="598"/>
      <c r="AO49" s="598"/>
      <c r="AP49" s="598"/>
      <c r="AQ49" s="598"/>
      <c r="AR49" s="598"/>
      <c r="AS49" s="598"/>
      <c r="AT49" s="598"/>
      <c r="AU49" s="598"/>
      <c r="AV49" s="598"/>
      <c r="AW49" s="598"/>
      <c r="AX49" s="598"/>
      <c r="AY49" s="598"/>
      <c r="AZ49" s="598"/>
      <c r="BA49" s="598"/>
      <c r="BB49" s="598"/>
      <c r="BC49" s="598"/>
      <c r="BD49" s="598"/>
      <c r="BE49" s="598"/>
      <c r="BF49" s="598"/>
      <c r="BG49" s="598"/>
      <c r="BH49" s="598"/>
      <c r="BI49" s="598"/>
      <c r="BJ49" s="598"/>
      <c r="BK49" s="598"/>
      <c r="BL49" s="598"/>
    </row>
    <row r="50" spans="2:64" s="509" customFormat="1" x14ac:dyDescent="0.2">
      <c r="B50" s="571"/>
      <c r="C50" s="572"/>
      <c r="D50" s="572"/>
      <c r="E50" s="572"/>
      <c r="F50" s="735"/>
      <c r="G50" s="574"/>
      <c r="H50" s="574"/>
      <c r="I50" s="736"/>
      <c r="J50" s="736"/>
      <c r="K50" s="736"/>
      <c r="L50" s="736"/>
      <c r="M50" s="736"/>
      <c r="N50" s="736"/>
      <c r="O50" s="736"/>
      <c r="P50" s="736"/>
      <c r="Q50" s="736"/>
      <c r="R50" s="736"/>
      <c r="S50" s="736"/>
      <c r="T50" s="736"/>
      <c r="U50" s="40"/>
      <c r="V50" s="574"/>
      <c r="W50" s="574"/>
      <c r="X50" s="574"/>
      <c r="Y50" s="574"/>
      <c r="Z50" s="574"/>
      <c r="AA50" s="574"/>
      <c r="AB50" s="574"/>
      <c r="AC50" s="574"/>
      <c r="AD50" s="574"/>
      <c r="AE50" s="574"/>
      <c r="AF50" s="574"/>
      <c r="AG50" s="574"/>
      <c r="AH50" s="41"/>
      <c r="AI50" s="548"/>
      <c r="AJ50" s="598"/>
      <c r="AK50" s="598"/>
      <c r="AL50" s="598"/>
      <c r="AM50" s="598"/>
      <c r="AN50" s="598"/>
      <c r="AO50" s="598"/>
      <c r="AP50" s="598"/>
      <c r="AQ50" s="598"/>
      <c r="AR50" s="598"/>
      <c r="AS50" s="598"/>
      <c r="AT50" s="598"/>
      <c r="AU50" s="598"/>
      <c r="AV50" s="598"/>
      <c r="AW50" s="598"/>
      <c r="AX50" s="598"/>
      <c r="AY50" s="598"/>
      <c r="AZ50" s="598"/>
      <c r="BA50" s="598"/>
      <c r="BB50" s="598"/>
      <c r="BC50" s="598"/>
      <c r="BD50" s="598"/>
      <c r="BE50" s="598"/>
      <c r="BF50" s="598"/>
      <c r="BG50" s="598"/>
      <c r="BH50" s="598"/>
      <c r="BI50" s="598"/>
      <c r="BJ50" s="598"/>
      <c r="BK50" s="598"/>
      <c r="BL50" s="598"/>
    </row>
    <row r="51" spans="2:64" s="509" customFormat="1" ht="13.5" x14ac:dyDescent="0.25">
      <c r="B51" s="737" t="s">
        <v>31</v>
      </c>
      <c r="C51" s="510"/>
      <c r="D51" s="510"/>
      <c r="E51" s="510"/>
      <c r="F51" s="738"/>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514"/>
      <c r="AJ51" s="598"/>
      <c r="AK51" s="598"/>
      <c r="AL51" s="598"/>
      <c r="AM51" s="598"/>
      <c r="AN51" s="598"/>
      <c r="AO51" s="598"/>
      <c r="AP51" s="598"/>
      <c r="AQ51" s="598"/>
      <c r="AR51" s="598"/>
      <c r="AS51" s="598"/>
      <c r="AT51" s="598"/>
      <c r="AU51" s="598"/>
      <c r="AV51" s="598"/>
      <c r="AW51" s="598"/>
      <c r="AX51" s="598"/>
      <c r="AY51" s="598"/>
      <c r="AZ51" s="598"/>
      <c r="BA51" s="598"/>
      <c r="BB51" s="598"/>
      <c r="BC51" s="598"/>
      <c r="BD51" s="598"/>
      <c r="BE51" s="598"/>
      <c r="BF51" s="598"/>
      <c r="BG51" s="598"/>
      <c r="BH51" s="598"/>
      <c r="BI51" s="598"/>
      <c r="BJ51" s="598"/>
      <c r="BK51" s="598"/>
      <c r="BL51" s="598"/>
    </row>
    <row r="52" spans="2:64" s="737" customFormat="1" ht="13.5" hidden="1" x14ac:dyDescent="0.25">
      <c r="B52" s="737" t="s">
        <v>619</v>
      </c>
    </row>
    <row r="54" spans="2:64" ht="13.5" hidden="1" x14ac:dyDescent="0.25">
      <c r="G54" s="43">
        <f t="shared" ref="G54:AH54" si="11">+G36+G49</f>
        <v>0</v>
      </c>
      <c r="H54" s="43">
        <f t="shared" si="11"/>
        <v>0</v>
      </c>
      <c r="I54" s="43">
        <f t="shared" si="11"/>
        <v>0</v>
      </c>
      <c r="J54" s="43">
        <f t="shared" si="11"/>
        <v>0</v>
      </c>
      <c r="K54" s="43">
        <f t="shared" si="11"/>
        <v>0</v>
      </c>
      <c r="L54" s="43">
        <f t="shared" si="11"/>
        <v>0</v>
      </c>
      <c r="M54" s="43">
        <f t="shared" si="11"/>
        <v>0</v>
      </c>
      <c r="N54" s="43">
        <f t="shared" si="11"/>
        <v>0</v>
      </c>
      <c r="O54" s="43">
        <f t="shared" si="11"/>
        <v>0</v>
      </c>
      <c r="P54" s="43">
        <f t="shared" si="11"/>
        <v>0</v>
      </c>
      <c r="Q54" s="43">
        <f t="shared" si="11"/>
        <v>0</v>
      </c>
      <c r="R54" s="43">
        <f>+R36+R49</f>
        <v>0</v>
      </c>
      <c r="S54" s="43">
        <f t="shared" si="11"/>
        <v>0</v>
      </c>
      <c r="T54" s="43">
        <f t="shared" si="11"/>
        <v>0</v>
      </c>
      <c r="U54" s="43">
        <f t="shared" si="11"/>
        <v>1</v>
      </c>
      <c r="V54" s="43">
        <f t="shared" si="11"/>
        <v>8.5730031132698059E-2</v>
      </c>
      <c r="W54" s="43">
        <f t="shared" si="11"/>
        <v>0</v>
      </c>
      <c r="X54" s="43">
        <f t="shared" si="11"/>
        <v>0</v>
      </c>
      <c r="Y54" s="43">
        <f t="shared" si="11"/>
        <v>0</v>
      </c>
      <c r="Z54" s="43">
        <f t="shared" si="11"/>
        <v>0</v>
      </c>
      <c r="AA54" s="43">
        <f t="shared" si="11"/>
        <v>0</v>
      </c>
      <c r="AB54" s="43">
        <f t="shared" si="11"/>
        <v>0</v>
      </c>
      <c r="AC54" s="43">
        <f t="shared" si="11"/>
        <v>0</v>
      </c>
      <c r="AD54" s="43">
        <f t="shared" si="11"/>
        <v>0</v>
      </c>
      <c r="AE54" s="43">
        <f t="shared" si="11"/>
        <v>0</v>
      </c>
      <c r="AF54" s="43">
        <f t="shared" si="11"/>
        <v>0</v>
      </c>
      <c r="AG54" s="43">
        <f t="shared" si="11"/>
        <v>0.80000001192092896</v>
      </c>
      <c r="AH54" s="43">
        <f t="shared" si="11"/>
        <v>0.88572984933853149</v>
      </c>
      <c r="AI54" s="739"/>
      <c r="AJ54" s="739"/>
      <c r="AK54" s="739"/>
      <c r="AL54" s="739"/>
      <c r="AM54" s="739"/>
      <c r="AN54" s="739"/>
      <c r="AO54" s="739"/>
      <c r="AP54" s="739"/>
      <c r="AQ54" s="739"/>
      <c r="AR54" s="739"/>
      <c r="AS54" s="739"/>
      <c r="AT54" s="739"/>
      <c r="AU54" s="739"/>
      <c r="AV54" s="739"/>
      <c r="AW54" s="739"/>
      <c r="AX54" s="739"/>
      <c r="AY54" s="739"/>
      <c r="AZ54" s="739"/>
      <c r="BA54" s="739"/>
      <c r="BB54" s="739"/>
      <c r="BC54" s="739"/>
      <c r="BD54" s="739"/>
      <c r="BE54" s="739"/>
      <c r="BF54" s="739"/>
      <c r="BG54" s="739"/>
      <c r="BH54" s="739"/>
      <c r="BI54" s="739"/>
      <c r="BJ54" s="739"/>
      <c r="BK54" s="739"/>
      <c r="BL54" s="739"/>
    </row>
    <row r="55" spans="2:64" hidden="1" x14ac:dyDescent="0.25">
      <c r="G55" s="44"/>
      <c r="H55" s="44"/>
      <c r="I55" s="44"/>
      <c r="J55" s="44"/>
      <c r="K55" s="44"/>
      <c r="L55" s="44"/>
      <c r="M55" s="44"/>
      <c r="N55" s="44"/>
      <c r="O55" s="44"/>
      <c r="P55" s="44"/>
      <c r="Q55" s="44"/>
      <c r="R55" s="44"/>
      <c r="S55" s="44"/>
      <c r="T55" s="44"/>
      <c r="U55" s="45"/>
      <c r="V55" s="45"/>
      <c r="W55" s="45"/>
      <c r="X55" s="44"/>
      <c r="Y55" s="44"/>
      <c r="Z55" s="44"/>
      <c r="AA55" s="44"/>
      <c r="AB55" s="44"/>
      <c r="AC55" s="44"/>
      <c r="AD55" s="44"/>
      <c r="AE55" s="44"/>
      <c r="AF55" s="44"/>
      <c r="AG55" s="44"/>
      <c r="AH55" s="739"/>
      <c r="AI55" s="739"/>
      <c r="AJ55" s="739"/>
      <c r="AK55" s="739"/>
      <c r="AL55" s="739"/>
      <c r="AM55" s="739"/>
      <c r="AN55" s="739"/>
      <c r="AO55" s="739"/>
      <c r="AP55" s="739"/>
      <c r="AQ55" s="739"/>
      <c r="AR55" s="739"/>
      <c r="AS55" s="739"/>
      <c r="AT55" s="739"/>
      <c r="AU55" s="739"/>
      <c r="AV55" s="739"/>
      <c r="AW55" s="739"/>
      <c r="AX55" s="739"/>
      <c r="AY55" s="739"/>
      <c r="AZ55" s="739"/>
      <c r="BA55" s="739"/>
      <c r="BB55" s="739"/>
      <c r="BC55" s="739"/>
      <c r="BD55" s="739"/>
      <c r="BE55" s="739"/>
      <c r="BF55" s="739"/>
      <c r="BG55" s="739"/>
      <c r="BH55" s="739"/>
      <c r="BI55" s="739"/>
      <c r="BJ55" s="739"/>
      <c r="BK55" s="739"/>
      <c r="BL55" s="739"/>
    </row>
    <row r="56" spans="2:64" hidden="1" x14ac:dyDescent="0.25">
      <c r="C56" s="666" t="s">
        <v>620</v>
      </c>
      <c r="F56" s="666" t="s">
        <v>621</v>
      </c>
      <c r="G56" s="44"/>
      <c r="H56" s="44"/>
      <c r="I56" s="44"/>
      <c r="J56" s="44"/>
      <c r="K56" s="44"/>
      <c r="L56" s="44"/>
      <c r="M56" s="44"/>
      <c r="N56" s="44"/>
      <c r="O56" s="44"/>
      <c r="P56" s="44"/>
      <c r="Q56" s="44"/>
      <c r="R56" s="44"/>
      <c r="S56" s="44"/>
      <c r="T56" s="44"/>
      <c r="U56" s="45" t="s">
        <v>622</v>
      </c>
      <c r="V56" s="45"/>
      <c r="W56" s="45"/>
      <c r="X56" s="44"/>
      <c r="Y56" s="44"/>
      <c r="Z56" s="44"/>
      <c r="AA56" s="44"/>
      <c r="AB56" s="44"/>
      <c r="AC56" s="44"/>
      <c r="AD56" s="44"/>
      <c r="AE56" s="44"/>
      <c r="AF56" s="44"/>
      <c r="AG56" s="44"/>
      <c r="AH56" s="739"/>
      <c r="AI56" s="739"/>
      <c r="AJ56" s="739"/>
      <c r="AK56" s="739"/>
      <c r="AL56" s="739"/>
      <c r="AM56" s="739"/>
      <c r="AN56" s="739"/>
      <c r="AO56" s="739"/>
      <c r="AP56" s="739"/>
      <c r="AQ56" s="739"/>
      <c r="AR56" s="739"/>
      <c r="AS56" s="739"/>
      <c r="AT56" s="739"/>
      <c r="AU56" s="739"/>
      <c r="AV56" s="739"/>
      <c r="AW56" s="739"/>
      <c r="AX56" s="739"/>
      <c r="AY56" s="739"/>
      <c r="AZ56" s="739"/>
      <c r="BA56" s="739"/>
      <c r="BB56" s="739"/>
      <c r="BC56" s="739"/>
      <c r="BD56" s="739"/>
      <c r="BE56" s="739"/>
      <c r="BF56" s="739"/>
      <c r="BG56" s="739"/>
      <c r="BH56" s="739"/>
      <c r="BI56" s="739"/>
      <c r="BJ56" s="739"/>
      <c r="BK56" s="739"/>
      <c r="BL56" s="739"/>
    </row>
    <row r="57" spans="2:64" hidden="1" x14ac:dyDescent="0.25">
      <c r="G57" s="44"/>
      <c r="H57" s="44"/>
      <c r="I57" s="44"/>
      <c r="J57" s="44"/>
      <c r="K57" s="44"/>
      <c r="L57" s="44"/>
      <c r="M57" s="44"/>
      <c r="N57" s="44"/>
      <c r="O57" s="44"/>
      <c r="P57" s="44"/>
      <c r="Q57" s="44"/>
      <c r="R57" s="44"/>
      <c r="S57" s="44"/>
      <c r="T57" s="44"/>
      <c r="U57" s="46"/>
      <c r="V57" s="46"/>
      <c r="W57" s="46"/>
      <c r="X57" s="44"/>
      <c r="Y57" s="44"/>
      <c r="Z57" s="44"/>
      <c r="AA57" s="44"/>
      <c r="AB57" s="44"/>
      <c r="AC57" s="44"/>
      <c r="AD57" s="44"/>
      <c r="AE57" s="44"/>
      <c r="AF57" s="44"/>
      <c r="AG57" s="44"/>
      <c r="AH57" s="739"/>
      <c r="AI57" s="739"/>
      <c r="AJ57" s="739"/>
      <c r="AK57" s="739"/>
      <c r="AL57" s="739"/>
      <c r="AM57" s="739"/>
      <c r="AN57" s="739"/>
      <c r="AO57" s="739"/>
      <c r="AP57" s="739"/>
      <c r="AQ57" s="739"/>
      <c r="AR57" s="739"/>
      <c r="AS57" s="739"/>
      <c r="AT57" s="739"/>
      <c r="AU57" s="739"/>
      <c r="AV57" s="739"/>
      <c r="AW57" s="739"/>
      <c r="AX57" s="739"/>
      <c r="AY57" s="739"/>
      <c r="AZ57" s="739"/>
      <c r="BA57" s="739"/>
      <c r="BB57" s="739"/>
      <c r="BC57" s="739"/>
      <c r="BD57" s="739"/>
      <c r="BE57" s="739"/>
      <c r="BF57" s="739"/>
      <c r="BG57" s="739"/>
      <c r="BH57" s="739"/>
      <c r="BI57" s="739"/>
      <c r="BJ57" s="739"/>
      <c r="BK57" s="739"/>
      <c r="BL57" s="739"/>
    </row>
    <row r="58" spans="2:64" hidden="1" x14ac:dyDescent="0.25">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739"/>
      <c r="AI58" s="739"/>
      <c r="AJ58" s="739"/>
      <c r="AK58" s="739"/>
      <c r="AL58" s="739"/>
      <c r="AM58" s="739"/>
      <c r="AN58" s="739"/>
      <c r="AO58" s="739"/>
      <c r="AP58" s="739"/>
      <c r="AQ58" s="739"/>
      <c r="AR58" s="739"/>
      <c r="AS58" s="739"/>
      <c r="AT58" s="739"/>
      <c r="AU58" s="739"/>
      <c r="AV58" s="739"/>
      <c r="AW58" s="739"/>
      <c r="AX58" s="739"/>
      <c r="AY58" s="739"/>
      <c r="AZ58" s="739"/>
      <c r="BA58" s="739"/>
      <c r="BB58" s="739"/>
      <c r="BC58" s="739"/>
      <c r="BD58" s="739"/>
      <c r="BE58" s="739"/>
      <c r="BF58" s="739"/>
      <c r="BG58" s="739"/>
      <c r="BH58" s="739"/>
      <c r="BI58" s="739"/>
      <c r="BJ58" s="739"/>
      <c r="BK58" s="739"/>
      <c r="BL58" s="739"/>
    </row>
    <row r="59" spans="2:64" hidden="1" x14ac:dyDescent="0.25">
      <c r="C59" s="666" t="s">
        <v>623</v>
      </c>
      <c r="F59" s="666" t="s">
        <v>623</v>
      </c>
      <c r="G59" s="44"/>
      <c r="H59" s="44"/>
      <c r="I59" s="44"/>
      <c r="J59" s="44"/>
      <c r="K59" s="44"/>
      <c r="L59" s="44"/>
      <c r="M59" s="44"/>
      <c r="N59" s="44"/>
      <c r="O59" s="44"/>
      <c r="P59" s="44"/>
      <c r="Q59" s="44"/>
      <c r="R59" s="44"/>
      <c r="S59" s="44"/>
      <c r="T59" s="44"/>
      <c r="U59" s="741" t="s">
        <v>623</v>
      </c>
      <c r="V59" s="741"/>
      <c r="W59" s="741"/>
      <c r="X59" s="44"/>
      <c r="Y59" s="44"/>
      <c r="Z59" s="44"/>
      <c r="AA59" s="44"/>
      <c r="AB59" s="44"/>
      <c r="AC59" s="44"/>
      <c r="AD59" s="44"/>
      <c r="AE59" s="44"/>
      <c r="AF59" s="44"/>
      <c r="AG59" s="44"/>
      <c r="AH59" s="739"/>
      <c r="AI59" s="739"/>
      <c r="AJ59" s="739"/>
      <c r="AK59" s="739"/>
      <c r="AL59" s="739"/>
      <c r="AM59" s="739"/>
      <c r="AN59" s="739"/>
      <c r="AO59" s="739"/>
      <c r="AP59" s="739"/>
      <c r="AQ59" s="739"/>
      <c r="AR59" s="739"/>
      <c r="AS59" s="739"/>
      <c r="AT59" s="739"/>
      <c r="AU59" s="739"/>
      <c r="AV59" s="739"/>
      <c r="AW59" s="739"/>
      <c r="AX59" s="739"/>
      <c r="AY59" s="739"/>
      <c r="AZ59" s="739"/>
      <c r="BA59" s="739"/>
      <c r="BB59" s="739"/>
      <c r="BC59" s="739"/>
      <c r="BD59" s="739"/>
      <c r="BE59" s="739"/>
      <c r="BF59" s="739"/>
      <c r="BG59" s="739"/>
      <c r="BH59" s="739"/>
      <c r="BI59" s="739"/>
      <c r="BJ59" s="739"/>
      <c r="BK59" s="739"/>
      <c r="BL59" s="739"/>
    </row>
    <row r="60" spans="2:64" hidden="1" x14ac:dyDescent="0.25">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739"/>
      <c r="AI60" s="739"/>
      <c r="AJ60" s="739"/>
      <c r="AK60" s="739"/>
      <c r="AL60" s="739"/>
      <c r="AM60" s="739"/>
      <c r="AN60" s="739"/>
      <c r="AO60" s="739"/>
      <c r="AP60" s="739"/>
      <c r="AQ60" s="739"/>
      <c r="AR60" s="739"/>
      <c r="AS60" s="739"/>
      <c r="AT60" s="739"/>
      <c r="AU60" s="739"/>
      <c r="AV60" s="739"/>
      <c r="AW60" s="739"/>
      <c r="AX60" s="739"/>
      <c r="AY60" s="739"/>
      <c r="AZ60" s="739"/>
      <c r="BA60" s="739"/>
      <c r="BB60" s="739"/>
      <c r="BC60" s="739"/>
      <c r="BD60" s="739"/>
      <c r="BE60" s="739"/>
      <c r="BF60" s="739"/>
      <c r="BG60" s="739"/>
      <c r="BH60" s="739"/>
      <c r="BI60" s="739"/>
      <c r="BJ60" s="739"/>
      <c r="BK60" s="739"/>
      <c r="BL60" s="739"/>
    </row>
    <row r="61" spans="2:64" hidden="1" x14ac:dyDescent="0.25">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739"/>
      <c r="AI61" s="739"/>
      <c r="AJ61" s="739"/>
      <c r="AK61" s="739"/>
      <c r="AL61" s="739"/>
      <c r="AM61" s="739"/>
      <c r="AN61" s="739"/>
      <c r="AO61" s="739"/>
      <c r="AP61" s="739"/>
      <c r="AQ61" s="739"/>
      <c r="AR61" s="739"/>
      <c r="AS61" s="739"/>
      <c r="AT61" s="739"/>
      <c r="AU61" s="739"/>
      <c r="AV61" s="739"/>
      <c r="AW61" s="739"/>
      <c r="AX61" s="739"/>
      <c r="AY61" s="739"/>
      <c r="AZ61" s="739"/>
      <c r="BA61" s="739"/>
      <c r="BB61" s="739"/>
      <c r="BC61" s="739"/>
      <c r="BD61" s="739"/>
      <c r="BE61" s="739"/>
      <c r="BF61" s="739"/>
      <c r="BG61" s="739"/>
      <c r="BH61" s="739"/>
      <c r="BI61" s="739"/>
      <c r="BJ61" s="739"/>
      <c r="BK61" s="739"/>
      <c r="BL61" s="739"/>
    </row>
    <row r="62" spans="2:64" hidden="1" x14ac:dyDescent="0.25">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739"/>
      <c r="AI62" s="739"/>
      <c r="AJ62" s="739"/>
      <c r="AK62" s="739"/>
      <c r="AL62" s="739"/>
      <c r="AM62" s="739"/>
      <c r="AN62" s="739"/>
      <c r="AO62" s="739"/>
      <c r="AP62" s="739"/>
      <c r="AQ62" s="739"/>
      <c r="AR62" s="739"/>
      <c r="AS62" s="739"/>
      <c r="AT62" s="739"/>
      <c r="AU62" s="739"/>
      <c r="AV62" s="739"/>
      <c r="AW62" s="739"/>
      <c r="AX62" s="739"/>
      <c r="AY62" s="739"/>
      <c r="AZ62" s="739"/>
      <c r="BA62" s="739"/>
      <c r="BB62" s="739"/>
      <c r="BC62" s="739"/>
      <c r="BD62" s="739"/>
      <c r="BE62" s="739"/>
      <c r="BF62" s="739"/>
      <c r="BG62" s="739"/>
      <c r="BH62" s="739"/>
      <c r="BI62" s="739"/>
      <c r="BJ62" s="739"/>
      <c r="BK62" s="739"/>
      <c r="BL62" s="739"/>
    </row>
    <row r="63" spans="2:64" x14ac:dyDescent="0.25">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739"/>
      <c r="AI63" s="739"/>
      <c r="AJ63" s="739"/>
      <c r="AK63" s="739"/>
      <c r="AL63" s="739"/>
      <c r="AM63" s="739"/>
      <c r="AN63" s="739"/>
      <c r="AO63" s="739"/>
      <c r="AP63" s="739"/>
      <c r="AQ63" s="739"/>
      <c r="AR63" s="739"/>
      <c r="AS63" s="739"/>
      <c r="AT63" s="739"/>
      <c r="AU63" s="739"/>
      <c r="AV63" s="739"/>
      <c r="AW63" s="739"/>
      <c r="AX63" s="739"/>
      <c r="AY63" s="739"/>
      <c r="AZ63" s="739"/>
      <c r="BA63" s="739"/>
      <c r="BB63" s="739"/>
      <c r="BC63" s="739"/>
      <c r="BD63" s="739"/>
      <c r="BE63" s="739"/>
      <c r="BF63" s="739"/>
      <c r="BG63" s="739"/>
      <c r="BH63" s="739"/>
      <c r="BI63" s="739"/>
      <c r="BJ63" s="739"/>
      <c r="BK63" s="739"/>
      <c r="BL63" s="739"/>
    </row>
    <row r="64" spans="2:64" x14ac:dyDescent="0.25">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739"/>
      <c r="AI64" s="739"/>
      <c r="AJ64" s="739"/>
      <c r="AK64" s="739"/>
      <c r="AL64" s="739"/>
      <c r="AM64" s="739"/>
      <c r="AN64" s="739"/>
      <c r="AO64" s="739"/>
      <c r="AP64" s="739"/>
      <c r="AQ64" s="739"/>
      <c r="AR64" s="739"/>
      <c r="AS64" s="739"/>
      <c r="AT64" s="739"/>
      <c r="AU64" s="739"/>
      <c r="AV64" s="739"/>
      <c r="AW64" s="739"/>
      <c r="AX64" s="739"/>
      <c r="AY64" s="739"/>
      <c r="AZ64" s="739"/>
      <c r="BA64" s="739"/>
      <c r="BB64" s="739"/>
      <c r="BC64" s="739"/>
      <c r="BD64" s="739"/>
      <c r="BE64" s="739"/>
      <c r="BF64" s="739"/>
      <c r="BG64" s="739"/>
      <c r="BH64" s="739"/>
      <c r="BI64" s="739"/>
      <c r="BJ64" s="739"/>
      <c r="BK64" s="739"/>
      <c r="BL64" s="739"/>
    </row>
    <row r="65" spans="7:64" x14ac:dyDescent="0.25">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739"/>
      <c r="AI65" s="739"/>
      <c r="AJ65" s="739"/>
      <c r="AK65" s="739"/>
      <c r="AL65" s="739"/>
      <c r="AM65" s="739"/>
      <c r="AN65" s="739"/>
      <c r="AO65" s="739"/>
      <c r="AP65" s="739"/>
      <c r="AQ65" s="739"/>
      <c r="AR65" s="739"/>
      <c r="AS65" s="739"/>
      <c r="AT65" s="739"/>
      <c r="AU65" s="739"/>
      <c r="AV65" s="739"/>
      <c r="AW65" s="739"/>
      <c r="AX65" s="739"/>
      <c r="AY65" s="739"/>
      <c r="AZ65" s="739"/>
      <c r="BA65" s="739"/>
      <c r="BB65" s="739"/>
      <c r="BC65" s="739"/>
      <c r="BD65" s="739"/>
      <c r="BE65" s="739"/>
      <c r="BF65" s="739"/>
      <c r="BG65" s="739"/>
      <c r="BH65" s="739"/>
      <c r="BI65" s="739"/>
      <c r="BJ65" s="739"/>
      <c r="BK65" s="739"/>
      <c r="BL65" s="739"/>
    </row>
    <row r="66" spans="7:64" x14ac:dyDescent="0.25">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739"/>
      <c r="AI66" s="739"/>
      <c r="AJ66" s="739"/>
      <c r="AK66" s="739"/>
      <c r="AL66" s="739"/>
      <c r="AM66" s="739"/>
      <c r="AN66" s="739"/>
      <c r="AO66" s="739"/>
      <c r="AP66" s="739"/>
      <c r="AQ66" s="739"/>
      <c r="AR66" s="739"/>
      <c r="AS66" s="739"/>
      <c r="AT66" s="739"/>
      <c r="AU66" s="739"/>
      <c r="AV66" s="739"/>
      <c r="AW66" s="739"/>
      <c r="AX66" s="739"/>
      <c r="AY66" s="739"/>
      <c r="AZ66" s="739"/>
      <c r="BA66" s="739"/>
      <c r="BB66" s="739"/>
      <c r="BC66" s="739"/>
      <c r="BD66" s="739"/>
      <c r="BE66" s="739"/>
      <c r="BF66" s="739"/>
      <c r="BG66" s="739"/>
      <c r="BH66" s="739"/>
      <c r="BI66" s="739"/>
      <c r="BJ66" s="739"/>
      <c r="BK66" s="739"/>
      <c r="BL66" s="739"/>
    </row>
    <row r="67" spans="7:64" x14ac:dyDescent="0.25">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739"/>
      <c r="AI67" s="739"/>
      <c r="AJ67" s="739"/>
      <c r="AK67" s="739"/>
      <c r="AL67" s="739"/>
      <c r="AM67" s="739"/>
      <c r="AN67" s="739"/>
      <c r="AO67" s="739"/>
      <c r="AP67" s="739"/>
      <c r="AQ67" s="739"/>
      <c r="AR67" s="739"/>
      <c r="AS67" s="739"/>
      <c r="AT67" s="739"/>
      <c r="AU67" s="739"/>
      <c r="AV67" s="739"/>
      <c r="AW67" s="739"/>
      <c r="AX67" s="739"/>
      <c r="AY67" s="739"/>
      <c r="AZ67" s="739"/>
      <c r="BA67" s="739"/>
      <c r="BB67" s="739"/>
      <c r="BC67" s="739"/>
      <c r="BD67" s="739"/>
      <c r="BE67" s="739"/>
      <c r="BF67" s="739"/>
      <c r="BG67" s="739"/>
      <c r="BH67" s="739"/>
      <c r="BI67" s="739"/>
      <c r="BJ67" s="739"/>
      <c r="BK67" s="739"/>
      <c r="BL67" s="739"/>
    </row>
    <row r="68" spans="7:64" x14ac:dyDescent="0.25">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739"/>
      <c r="AI68" s="739"/>
      <c r="AJ68" s="739"/>
      <c r="AK68" s="739"/>
      <c r="AL68" s="739"/>
      <c r="AM68" s="739"/>
      <c r="AN68" s="739"/>
      <c r="AO68" s="739"/>
      <c r="AP68" s="739"/>
      <c r="AQ68" s="739"/>
      <c r="AR68" s="739"/>
      <c r="AS68" s="739"/>
      <c r="AT68" s="739"/>
      <c r="AU68" s="739"/>
      <c r="AV68" s="739"/>
      <c r="AW68" s="739"/>
      <c r="AX68" s="739"/>
      <c r="AY68" s="739"/>
      <c r="AZ68" s="739"/>
      <c r="BA68" s="739"/>
      <c r="BB68" s="739"/>
      <c r="BC68" s="739"/>
      <c r="BD68" s="739"/>
      <c r="BE68" s="739"/>
      <c r="BF68" s="739"/>
      <c r="BG68" s="739"/>
      <c r="BH68" s="739"/>
      <c r="BI68" s="739"/>
      <c r="BJ68" s="739"/>
      <c r="BK68" s="739"/>
      <c r="BL68" s="739"/>
    </row>
    <row r="69" spans="7:64" x14ac:dyDescent="0.25">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739"/>
      <c r="AI69" s="739"/>
      <c r="AJ69" s="739"/>
      <c r="AK69" s="739"/>
      <c r="AL69" s="739"/>
      <c r="AM69" s="739"/>
      <c r="AN69" s="739"/>
      <c r="AO69" s="739"/>
      <c r="AP69" s="739"/>
      <c r="AQ69" s="739"/>
      <c r="AR69" s="739"/>
      <c r="AS69" s="739"/>
      <c r="AT69" s="739"/>
      <c r="AU69" s="739"/>
      <c r="AV69" s="739"/>
      <c r="AW69" s="739"/>
      <c r="AX69" s="739"/>
      <c r="AY69" s="739"/>
      <c r="AZ69" s="739"/>
      <c r="BA69" s="739"/>
      <c r="BB69" s="739"/>
      <c r="BC69" s="739"/>
      <c r="BD69" s="739"/>
      <c r="BE69" s="739"/>
      <c r="BF69" s="739"/>
      <c r="BG69" s="739"/>
      <c r="BH69" s="739"/>
      <c r="BI69" s="739"/>
      <c r="BJ69" s="739"/>
      <c r="BK69" s="739"/>
      <c r="BL69" s="739"/>
    </row>
    <row r="70" spans="7:64" x14ac:dyDescent="0.25">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739"/>
      <c r="AI70" s="739"/>
      <c r="AJ70" s="739"/>
      <c r="AK70" s="739"/>
      <c r="AL70" s="739"/>
      <c r="AM70" s="739"/>
      <c r="AN70" s="739"/>
      <c r="AO70" s="739"/>
      <c r="AP70" s="739"/>
      <c r="AQ70" s="739"/>
      <c r="AR70" s="739"/>
      <c r="AS70" s="739"/>
      <c r="AT70" s="739"/>
      <c r="AU70" s="739"/>
      <c r="AV70" s="739"/>
      <c r="AW70" s="739"/>
      <c r="AX70" s="739"/>
      <c r="AY70" s="739"/>
      <c r="AZ70" s="739"/>
      <c r="BA70" s="739"/>
      <c r="BB70" s="739"/>
      <c r="BC70" s="739"/>
      <c r="BD70" s="739"/>
      <c r="BE70" s="739"/>
      <c r="BF70" s="739"/>
      <c r="BG70" s="739"/>
      <c r="BH70" s="739"/>
      <c r="BI70" s="739"/>
      <c r="BJ70" s="739"/>
      <c r="BK70" s="739"/>
      <c r="BL70" s="739"/>
    </row>
    <row r="71" spans="7:64" x14ac:dyDescent="0.25">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739"/>
      <c r="AI71" s="739"/>
      <c r="AJ71" s="739"/>
      <c r="AK71" s="739"/>
      <c r="AL71" s="739"/>
      <c r="AM71" s="739"/>
      <c r="AN71" s="739"/>
      <c r="AO71" s="739"/>
      <c r="AP71" s="739"/>
      <c r="AQ71" s="739"/>
      <c r="AR71" s="739"/>
      <c r="AS71" s="739"/>
      <c r="AT71" s="739"/>
      <c r="AU71" s="739"/>
      <c r="AV71" s="739"/>
      <c r="AW71" s="739"/>
      <c r="AX71" s="739"/>
      <c r="AY71" s="739"/>
      <c r="AZ71" s="739"/>
      <c r="BA71" s="739"/>
      <c r="BB71" s="739"/>
      <c r="BC71" s="739"/>
      <c r="BD71" s="739"/>
      <c r="BE71" s="739"/>
      <c r="BF71" s="739"/>
      <c r="BG71" s="739"/>
      <c r="BH71" s="739"/>
      <c r="BI71" s="739"/>
      <c r="BJ71" s="739"/>
      <c r="BK71" s="739"/>
      <c r="BL71" s="739"/>
    </row>
    <row r="72" spans="7:64" x14ac:dyDescent="0.25">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739"/>
      <c r="AI72" s="739"/>
      <c r="AJ72" s="739"/>
      <c r="AK72" s="739"/>
      <c r="AL72" s="739"/>
      <c r="AM72" s="739"/>
      <c r="AN72" s="739"/>
      <c r="AO72" s="739"/>
      <c r="AP72" s="739"/>
      <c r="AQ72" s="739"/>
      <c r="AR72" s="739"/>
      <c r="AS72" s="739"/>
      <c r="AT72" s="739"/>
      <c r="AU72" s="739"/>
      <c r="AV72" s="739"/>
      <c r="AW72" s="739"/>
      <c r="AX72" s="739"/>
      <c r="AY72" s="739"/>
      <c r="AZ72" s="739"/>
      <c r="BA72" s="739"/>
      <c r="BB72" s="739"/>
      <c r="BC72" s="739"/>
      <c r="BD72" s="739"/>
      <c r="BE72" s="739"/>
      <c r="BF72" s="739"/>
      <c r="BG72" s="739"/>
      <c r="BH72" s="739"/>
      <c r="BI72" s="739"/>
      <c r="BJ72" s="739"/>
      <c r="BK72" s="739"/>
      <c r="BL72" s="739"/>
    </row>
    <row r="73" spans="7:64" x14ac:dyDescent="0.25">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739"/>
      <c r="AI73" s="739"/>
      <c r="AJ73" s="739"/>
      <c r="AK73" s="739"/>
      <c r="AL73" s="739"/>
      <c r="AM73" s="739"/>
      <c r="AN73" s="739"/>
      <c r="AO73" s="739"/>
      <c r="AP73" s="739"/>
      <c r="AQ73" s="739"/>
      <c r="AR73" s="739"/>
      <c r="AS73" s="739"/>
      <c r="AT73" s="739"/>
      <c r="AU73" s="739"/>
      <c r="AV73" s="739"/>
      <c r="AW73" s="739"/>
      <c r="AX73" s="739"/>
      <c r="AY73" s="739"/>
      <c r="AZ73" s="739"/>
      <c r="BA73" s="739"/>
      <c r="BB73" s="739"/>
      <c r="BC73" s="739"/>
      <c r="BD73" s="739"/>
      <c r="BE73" s="739"/>
      <c r="BF73" s="739"/>
      <c r="BG73" s="739"/>
      <c r="BH73" s="739"/>
      <c r="BI73" s="739"/>
      <c r="BJ73" s="739"/>
      <c r="BK73" s="739"/>
      <c r="BL73" s="739"/>
    </row>
    <row r="74" spans="7:64" x14ac:dyDescent="0.25">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739"/>
      <c r="AI74" s="739"/>
      <c r="AJ74" s="739"/>
      <c r="AK74" s="739"/>
      <c r="AL74" s="739"/>
      <c r="AM74" s="739"/>
      <c r="AN74" s="739"/>
      <c r="AO74" s="739"/>
      <c r="AP74" s="739"/>
      <c r="AQ74" s="739"/>
      <c r="AR74" s="739"/>
      <c r="AS74" s="739"/>
      <c r="AT74" s="739"/>
      <c r="AU74" s="739"/>
      <c r="AV74" s="739"/>
      <c r="AW74" s="739"/>
      <c r="AX74" s="739"/>
      <c r="AY74" s="739"/>
      <c r="AZ74" s="739"/>
      <c r="BA74" s="739"/>
      <c r="BB74" s="739"/>
      <c r="BC74" s="739"/>
      <c r="BD74" s="739"/>
      <c r="BE74" s="739"/>
      <c r="BF74" s="739"/>
      <c r="BG74" s="739"/>
      <c r="BH74" s="739"/>
      <c r="BI74" s="739"/>
      <c r="BJ74" s="739"/>
      <c r="BK74" s="739"/>
      <c r="BL74" s="739"/>
    </row>
    <row r="75" spans="7:64" x14ac:dyDescent="0.25">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739"/>
      <c r="AI75" s="739"/>
      <c r="AJ75" s="739"/>
      <c r="AK75" s="739"/>
      <c r="AL75" s="739"/>
      <c r="AM75" s="739"/>
      <c r="AN75" s="739"/>
      <c r="AO75" s="739"/>
      <c r="AP75" s="739"/>
      <c r="AQ75" s="739"/>
      <c r="AR75" s="739"/>
      <c r="AS75" s="739"/>
      <c r="AT75" s="739"/>
      <c r="AU75" s="739"/>
      <c r="AV75" s="739"/>
      <c r="AW75" s="739"/>
      <c r="AX75" s="739"/>
      <c r="AY75" s="739"/>
      <c r="AZ75" s="739"/>
      <c r="BA75" s="739"/>
      <c r="BB75" s="739"/>
      <c r="BC75" s="739"/>
      <c r="BD75" s="739"/>
      <c r="BE75" s="739"/>
      <c r="BF75" s="739"/>
      <c r="BG75" s="739"/>
      <c r="BH75" s="739"/>
      <c r="BI75" s="739"/>
      <c r="BJ75" s="739"/>
      <c r="BK75" s="739"/>
      <c r="BL75" s="739"/>
    </row>
    <row r="76" spans="7:64" x14ac:dyDescent="0.25">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739"/>
      <c r="AI76" s="739"/>
      <c r="AJ76" s="739"/>
      <c r="AK76" s="739"/>
      <c r="AL76" s="739"/>
      <c r="AM76" s="739"/>
      <c r="AN76" s="739"/>
      <c r="AO76" s="739"/>
      <c r="AP76" s="739"/>
      <c r="AQ76" s="739"/>
      <c r="AR76" s="739"/>
      <c r="AS76" s="739"/>
      <c r="AT76" s="739"/>
      <c r="AU76" s="739"/>
      <c r="AV76" s="739"/>
      <c r="AW76" s="739"/>
      <c r="AX76" s="739"/>
      <c r="AY76" s="739"/>
      <c r="AZ76" s="739"/>
      <c r="BA76" s="739"/>
      <c r="BB76" s="739"/>
      <c r="BC76" s="739"/>
      <c r="BD76" s="739"/>
      <c r="BE76" s="739"/>
      <c r="BF76" s="739"/>
      <c r="BG76" s="739"/>
      <c r="BH76" s="739"/>
      <c r="BI76" s="739"/>
      <c r="BJ76" s="739"/>
      <c r="BK76" s="739"/>
      <c r="BL76" s="739"/>
    </row>
    <row r="77" spans="7:64" x14ac:dyDescent="0.25">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739"/>
      <c r="AI77" s="739"/>
      <c r="AJ77" s="739"/>
      <c r="AK77" s="739"/>
      <c r="AL77" s="739"/>
      <c r="AM77" s="739"/>
      <c r="AN77" s="739"/>
      <c r="AO77" s="739"/>
      <c r="AP77" s="739"/>
      <c r="AQ77" s="739"/>
      <c r="AR77" s="739"/>
      <c r="AS77" s="739"/>
      <c r="AT77" s="739"/>
      <c r="AU77" s="739"/>
      <c r="AV77" s="739"/>
      <c r="AW77" s="739"/>
      <c r="AX77" s="739"/>
      <c r="AY77" s="739"/>
      <c r="AZ77" s="739"/>
      <c r="BA77" s="739"/>
      <c r="BB77" s="739"/>
      <c r="BC77" s="739"/>
      <c r="BD77" s="739"/>
      <c r="BE77" s="739"/>
      <c r="BF77" s="739"/>
      <c r="BG77" s="739"/>
      <c r="BH77" s="739"/>
      <c r="BI77" s="739"/>
      <c r="BJ77" s="739"/>
      <c r="BK77" s="739"/>
      <c r="BL77" s="739"/>
    </row>
    <row r="78" spans="7:64" x14ac:dyDescent="0.25">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739"/>
      <c r="AI78" s="739"/>
      <c r="AJ78" s="739"/>
      <c r="AK78" s="739"/>
      <c r="AL78" s="739"/>
      <c r="AM78" s="739"/>
      <c r="AN78" s="739"/>
      <c r="AO78" s="739"/>
      <c r="AP78" s="739"/>
      <c r="AQ78" s="739"/>
      <c r="AR78" s="739"/>
      <c r="AS78" s="739"/>
      <c r="AT78" s="739"/>
      <c r="AU78" s="739"/>
      <c r="AV78" s="739"/>
      <c r="AW78" s="739"/>
      <c r="AX78" s="739"/>
      <c r="AY78" s="739"/>
      <c r="AZ78" s="739"/>
      <c r="BA78" s="739"/>
      <c r="BB78" s="739"/>
      <c r="BC78" s="739"/>
      <c r="BD78" s="739"/>
      <c r="BE78" s="739"/>
      <c r="BF78" s="739"/>
      <c r="BG78" s="739"/>
      <c r="BH78" s="739"/>
      <c r="BI78" s="739"/>
      <c r="BJ78" s="739"/>
      <c r="BK78" s="739"/>
      <c r="BL78" s="739"/>
    </row>
    <row r="79" spans="7:64" x14ac:dyDescent="0.25">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739"/>
      <c r="AI79" s="739"/>
      <c r="AJ79" s="739"/>
      <c r="AK79" s="739"/>
      <c r="AL79" s="739"/>
      <c r="AM79" s="739"/>
      <c r="AN79" s="739"/>
      <c r="AO79" s="739"/>
      <c r="AP79" s="739"/>
      <c r="AQ79" s="739"/>
      <c r="AR79" s="739"/>
      <c r="AS79" s="739"/>
      <c r="AT79" s="739"/>
      <c r="AU79" s="739"/>
      <c r="AV79" s="739"/>
      <c r="AW79" s="739"/>
      <c r="AX79" s="739"/>
      <c r="AY79" s="739"/>
      <c r="AZ79" s="739"/>
      <c r="BA79" s="739"/>
      <c r="BB79" s="739"/>
      <c r="BC79" s="739"/>
      <c r="BD79" s="739"/>
      <c r="BE79" s="739"/>
      <c r="BF79" s="739"/>
      <c r="BG79" s="739"/>
      <c r="BH79" s="739"/>
      <c r="BI79" s="739"/>
      <c r="BJ79" s="739"/>
      <c r="BK79" s="739"/>
      <c r="BL79" s="739"/>
    </row>
    <row r="80" spans="7:64" x14ac:dyDescent="0.25">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c r="BE80" s="739"/>
      <c r="BF80" s="739"/>
      <c r="BG80" s="739"/>
      <c r="BH80" s="739"/>
      <c r="BI80" s="739"/>
      <c r="BJ80" s="739"/>
      <c r="BK80" s="739"/>
      <c r="BL80" s="739"/>
    </row>
    <row r="81" spans="7:64" x14ac:dyDescent="0.25">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739"/>
      <c r="AI81" s="739"/>
      <c r="AJ81" s="739"/>
      <c r="AK81" s="739"/>
      <c r="AL81" s="739"/>
      <c r="AM81" s="739"/>
      <c r="AN81" s="739"/>
      <c r="AO81" s="739"/>
      <c r="AP81" s="739"/>
      <c r="AQ81" s="739"/>
      <c r="AR81" s="739"/>
      <c r="AS81" s="739"/>
      <c r="AT81" s="739"/>
      <c r="AU81" s="739"/>
      <c r="AV81" s="739"/>
      <c r="AW81" s="739"/>
      <c r="AX81" s="739"/>
      <c r="AY81" s="739"/>
      <c r="AZ81" s="739"/>
      <c r="BA81" s="739"/>
      <c r="BB81" s="739"/>
      <c r="BC81" s="739"/>
      <c r="BD81" s="739"/>
      <c r="BE81" s="739"/>
      <c r="BF81" s="739"/>
      <c r="BG81" s="739"/>
      <c r="BH81" s="739"/>
      <c r="BI81" s="739"/>
      <c r="BJ81" s="739"/>
      <c r="BK81" s="739"/>
      <c r="BL81" s="739"/>
    </row>
    <row r="82" spans="7:64" x14ac:dyDescent="0.25">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739"/>
      <c r="AI82" s="739"/>
      <c r="AJ82" s="739"/>
      <c r="AK82" s="739"/>
      <c r="AL82" s="739"/>
      <c r="AM82" s="739"/>
      <c r="AN82" s="739"/>
      <c r="AO82" s="739"/>
      <c r="AP82" s="739"/>
      <c r="AQ82" s="739"/>
      <c r="AR82" s="739"/>
      <c r="AS82" s="739"/>
      <c r="AT82" s="739"/>
      <c r="AU82" s="739"/>
      <c r="AV82" s="739"/>
      <c r="AW82" s="739"/>
      <c r="AX82" s="739"/>
      <c r="AY82" s="739"/>
      <c r="AZ82" s="739"/>
      <c r="BA82" s="739"/>
      <c r="BB82" s="739"/>
      <c r="BC82" s="739"/>
      <c r="BD82" s="739"/>
      <c r="BE82" s="739"/>
      <c r="BF82" s="739"/>
      <c r="BG82" s="739"/>
      <c r="BH82" s="739"/>
      <c r="BI82" s="739"/>
      <c r="BJ82" s="739"/>
      <c r="BK82" s="739"/>
      <c r="BL82" s="739"/>
    </row>
    <row r="83" spans="7:64" x14ac:dyDescent="0.25">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739"/>
      <c r="AI83" s="739"/>
      <c r="AJ83" s="739"/>
      <c r="AK83" s="739"/>
      <c r="AL83" s="739"/>
      <c r="AM83" s="739"/>
      <c r="AN83" s="739"/>
      <c r="AO83" s="739"/>
      <c r="AP83" s="739"/>
      <c r="AQ83" s="739"/>
      <c r="AR83" s="739"/>
      <c r="AS83" s="739"/>
      <c r="AT83" s="739"/>
      <c r="AU83" s="739"/>
      <c r="AV83" s="739"/>
      <c r="AW83" s="739"/>
      <c r="AX83" s="739"/>
      <c r="AY83" s="739"/>
      <c r="AZ83" s="739"/>
      <c r="BA83" s="739"/>
      <c r="BB83" s="739"/>
      <c r="BC83" s="739"/>
      <c r="BD83" s="739"/>
      <c r="BE83" s="739"/>
      <c r="BF83" s="739"/>
      <c r="BG83" s="739"/>
      <c r="BH83" s="739"/>
      <c r="BI83" s="739"/>
      <c r="BJ83" s="739"/>
      <c r="BK83" s="739"/>
      <c r="BL83" s="739"/>
    </row>
    <row r="84" spans="7:64" x14ac:dyDescent="0.25">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739"/>
      <c r="AI84" s="739"/>
      <c r="AJ84" s="739"/>
      <c r="AK84" s="739"/>
      <c r="AL84" s="739"/>
      <c r="AM84" s="739"/>
      <c r="AN84" s="739"/>
      <c r="AO84" s="739"/>
      <c r="AP84" s="739"/>
      <c r="AQ84" s="739"/>
      <c r="AR84" s="739"/>
      <c r="AS84" s="739"/>
      <c r="AT84" s="739"/>
      <c r="AU84" s="739"/>
      <c r="AV84" s="739"/>
      <c r="AW84" s="739"/>
      <c r="AX84" s="739"/>
      <c r="AY84" s="739"/>
      <c r="AZ84" s="739"/>
      <c r="BA84" s="739"/>
      <c r="BB84" s="739"/>
      <c r="BC84" s="739"/>
      <c r="BD84" s="739"/>
      <c r="BE84" s="739"/>
      <c r="BF84" s="739"/>
      <c r="BG84" s="739"/>
      <c r="BH84" s="739"/>
      <c r="BI84" s="739"/>
      <c r="BJ84" s="739"/>
      <c r="BK84" s="739"/>
      <c r="BL84" s="739"/>
    </row>
    <row r="85" spans="7:64" x14ac:dyDescent="0.25">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739"/>
      <c r="AI85" s="739"/>
      <c r="AJ85" s="739"/>
      <c r="AK85" s="739"/>
      <c r="AL85" s="739"/>
      <c r="AM85" s="739"/>
      <c r="AN85" s="739"/>
      <c r="AO85" s="739"/>
      <c r="AP85" s="739"/>
      <c r="AQ85" s="739"/>
      <c r="AR85" s="739"/>
      <c r="AS85" s="739"/>
      <c r="AT85" s="739"/>
      <c r="AU85" s="739"/>
      <c r="AV85" s="739"/>
      <c r="AW85" s="739"/>
      <c r="AX85" s="739"/>
      <c r="AY85" s="739"/>
      <c r="AZ85" s="739"/>
      <c r="BA85" s="739"/>
      <c r="BB85" s="739"/>
      <c r="BC85" s="739"/>
      <c r="BD85" s="739"/>
      <c r="BE85" s="739"/>
      <c r="BF85" s="739"/>
      <c r="BG85" s="739"/>
      <c r="BH85" s="739"/>
      <c r="BI85" s="739"/>
      <c r="BJ85" s="739"/>
      <c r="BK85" s="739"/>
      <c r="BL85" s="739"/>
    </row>
    <row r="86" spans="7:64" x14ac:dyDescent="0.25">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739"/>
      <c r="AI86" s="739"/>
      <c r="AJ86" s="739"/>
      <c r="AK86" s="739"/>
      <c r="AL86" s="739"/>
      <c r="AM86" s="739"/>
      <c r="AN86" s="739"/>
      <c r="AO86" s="739"/>
      <c r="AP86" s="739"/>
      <c r="AQ86" s="739"/>
      <c r="AR86" s="739"/>
      <c r="AS86" s="739"/>
      <c r="AT86" s="739"/>
      <c r="AU86" s="739"/>
      <c r="AV86" s="739"/>
      <c r="AW86" s="739"/>
      <c r="AX86" s="739"/>
      <c r="AY86" s="739"/>
      <c r="AZ86" s="739"/>
      <c r="BA86" s="739"/>
      <c r="BB86" s="739"/>
      <c r="BC86" s="739"/>
      <c r="BD86" s="739"/>
      <c r="BE86" s="739"/>
      <c r="BF86" s="739"/>
      <c r="BG86" s="739"/>
      <c r="BH86" s="739"/>
      <c r="BI86" s="739"/>
      <c r="BJ86" s="739"/>
      <c r="BK86" s="739"/>
      <c r="BL86" s="739"/>
    </row>
    <row r="87" spans="7:64" x14ac:dyDescent="0.25">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739"/>
      <c r="AI87" s="739"/>
      <c r="AJ87" s="739"/>
      <c r="AK87" s="739"/>
      <c r="AL87" s="739"/>
      <c r="AM87" s="739"/>
      <c r="AN87" s="739"/>
      <c r="AO87" s="739"/>
      <c r="AP87" s="739"/>
      <c r="AQ87" s="739"/>
      <c r="AR87" s="739"/>
      <c r="AS87" s="739"/>
      <c r="AT87" s="739"/>
      <c r="AU87" s="739"/>
      <c r="AV87" s="739"/>
      <c r="AW87" s="739"/>
      <c r="AX87" s="739"/>
      <c r="AY87" s="739"/>
      <c r="AZ87" s="739"/>
      <c r="BA87" s="739"/>
      <c r="BB87" s="739"/>
      <c r="BC87" s="739"/>
      <c r="BD87" s="739"/>
      <c r="BE87" s="739"/>
      <c r="BF87" s="739"/>
      <c r="BG87" s="739"/>
      <c r="BH87" s="739"/>
      <c r="BI87" s="739"/>
      <c r="BJ87" s="739"/>
      <c r="BK87" s="739"/>
      <c r="BL87" s="739"/>
    </row>
    <row r="88" spans="7:64" x14ac:dyDescent="0.25">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739"/>
      <c r="AI88" s="739"/>
      <c r="AJ88" s="739"/>
      <c r="AK88" s="739"/>
      <c r="AL88" s="739"/>
      <c r="AM88" s="739"/>
      <c r="AN88" s="739"/>
      <c r="AO88" s="739"/>
      <c r="AP88" s="739"/>
      <c r="AQ88" s="739"/>
      <c r="AR88" s="739"/>
      <c r="AS88" s="739"/>
      <c r="AT88" s="739"/>
      <c r="AU88" s="739"/>
      <c r="AV88" s="739"/>
      <c r="AW88" s="739"/>
      <c r="AX88" s="739"/>
      <c r="AY88" s="739"/>
      <c r="AZ88" s="739"/>
      <c r="BA88" s="739"/>
      <c r="BB88" s="739"/>
      <c r="BC88" s="739"/>
      <c r="BD88" s="739"/>
      <c r="BE88" s="739"/>
      <c r="BF88" s="739"/>
      <c r="BG88" s="739"/>
      <c r="BH88" s="739"/>
      <c r="BI88" s="739"/>
      <c r="BJ88" s="739"/>
      <c r="BK88" s="739"/>
      <c r="BL88" s="739"/>
    </row>
    <row r="89" spans="7:64" x14ac:dyDescent="0.25">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739"/>
      <c r="AI89" s="739"/>
      <c r="AJ89" s="739"/>
      <c r="AK89" s="739"/>
      <c r="AL89" s="739"/>
      <c r="AM89" s="739"/>
      <c r="AN89" s="739"/>
      <c r="AO89" s="739"/>
      <c r="AP89" s="739"/>
      <c r="AQ89" s="739"/>
      <c r="AR89" s="739"/>
      <c r="AS89" s="739"/>
      <c r="AT89" s="739"/>
      <c r="AU89" s="739"/>
      <c r="AV89" s="739"/>
      <c r="AW89" s="739"/>
      <c r="AX89" s="739"/>
      <c r="AY89" s="739"/>
      <c r="AZ89" s="739"/>
      <c r="BA89" s="739"/>
      <c r="BB89" s="739"/>
      <c r="BC89" s="739"/>
      <c r="BD89" s="739"/>
      <c r="BE89" s="739"/>
      <c r="BF89" s="739"/>
      <c r="BG89" s="739"/>
      <c r="BH89" s="739"/>
      <c r="BI89" s="739"/>
      <c r="BJ89" s="739"/>
      <c r="BK89" s="739"/>
      <c r="BL89" s="739"/>
    </row>
    <row r="90" spans="7:64" x14ac:dyDescent="0.25">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739"/>
      <c r="AI90" s="739"/>
      <c r="AJ90" s="739"/>
      <c r="AK90" s="739"/>
      <c r="AL90" s="739"/>
      <c r="AM90" s="739"/>
      <c r="AN90" s="739"/>
      <c r="AO90" s="739"/>
      <c r="AP90" s="739"/>
      <c r="AQ90" s="739"/>
      <c r="AR90" s="739"/>
      <c r="AS90" s="739"/>
      <c r="AT90" s="739"/>
      <c r="AU90" s="739"/>
      <c r="AV90" s="739"/>
      <c r="AW90" s="739"/>
      <c r="AX90" s="739"/>
      <c r="AY90" s="739"/>
      <c r="AZ90" s="739"/>
      <c r="BA90" s="739"/>
      <c r="BB90" s="739"/>
      <c r="BC90" s="739"/>
      <c r="BD90" s="739"/>
      <c r="BE90" s="739"/>
      <c r="BF90" s="739"/>
      <c r="BG90" s="739"/>
      <c r="BH90" s="739"/>
      <c r="BI90" s="739"/>
      <c r="BJ90" s="739"/>
      <c r="BK90" s="739"/>
      <c r="BL90" s="739"/>
    </row>
    <row r="91" spans="7:64" x14ac:dyDescent="0.25">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739"/>
      <c r="AI91" s="739"/>
      <c r="AJ91" s="739"/>
      <c r="AK91" s="739"/>
      <c r="AL91" s="739"/>
      <c r="AM91" s="739"/>
      <c r="AN91" s="739"/>
      <c r="AO91" s="739"/>
      <c r="AP91" s="739"/>
      <c r="AQ91" s="739"/>
      <c r="AR91" s="739"/>
      <c r="AS91" s="739"/>
      <c r="AT91" s="739"/>
      <c r="AU91" s="739"/>
      <c r="AV91" s="739"/>
      <c r="AW91" s="739"/>
      <c r="AX91" s="739"/>
      <c r="AY91" s="739"/>
      <c r="AZ91" s="739"/>
      <c r="BA91" s="739"/>
      <c r="BB91" s="739"/>
      <c r="BC91" s="739"/>
      <c r="BD91" s="739"/>
      <c r="BE91" s="739"/>
      <c r="BF91" s="739"/>
      <c r="BG91" s="739"/>
      <c r="BH91" s="739"/>
      <c r="BI91" s="739"/>
      <c r="BJ91" s="739"/>
      <c r="BK91" s="739"/>
      <c r="BL91" s="739"/>
    </row>
    <row r="92" spans="7:64" x14ac:dyDescent="0.25">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739"/>
      <c r="AI92" s="739"/>
      <c r="AJ92" s="739"/>
      <c r="AK92" s="739"/>
      <c r="AL92" s="739"/>
      <c r="AM92" s="739"/>
      <c r="AN92" s="739"/>
      <c r="AO92" s="739"/>
      <c r="AP92" s="739"/>
      <c r="AQ92" s="739"/>
      <c r="AR92" s="739"/>
      <c r="AS92" s="739"/>
      <c r="AT92" s="739"/>
      <c r="AU92" s="739"/>
      <c r="AV92" s="739"/>
      <c r="AW92" s="739"/>
      <c r="AX92" s="739"/>
      <c r="AY92" s="739"/>
      <c r="AZ92" s="739"/>
      <c r="BA92" s="739"/>
      <c r="BB92" s="739"/>
      <c r="BC92" s="739"/>
      <c r="BD92" s="739"/>
      <c r="BE92" s="739"/>
      <c r="BF92" s="739"/>
      <c r="BG92" s="739"/>
      <c r="BH92" s="739"/>
      <c r="BI92" s="739"/>
      <c r="BJ92" s="739"/>
      <c r="BK92" s="739"/>
      <c r="BL92" s="739"/>
    </row>
    <row r="93" spans="7:64" x14ac:dyDescent="0.25">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739"/>
      <c r="AI93" s="739"/>
      <c r="AJ93" s="739"/>
      <c r="AK93" s="739"/>
      <c r="AL93" s="739"/>
      <c r="AM93" s="739"/>
      <c r="AN93" s="739"/>
      <c r="AO93" s="739"/>
      <c r="AP93" s="739"/>
      <c r="AQ93" s="739"/>
      <c r="AR93" s="739"/>
      <c r="AS93" s="739"/>
      <c r="AT93" s="739"/>
      <c r="AU93" s="739"/>
      <c r="AV93" s="739"/>
      <c r="AW93" s="739"/>
      <c r="AX93" s="739"/>
      <c r="AY93" s="739"/>
      <c r="AZ93" s="739"/>
      <c r="BA93" s="739"/>
      <c r="BB93" s="739"/>
      <c r="BC93" s="739"/>
      <c r="BD93" s="739"/>
      <c r="BE93" s="739"/>
      <c r="BF93" s="739"/>
      <c r="BG93" s="739"/>
      <c r="BH93" s="739"/>
      <c r="BI93" s="739"/>
      <c r="BJ93" s="739"/>
      <c r="BK93" s="739"/>
      <c r="BL93" s="739"/>
    </row>
    <row r="94" spans="7:64" x14ac:dyDescent="0.25">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739"/>
      <c r="AI94" s="739"/>
      <c r="AJ94" s="739"/>
      <c r="AK94" s="739"/>
      <c r="AL94" s="739"/>
      <c r="AM94" s="739"/>
      <c r="AN94" s="739"/>
      <c r="AO94" s="739"/>
      <c r="AP94" s="739"/>
      <c r="AQ94" s="739"/>
      <c r="AR94" s="739"/>
      <c r="AS94" s="739"/>
      <c r="AT94" s="739"/>
      <c r="AU94" s="739"/>
      <c r="AV94" s="739"/>
      <c r="AW94" s="739"/>
      <c r="AX94" s="739"/>
      <c r="AY94" s="739"/>
      <c r="AZ94" s="739"/>
      <c r="BA94" s="739"/>
      <c r="BB94" s="739"/>
      <c r="BC94" s="739"/>
      <c r="BD94" s="739"/>
      <c r="BE94" s="739"/>
      <c r="BF94" s="739"/>
      <c r="BG94" s="739"/>
      <c r="BH94" s="739"/>
      <c r="BI94" s="739"/>
      <c r="BJ94" s="739"/>
      <c r="BK94" s="739"/>
      <c r="BL94" s="739"/>
    </row>
    <row r="95" spans="7:64" x14ac:dyDescent="0.25">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739"/>
      <c r="AI95" s="739"/>
      <c r="AJ95" s="739"/>
      <c r="AK95" s="739"/>
      <c r="AL95" s="739"/>
      <c r="AM95" s="739"/>
      <c r="AN95" s="739"/>
      <c r="AO95" s="739"/>
      <c r="AP95" s="739"/>
      <c r="AQ95" s="739"/>
      <c r="AR95" s="739"/>
      <c r="AS95" s="739"/>
      <c r="AT95" s="739"/>
      <c r="AU95" s="739"/>
      <c r="AV95" s="739"/>
      <c r="AW95" s="739"/>
      <c r="AX95" s="739"/>
      <c r="AY95" s="739"/>
      <c r="AZ95" s="739"/>
      <c r="BA95" s="739"/>
      <c r="BB95" s="739"/>
      <c r="BC95" s="739"/>
      <c r="BD95" s="739"/>
      <c r="BE95" s="739"/>
      <c r="BF95" s="739"/>
      <c r="BG95" s="739"/>
      <c r="BH95" s="739"/>
      <c r="BI95" s="739"/>
      <c r="BJ95" s="739"/>
      <c r="BK95" s="739"/>
      <c r="BL95" s="739"/>
    </row>
    <row r="96" spans="7:64" x14ac:dyDescent="0.25">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739"/>
      <c r="AI96" s="739"/>
      <c r="AJ96" s="739"/>
      <c r="AK96" s="739"/>
      <c r="AL96" s="739"/>
      <c r="AM96" s="739"/>
      <c r="AN96" s="739"/>
      <c r="AO96" s="739"/>
      <c r="AP96" s="739"/>
      <c r="AQ96" s="739"/>
      <c r="AR96" s="739"/>
      <c r="AS96" s="739"/>
      <c r="AT96" s="739"/>
      <c r="AU96" s="739"/>
      <c r="AV96" s="739"/>
      <c r="AW96" s="739"/>
      <c r="AX96" s="739"/>
      <c r="AY96" s="739"/>
      <c r="AZ96" s="739"/>
      <c r="BA96" s="739"/>
      <c r="BB96" s="739"/>
      <c r="BC96" s="739"/>
      <c r="BD96" s="739"/>
      <c r="BE96" s="739"/>
      <c r="BF96" s="739"/>
      <c r="BG96" s="739"/>
      <c r="BH96" s="739"/>
      <c r="BI96" s="739"/>
      <c r="BJ96" s="739"/>
      <c r="BK96" s="739"/>
      <c r="BL96" s="739"/>
    </row>
    <row r="97" spans="7:64" x14ac:dyDescent="0.25">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739"/>
      <c r="AI97" s="739"/>
      <c r="AJ97" s="739"/>
      <c r="AK97" s="739"/>
      <c r="AL97" s="739"/>
      <c r="AM97" s="739"/>
      <c r="AN97" s="739"/>
      <c r="AO97" s="739"/>
      <c r="AP97" s="739"/>
      <c r="AQ97" s="739"/>
      <c r="AR97" s="739"/>
      <c r="AS97" s="739"/>
      <c r="AT97" s="739"/>
      <c r="AU97" s="739"/>
      <c r="AV97" s="739"/>
      <c r="AW97" s="739"/>
      <c r="AX97" s="739"/>
      <c r="AY97" s="739"/>
      <c r="AZ97" s="739"/>
      <c r="BA97" s="739"/>
      <c r="BB97" s="739"/>
      <c r="BC97" s="739"/>
      <c r="BD97" s="739"/>
      <c r="BE97" s="739"/>
      <c r="BF97" s="739"/>
      <c r="BG97" s="739"/>
      <c r="BH97" s="739"/>
      <c r="BI97" s="739"/>
      <c r="BJ97" s="739"/>
      <c r="BK97" s="739"/>
      <c r="BL97" s="739"/>
    </row>
    <row r="98" spans="7:64" x14ac:dyDescent="0.25">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739"/>
      <c r="AI98" s="739"/>
      <c r="AJ98" s="739"/>
      <c r="AK98" s="739"/>
      <c r="AL98" s="739"/>
      <c r="AM98" s="739"/>
      <c r="AN98" s="739"/>
      <c r="AO98" s="739"/>
      <c r="AP98" s="739"/>
      <c r="AQ98" s="739"/>
      <c r="AR98" s="739"/>
      <c r="AS98" s="739"/>
      <c r="AT98" s="739"/>
      <c r="AU98" s="739"/>
      <c r="AV98" s="739"/>
      <c r="AW98" s="739"/>
      <c r="AX98" s="739"/>
      <c r="AY98" s="739"/>
      <c r="AZ98" s="739"/>
      <c r="BA98" s="739"/>
      <c r="BB98" s="739"/>
      <c r="BC98" s="739"/>
      <c r="BD98" s="739"/>
      <c r="BE98" s="739"/>
      <c r="BF98" s="739"/>
      <c r="BG98" s="739"/>
      <c r="BH98" s="739"/>
      <c r="BI98" s="739"/>
      <c r="BJ98" s="739"/>
      <c r="BK98" s="739"/>
      <c r="BL98" s="739"/>
    </row>
    <row r="99" spans="7:64" x14ac:dyDescent="0.25">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739"/>
      <c r="AI99" s="739"/>
      <c r="AJ99" s="739"/>
      <c r="AK99" s="739"/>
      <c r="AL99" s="739"/>
      <c r="AM99" s="739"/>
      <c r="AN99" s="739"/>
      <c r="AO99" s="739"/>
      <c r="AP99" s="739"/>
      <c r="AQ99" s="739"/>
      <c r="AR99" s="739"/>
      <c r="AS99" s="739"/>
      <c r="AT99" s="739"/>
      <c r="AU99" s="739"/>
      <c r="AV99" s="739"/>
      <c r="AW99" s="739"/>
      <c r="AX99" s="739"/>
      <c r="AY99" s="739"/>
      <c r="AZ99" s="739"/>
      <c r="BA99" s="739"/>
      <c r="BB99" s="739"/>
      <c r="BC99" s="739"/>
      <c r="BD99" s="739"/>
      <c r="BE99" s="739"/>
      <c r="BF99" s="739"/>
      <c r="BG99" s="739"/>
      <c r="BH99" s="739"/>
      <c r="BI99" s="739"/>
      <c r="BJ99" s="739"/>
      <c r="BK99" s="739"/>
      <c r="BL99" s="739"/>
    </row>
    <row r="100" spans="7:64" x14ac:dyDescent="0.25">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739"/>
      <c r="AI100" s="739"/>
      <c r="AJ100" s="739"/>
      <c r="AK100" s="739"/>
      <c r="AL100" s="739"/>
      <c r="AM100" s="739"/>
      <c r="AN100" s="739"/>
      <c r="AO100" s="739"/>
      <c r="AP100" s="739"/>
      <c r="AQ100" s="739"/>
      <c r="AR100" s="739"/>
      <c r="AS100" s="739"/>
      <c r="AT100" s="739"/>
      <c r="AU100" s="739"/>
      <c r="AV100" s="739"/>
      <c r="AW100" s="739"/>
      <c r="AX100" s="739"/>
      <c r="AY100" s="739"/>
      <c r="AZ100" s="739"/>
      <c r="BA100" s="739"/>
      <c r="BB100" s="739"/>
      <c r="BC100" s="739"/>
      <c r="BD100" s="739"/>
      <c r="BE100" s="739"/>
      <c r="BF100" s="739"/>
      <c r="BG100" s="739"/>
      <c r="BH100" s="739"/>
      <c r="BI100" s="739"/>
      <c r="BJ100" s="739"/>
      <c r="BK100" s="739"/>
      <c r="BL100" s="739"/>
    </row>
    <row r="101" spans="7:64" x14ac:dyDescent="0.25">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739"/>
      <c r="AI101" s="739"/>
      <c r="AJ101" s="739"/>
      <c r="AK101" s="739"/>
      <c r="AL101" s="739"/>
      <c r="AM101" s="739"/>
      <c r="AN101" s="739"/>
      <c r="AO101" s="739"/>
      <c r="AP101" s="739"/>
      <c r="AQ101" s="739"/>
      <c r="AR101" s="739"/>
      <c r="AS101" s="739"/>
      <c r="AT101" s="739"/>
      <c r="AU101" s="739"/>
      <c r="AV101" s="739"/>
      <c r="AW101" s="739"/>
      <c r="AX101" s="739"/>
      <c r="AY101" s="739"/>
      <c r="AZ101" s="739"/>
      <c r="BA101" s="739"/>
      <c r="BB101" s="739"/>
      <c r="BC101" s="739"/>
      <c r="BD101" s="739"/>
      <c r="BE101" s="739"/>
      <c r="BF101" s="739"/>
      <c r="BG101" s="739"/>
      <c r="BH101" s="739"/>
      <c r="BI101" s="739"/>
      <c r="BJ101" s="739"/>
      <c r="BK101" s="739"/>
      <c r="BL101" s="739"/>
    </row>
    <row r="102" spans="7:64" x14ac:dyDescent="0.25">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739"/>
      <c r="AI102" s="739"/>
      <c r="AJ102" s="739"/>
      <c r="AK102" s="739"/>
      <c r="AL102" s="739"/>
      <c r="AM102" s="739"/>
      <c r="AN102" s="739"/>
      <c r="AO102" s="739"/>
      <c r="AP102" s="739"/>
      <c r="AQ102" s="739"/>
      <c r="AR102" s="739"/>
      <c r="AS102" s="739"/>
      <c r="AT102" s="739"/>
      <c r="AU102" s="739"/>
      <c r="AV102" s="739"/>
      <c r="AW102" s="739"/>
      <c r="AX102" s="739"/>
      <c r="AY102" s="739"/>
      <c r="AZ102" s="739"/>
      <c r="BA102" s="739"/>
      <c r="BB102" s="739"/>
      <c r="BC102" s="739"/>
      <c r="BD102" s="739"/>
      <c r="BE102" s="739"/>
      <c r="BF102" s="739"/>
      <c r="BG102" s="739"/>
      <c r="BH102" s="739"/>
      <c r="BI102" s="739"/>
      <c r="BJ102" s="739"/>
      <c r="BK102" s="739"/>
      <c r="BL102" s="739"/>
    </row>
    <row r="103" spans="7:64" x14ac:dyDescent="0.25">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739"/>
      <c r="AI103" s="739"/>
      <c r="AJ103" s="739"/>
      <c r="AK103" s="739"/>
      <c r="AL103" s="739"/>
      <c r="AM103" s="739"/>
      <c r="AN103" s="739"/>
      <c r="AO103" s="739"/>
      <c r="AP103" s="739"/>
      <c r="AQ103" s="739"/>
      <c r="AR103" s="739"/>
      <c r="AS103" s="739"/>
      <c r="AT103" s="739"/>
      <c r="AU103" s="739"/>
      <c r="AV103" s="739"/>
      <c r="AW103" s="739"/>
      <c r="AX103" s="739"/>
      <c r="AY103" s="739"/>
      <c r="AZ103" s="739"/>
      <c r="BA103" s="739"/>
      <c r="BB103" s="739"/>
      <c r="BC103" s="739"/>
      <c r="BD103" s="739"/>
      <c r="BE103" s="739"/>
      <c r="BF103" s="739"/>
      <c r="BG103" s="739"/>
      <c r="BH103" s="739"/>
      <c r="BI103" s="739"/>
      <c r="BJ103" s="739"/>
      <c r="BK103" s="739"/>
      <c r="BL103" s="739"/>
    </row>
    <row r="104" spans="7:64" x14ac:dyDescent="0.25">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739"/>
      <c r="AI104" s="739"/>
      <c r="AJ104" s="739"/>
      <c r="AK104" s="739"/>
      <c r="AL104" s="739"/>
      <c r="AM104" s="739"/>
      <c r="AN104" s="739"/>
      <c r="AO104" s="739"/>
      <c r="AP104" s="739"/>
      <c r="AQ104" s="739"/>
      <c r="AR104" s="739"/>
      <c r="AS104" s="739"/>
      <c r="AT104" s="739"/>
      <c r="AU104" s="739"/>
      <c r="AV104" s="739"/>
      <c r="AW104" s="739"/>
      <c r="AX104" s="739"/>
      <c r="AY104" s="739"/>
      <c r="AZ104" s="739"/>
      <c r="BA104" s="739"/>
      <c r="BB104" s="739"/>
      <c r="BC104" s="739"/>
      <c r="BD104" s="739"/>
      <c r="BE104" s="739"/>
      <c r="BF104" s="739"/>
      <c r="BG104" s="739"/>
      <c r="BH104" s="739"/>
      <c r="BI104" s="739"/>
      <c r="BJ104" s="739"/>
      <c r="BK104" s="739"/>
      <c r="BL104" s="739"/>
    </row>
    <row r="105" spans="7:64" x14ac:dyDescent="0.25">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739"/>
      <c r="AI105" s="739"/>
      <c r="AJ105" s="739"/>
      <c r="AK105" s="739"/>
      <c r="AL105" s="739"/>
      <c r="AM105" s="739"/>
      <c r="AN105" s="739"/>
      <c r="AO105" s="739"/>
      <c r="AP105" s="739"/>
      <c r="AQ105" s="739"/>
      <c r="AR105" s="739"/>
      <c r="AS105" s="739"/>
      <c r="AT105" s="739"/>
      <c r="AU105" s="739"/>
      <c r="AV105" s="739"/>
      <c r="AW105" s="739"/>
      <c r="AX105" s="739"/>
      <c r="AY105" s="739"/>
      <c r="AZ105" s="739"/>
      <c r="BA105" s="739"/>
      <c r="BB105" s="739"/>
      <c r="BC105" s="739"/>
      <c r="BD105" s="739"/>
      <c r="BE105" s="739"/>
      <c r="BF105" s="739"/>
      <c r="BG105" s="739"/>
      <c r="BH105" s="739"/>
      <c r="BI105" s="739"/>
      <c r="BJ105" s="739"/>
      <c r="BK105" s="739"/>
      <c r="BL105" s="739"/>
    </row>
    <row r="106" spans="7:64" x14ac:dyDescent="0.25">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739"/>
      <c r="AI106" s="739"/>
      <c r="AJ106" s="739"/>
      <c r="AK106" s="739"/>
      <c r="AL106" s="739"/>
      <c r="AM106" s="739"/>
      <c r="AN106" s="739"/>
      <c r="AO106" s="739"/>
      <c r="AP106" s="739"/>
      <c r="AQ106" s="739"/>
      <c r="AR106" s="739"/>
      <c r="AS106" s="739"/>
      <c r="AT106" s="739"/>
      <c r="AU106" s="739"/>
      <c r="AV106" s="739"/>
      <c r="AW106" s="739"/>
      <c r="AX106" s="739"/>
      <c r="AY106" s="739"/>
      <c r="AZ106" s="739"/>
      <c r="BA106" s="739"/>
      <c r="BB106" s="739"/>
      <c r="BC106" s="739"/>
      <c r="BD106" s="739"/>
      <c r="BE106" s="739"/>
      <c r="BF106" s="739"/>
      <c r="BG106" s="739"/>
      <c r="BH106" s="739"/>
      <c r="BI106" s="739"/>
      <c r="BJ106" s="739"/>
      <c r="BK106" s="739"/>
      <c r="BL106" s="739"/>
    </row>
    <row r="107" spans="7:64" x14ac:dyDescent="0.25">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739"/>
      <c r="AI107" s="739"/>
      <c r="AJ107" s="739"/>
      <c r="AK107" s="739"/>
      <c r="AL107" s="739"/>
      <c r="AM107" s="739"/>
      <c r="AN107" s="739"/>
      <c r="AO107" s="739"/>
      <c r="AP107" s="739"/>
      <c r="AQ107" s="739"/>
      <c r="AR107" s="739"/>
      <c r="AS107" s="739"/>
      <c r="AT107" s="739"/>
      <c r="AU107" s="739"/>
      <c r="AV107" s="739"/>
      <c r="AW107" s="739"/>
      <c r="AX107" s="739"/>
      <c r="AY107" s="739"/>
      <c r="AZ107" s="739"/>
      <c r="BA107" s="739"/>
      <c r="BB107" s="739"/>
      <c r="BC107" s="739"/>
      <c r="BD107" s="739"/>
      <c r="BE107" s="739"/>
      <c r="BF107" s="739"/>
      <c r="BG107" s="739"/>
      <c r="BH107" s="739"/>
      <c r="BI107" s="739"/>
      <c r="BJ107" s="739"/>
      <c r="BK107" s="739"/>
      <c r="BL107" s="739"/>
    </row>
    <row r="108" spans="7:64" x14ac:dyDescent="0.25">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739"/>
      <c r="AI108" s="739"/>
      <c r="AJ108" s="739"/>
      <c r="AK108" s="739"/>
      <c r="AL108" s="739"/>
      <c r="AM108" s="739"/>
      <c r="AN108" s="739"/>
      <c r="AO108" s="739"/>
      <c r="AP108" s="739"/>
      <c r="AQ108" s="739"/>
      <c r="AR108" s="739"/>
      <c r="AS108" s="739"/>
      <c r="AT108" s="739"/>
      <c r="AU108" s="739"/>
      <c r="AV108" s="739"/>
      <c r="AW108" s="739"/>
      <c r="AX108" s="739"/>
      <c r="AY108" s="739"/>
      <c r="AZ108" s="739"/>
      <c r="BA108" s="739"/>
      <c r="BB108" s="739"/>
      <c r="BC108" s="739"/>
      <c r="BD108" s="739"/>
      <c r="BE108" s="739"/>
      <c r="BF108" s="739"/>
      <c r="BG108" s="739"/>
      <c r="BH108" s="739"/>
      <c r="BI108" s="739"/>
      <c r="BJ108" s="739"/>
      <c r="BK108" s="739"/>
      <c r="BL108" s="739"/>
    </row>
    <row r="109" spans="7:64" x14ac:dyDescent="0.25">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739"/>
      <c r="AI109" s="739"/>
      <c r="AJ109" s="739"/>
      <c r="AK109" s="739"/>
      <c r="AL109" s="739"/>
      <c r="AM109" s="739"/>
      <c r="AN109" s="739"/>
      <c r="AO109" s="739"/>
      <c r="AP109" s="739"/>
      <c r="AQ109" s="739"/>
      <c r="AR109" s="739"/>
      <c r="AS109" s="739"/>
      <c r="AT109" s="739"/>
      <c r="AU109" s="739"/>
      <c r="AV109" s="739"/>
      <c r="AW109" s="739"/>
      <c r="AX109" s="739"/>
      <c r="AY109" s="739"/>
      <c r="AZ109" s="739"/>
      <c r="BA109" s="739"/>
      <c r="BB109" s="739"/>
      <c r="BC109" s="739"/>
      <c r="BD109" s="739"/>
      <c r="BE109" s="739"/>
      <c r="BF109" s="739"/>
      <c r="BG109" s="739"/>
      <c r="BH109" s="739"/>
      <c r="BI109" s="739"/>
      <c r="BJ109" s="739"/>
      <c r="BK109" s="739"/>
      <c r="BL109" s="739"/>
    </row>
    <row r="110" spans="7:64" x14ac:dyDescent="0.25">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739"/>
      <c r="AI110" s="739"/>
      <c r="AJ110" s="739"/>
      <c r="AK110" s="739"/>
      <c r="AL110" s="739"/>
      <c r="AM110" s="739"/>
      <c r="AN110" s="739"/>
      <c r="AO110" s="739"/>
      <c r="AP110" s="739"/>
      <c r="AQ110" s="739"/>
      <c r="AR110" s="739"/>
      <c r="AS110" s="739"/>
      <c r="AT110" s="739"/>
      <c r="AU110" s="739"/>
      <c r="AV110" s="739"/>
      <c r="AW110" s="739"/>
      <c r="AX110" s="739"/>
      <c r="AY110" s="739"/>
      <c r="AZ110" s="739"/>
      <c r="BA110" s="739"/>
      <c r="BB110" s="739"/>
      <c r="BC110" s="739"/>
      <c r="BD110" s="739"/>
      <c r="BE110" s="739"/>
      <c r="BF110" s="739"/>
      <c r="BG110" s="739"/>
      <c r="BH110" s="739"/>
      <c r="BI110" s="739"/>
      <c r="BJ110" s="739"/>
      <c r="BK110" s="739"/>
      <c r="BL110" s="739"/>
    </row>
    <row r="111" spans="7:64" x14ac:dyDescent="0.25">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739"/>
      <c r="AI111" s="739"/>
      <c r="AJ111" s="739"/>
      <c r="AK111" s="739"/>
      <c r="AL111" s="739"/>
      <c r="AM111" s="739"/>
      <c r="AN111" s="739"/>
      <c r="AO111" s="739"/>
      <c r="AP111" s="739"/>
      <c r="AQ111" s="739"/>
      <c r="AR111" s="739"/>
      <c r="AS111" s="739"/>
      <c r="AT111" s="739"/>
      <c r="AU111" s="739"/>
      <c r="AV111" s="739"/>
      <c r="AW111" s="739"/>
      <c r="AX111" s="739"/>
      <c r="AY111" s="739"/>
      <c r="AZ111" s="739"/>
      <c r="BA111" s="739"/>
      <c r="BB111" s="739"/>
      <c r="BC111" s="739"/>
      <c r="BD111" s="739"/>
      <c r="BE111" s="739"/>
      <c r="BF111" s="739"/>
      <c r="BG111" s="739"/>
      <c r="BH111" s="739"/>
      <c r="BI111" s="739"/>
      <c r="BJ111" s="739"/>
      <c r="BK111" s="739"/>
      <c r="BL111" s="739"/>
    </row>
    <row r="112" spans="7:64" x14ac:dyDescent="0.25">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739"/>
      <c r="AI112" s="739"/>
      <c r="AJ112" s="739"/>
      <c r="AK112" s="739"/>
      <c r="AL112" s="739"/>
      <c r="AM112" s="739"/>
      <c r="AN112" s="739"/>
      <c r="AO112" s="739"/>
      <c r="AP112" s="739"/>
      <c r="AQ112" s="739"/>
      <c r="AR112" s="739"/>
      <c r="AS112" s="739"/>
      <c r="AT112" s="739"/>
      <c r="AU112" s="739"/>
      <c r="AV112" s="739"/>
      <c r="AW112" s="739"/>
      <c r="AX112" s="739"/>
      <c r="AY112" s="739"/>
      <c r="AZ112" s="739"/>
      <c r="BA112" s="739"/>
      <c r="BB112" s="739"/>
      <c r="BC112" s="739"/>
      <c r="BD112" s="739"/>
      <c r="BE112" s="739"/>
      <c r="BF112" s="739"/>
      <c r="BG112" s="739"/>
      <c r="BH112" s="739"/>
      <c r="BI112" s="739"/>
      <c r="BJ112" s="739"/>
      <c r="BK112" s="739"/>
      <c r="BL112" s="739"/>
    </row>
    <row r="113" spans="7:64" x14ac:dyDescent="0.25">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739"/>
      <c r="AI113" s="739"/>
      <c r="AJ113" s="739"/>
      <c r="AK113" s="739"/>
      <c r="AL113" s="739"/>
      <c r="AM113" s="739"/>
      <c r="AN113" s="739"/>
      <c r="AO113" s="739"/>
      <c r="AP113" s="739"/>
      <c r="AQ113" s="739"/>
      <c r="AR113" s="739"/>
      <c r="AS113" s="739"/>
      <c r="AT113" s="739"/>
      <c r="AU113" s="739"/>
      <c r="AV113" s="739"/>
      <c r="AW113" s="739"/>
      <c r="AX113" s="739"/>
      <c r="AY113" s="739"/>
      <c r="AZ113" s="739"/>
      <c r="BA113" s="739"/>
      <c r="BB113" s="739"/>
      <c r="BC113" s="739"/>
      <c r="BD113" s="739"/>
      <c r="BE113" s="739"/>
      <c r="BF113" s="739"/>
      <c r="BG113" s="739"/>
      <c r="BH113" s="739"/>
      <c r="BI113" s="739"/>
      <c r="BJ113" s="739"/>
      <c r="BK113" s="739"/>
      <c r="BL113" s="739"/>
    </row>
    <row r="114" spans="7:64" x14ac:dyDescent="0.25">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739"/>
      <c r="AI114" s="739"/>
      <c r="AJ114" s="739"/>
      <c r="AK114" s="739"/>
      <c r="AL114" s="739"/>
      <c r="AM114" s="739"/>
      <c r="AN114" s="739"/>
      <c r="AO114" s="739"/>
      <c r="AP114" s="739"/>
      <c r="AQ114" s="739"/>
      <c r="AR114" s="739"/>
      <c r="AS114" s="739"/>
      <c r="AT114" s="739"/>
      <c r="AU114" s="739"/>
      <c r="AV114" s="739"/>
      <c r="AW114" s="739"/>
      <c r="AX114" s="739"/>
      <c r="AY114" s="739"/>
      <c r="AZ114" s="739"/>
      <c r="BA114" s="739"/>
      <c r="BB114" s="739"/>
      <c r="BC114" s="739"/>
      <c r="BD114" s="739"/>
      <c r="BE114" s="739"/>
      <c r="BF114" s="739"/>
      <c r="BG114" s="739"/>
      <c r="BH114" s="739"/>
      <c r="BI114" s="739"/>
      <c r="BJ114" s="739"/>
      <c r="BK114" s="739"/>
      <c r="BL114" s="739"/>
    </row>
    <row r="115" spans="7:64" x14ac:dyDescent="0.25">
      <c r="G115" s="658"/>
      <c r="H115" s="658"/>
      <c r="I115" s="658"/>
      <c r="J115" s="658"/>
      <c r="K115" s="658"/>
      <c r="L115" s="658"/>
      <c r="M115" s="658"/>
      <c r="N115" s="658"/>
      <c r="O115" s="658"/>
      <c r="P115" s="658"/>
      <c r="Q115" s="658"/>
      <c r="R115" s="658"/>
      <c r="S115" s="658"/>
      <c r="T115" s="658"/>
      <c r="U115" s="658"/>
      <c r="V115" s="658"/>
      <c r="W115" s="658"/>
      <c r="X115" s="658"/>
      <c r="Y115" s="658"/>
      <c r="Z115" s="658"/>
      <c r="AA115" s="658"/>
      <c r="AB115" s="658"/>
      <c r="AC115" s="658"/>
      <c r="AD115" s="658"/>
      <c r="AE115" s="658"/>
      <c r="AF115" s="658"/>
      <c r="AG115" s="658"/>
      <c r="AH115" s="739"/>
      <c r="AI115" s="739"/>
      <c r="AJ115" s="739"/>
      <c r="AK115" s="739"/>
      <c r="AL115" s="739"/>
      <c r="AM115" s="739"/>
      <c r="AN115" s="739"/>
      <c r="AO115" s="739"/>
      <c r="AP115" s="739"/>
      <c r="AQ115" s="739"/>
      <c r="AR115" s="739"/>
      <c r="AS115" s="739"/>
      <c r="AT115" s="739"/>
      <c r="AU115" s="739"/>
      <c r="AV115" s="739"/>
      <c r="AW115" s="739"/>
      <c r="AX115" s="739"/>
      <c r="AY115" s="739"/>
      <c r="AZ115" s="739"/>
      <c r="BA115" s="739"/>
      <c r="BB115" s="739"/>
      <c r="BC115" s="739"/>
      <c r="BD115" s="739"/>
      <c r="BE115" s="739"/>
      <c r="BF115" s="739"/>
      <c r="BG115" s="739"/>
      <c r="BH115" s="739"/>
      <c r="BI115" s="739"/>
      <c r="BJ115" s="739"/>
      <c r="BK115" s="739"/>
      <c r="BL115" s="739"/>
    </row>
    <row r="116" spans="7:64" x14ac:dyDescent="0.25">
      <c r="G116" s="658"/>
      <c r="H116" s="658"/>
      <c r="I116" s="658"/>
      <c r="J116" s="658"/>
      <c r="K116" s="658"/>
      <c r="L116" s="658"/>
      <c r="M116" s="658"/>
      <c r="N116" s="658"/>
      <c r="O116" s="658"/>
      <c r="P116" s="658"/>
      <c r="Q116" s="658"/>
      <c r="R116" s="658"/>
      <c r="S116" s="658"/>
      <c r="T116" s="658"/>
      <c r="U116" s="658"/>
      <c r="V116" s="658"/>
      <c r="W116" s="658"/>
      <c r="X116" s="658"/>
      <c r="Y116" s="658"/>
      <c r="Z116" s="658"/>
      <c r="AA116" s="658"/>
      <c r="AB116" s="658"/>
      <c r="AC116" s="658"/>
      <c r="AD116" s="658"/>
      <c r="AE116" s="658"/>
      <c r="AF116" s="658"/>
      <c r="AG116" s="658"/>
      <c r="AH116" s="739"/>
      <c r="AI116" s="739"/>
      <c r="AJ116" s="739"/>
      <c r="AK116" s="739"/>
      <c r="AL116" s="739"/>
      <c r="AM116" s="739"/>
      <c r="AN116" s="739"/>
      <c r="AO116" s="739"/>
      <c r="AP116" s="739"/>
      <c r="AQ116" s="739"/>
      <c r="AR116" s="739"/>
      <c r="AS116" s="739"/>
      <c r="AT116" s="739"/>
      <c r="AU116" s="739"/>
      <c r="AV116" s="739"/>
      <c r="AW116" s="739"/>
      <c r="AX116" s="739"/>
      <c r="AY116" s="739"/>
      <c r="AZ116" s="739"/>
      <c r="BA116" s="739"/>
      <c r="BB116" s="739"/>
      <c r="BC116" s="739"/>
      <c r="BD116" s="739"/>
      <c r="BE116" s="739"/>
      <c r="BF116" s="739"/>
      <c r="BG116" s="739"/>
      <c r="BH116" s="739"/>
      <c r="BI116" s="739"/>
      <c r="BJ116" s="739"/>
      <c r="BK116" s="739"/>
      <c r="BL116" s="739"/>
    </row>
    <row r="117" spans="7:64" x14ac:dyDescent="0.25">
      <c r="G117" s="658"/>
      <c r="H117" s="658"/>
      <c r="I117" s="658"/>
      <c r="J117" s="658"/>
      <c r="K117" s="658"/>
      <c r="L117" s="658"/>
      <c r="M117" s="658"/>
      <c r="N117" s="658"/>
      <c r="O117" s="658"/>
      <c r="P117" s="658"/>
      <c r="Q117" s="658"/>
      <c r="R117" s="658"/>
      <c r="S117" s="658"/>
      <c r="T117" s="658"/>
      <c r="U117" s="658"/>
      <c r="V117" s="658"/>
      <c r="W117" s="658"/>
      <c r="X117" s="658"/>
      <c r="Y117" s="658"/>
      <c r="Z117" s="658"/>
      <c r="AA117" s="658"/>
      <c r="AB117" s="658"/>
      <c r="AC117" s="658"/>
      <c r="AD117" s="658"/>
      <c r="AE117" s="658"/>
      <c r="AF117" s="658"/>
      <c r="AG117" s="658"/>
      <c r="AH117" s="739"/>
      <c r="AI117" s="739"/>
      <c r="AJ117" s="739"/>
      <c r="AK117" s="739"/>
      <c r="AL117" s="739"/>
      <c r="AM117" s="739"/>
      <c r="AN117" s="739"/>
      <c r="AO117" s="739"/>
      <c r="AP117" s="739"/>
      <c r="AQ117" s="739"/>
      <c r="AR117" s="739"/>
      <c r="AS117" s="739"/>
      <c r="AT117" s="739"/>
      <c r="AU117" s="739"/>
      <c r="AV117" s="739"/>
      <c r="AW117" s="739"/>
      <c r="AX117" s="739"/>
      <c r="AY117" s="739"/>
      <c r="AZ117" s="739"/>
      <c r="BA117" s="739"/>
      <c r="BB117" s="739"/>
      <c r="BC117" s="739"/>
      <c r="BD117" s="739"/>
      <c r="BE117" s="739"/>
      <c r="BF117" s="739"/>
      <c r="BG117" s="739"/>
      <c r="BH117" s="739"/>
      <c r="BI117" s="739"/>
      <c r="BJ117" s="739"/>
      <c r="BK117" s="739"/>
      <c r="BL117" s="739"/>
    </row>
    <row r="118" spans="7:64" x14ac:dyDescent="0.25">
      <c r="G118" s="658"/>
      <c r="H118" s="658"/>
      <c r="I118" s="658"/>
      <c r="J118" s="658"/>
      <c r="K118" s="658"/>
      <c r="L118" s="658"/>
      <c r="M118" s="658"/>
      <c r="N118" s="658"/>
      <c r="O118" s="658"/>
      <c r="P118" s="658"/>
      <c r="Q118" s="658"/>
      <c r="R118" s="658"/>
      <c r="S118" s="658"/>
      <c r="T118" s="658"/>
      <c r="U118" s="658"/>
      <c r="V118" s="658"/>
      <c r="W118" s="658"/>
      <c r="X118" s="658"/>
      <c r="Y118" s="658"/>
      <c r="Z118" s="658"/>
      <c r="AA118" s="658"/>
      <c r="AB118" s="658"/>
      <c r="AC118" s="658"/>
      <c r="AD118" s="658"/>
      <c r="AE118" s="658"/>
      <c r="AF118" s="658"/>
      <c r="AG118" s="658"/>
      <c r="AH118" s="739"/>
      <c r="AI118" s="739"/>
      <c r="AJ118" s="739"/>
      <c r="AK118" s="739"/>
      <c r="AL118" s="739"/>
      <c r="AM118" s="739"/>
      <c r="AN118" s="739"/>
      <c r="AO118" s="739"/>
      <c r="AP118" s="739"/>
      <c r="AQ118" s="739"/>
      <c r="AR118" s="739"/>
      <c r="AS118" s="739"/>
      <c r="AT118" s="739"/>
      <c r="AU118" s="739"/>
      <c r="AV118" s="739"/>
      <c r="AW118" s="739"/>
      <c r="AX118" s="739"/>
      <c r="AY118" s="739"/>
      <c r="AZ118" s="739"/>
      <c r="BA118" s="739"/>
      <c r="BB118" s="739"/>
      <c r="BC118" s="739"/>
      <c r="BD118" s="739"/>
      <c r="BE118" s="739"/>
      <c r="BF118" s="739"/>
      <c r="BG118" s="739"/>
      <c r="BH118" s="739"/>
      <c r="BI118" s="739"/>
      <c r="BJ118" s="739"/>
      <c r="BK118" s="739"/>
      <c r="BL118" s="739"/>
    </row>
    <row r="119" spans="7:64" x14ac:dyDescent="0.25">
      <c r="G119" s="658"/>
      <c r="H119" s="658"/>
      <c r="I119" s="658"/>
      <c r="J119" s="658"/>
      <c r="K119" s="658"/>
      <c r="L119" s="658"/>
      <c r="M119" s="658"/>
      <c r="N119" s="658"/>
      <c r="O119" s="658"/>
      <c r="P119" s="658"/>
      <c r="Q119" s="658"/>
      <c r="R119" s="658"/>
      <c r="S119" s="658"/>
      <c r="T119" s="658"/>
      <c r="U119" s="658"/>
      <c r="V119" s="658"/>
      <c r="W119" s="658"/>
      <c r="X119" s="658"/>
      <c r="Y119" s="658"/>
      <c r="Z119" s="658"/>
      <c r="AA119" s="658"/>
      <c r="AB119" s="658"/>
      <c r="AC119" s="658"/>
      <c r="AD119" s="658"/>
      <c r="AE119" s="658"/>
      <c r="AF119" s="658"/>
      <c r="AG119" s="658"/>
      <c r="AH119" s="739"/>
      <c r="AI119" s="739"/>
      <c r="AJ119" s="739"/>
      <c r="AK119" s="739"/>
      <c r="AL119" s="739"/>
      <c r="AM119" s="739"/>
      <c r="AN119" s="739"/>
      <c r="AO119" s="739"/>
      <c r="AP119" s="739"/>
      <c r="AQ119" s="739"/>
      <c r="AR119" s="739"/>
      <c r="AS119" s="739"/>
      <c r="AT119" s="739"/>
      <c r="AU119" s="739"/>
      <c r="AV119" s="739"/>
      <c r="AW119" s="739"/>
      <c r="AX119" s="739"/>
      <c r="AY119" s="739"/>
      <c r="AZ119" s="739"/>
      <c r="BA119" s="739"/>
      <c r="BB119" s="739"/>
      <c r="BC119" s="739"/>
      <c r="BD119" s="739"/>
      <c r="BE119" s="739"/>
      <c r="BF119" s="739"/>
      <c r="BG119" s="739"/>
      <c r="BH119" s="739"/>
      <c r="BI119" s="739"/>
      <c r="BJ119" s="739"/>
      <c r="BK119" s="739"/>
      <c r="BL119" s="739"/>
    </row>
    <row r="120" spans="7:64" x14ac:dyDescent="0.25">
      <c r="G120" s="658"/>
      <c r="H120" s="658"/>
      <c r="I120" s="658"/>
      <c r="J120" s="658"/>
      <c r="K120" s="658"/>
      <c r="L120" s="658"/>
      <c r="M120" s="658"/>
      <c r="N120" s="658"/>
      <c r="O120" s="658"/>
      <c r="P120" s="658"/>
      <c r="Q120" s="658"/>
      <c r="R120" s="658"/>
      <c r="S120" s="658"/>
      <c r="T120" s="658"/>
      <c r="U120" s="658"/>
      <c r="V120" s="658"/>
      <c r="W120" s="658"/>
      <c r="X120" s="658"/>
      <c r="Y120" s="658"/>
      <c r="Z120" s="658"/>
      <c r="AA120" s="658"/>
      <c r="AB120" s="658"/>
      <c r="AC120" s="658"/>
      <c r="AD120" s="658"/>
      <c r="AE120" s="658"/>
      <c r="AF120" s="658"/>
      <c r="AG120" s="658"/>
      <c r="AH120" s="739"/>
      <c r="AI120" s="739"/>
      <c r="AJ120" s="739"/>
      <c r="AK120" s="739"/>
      <c r="AL120" s="739"/>
      <c r="AM120" s="739"/>
      <c r="AN120" s="739"/>
      <c r="AO120" s="739"/>
      <c r="AP120" s="739"/>
      <c r="AQ120" s="739"/>
      <c r="AR120" s="739"/>
      <c r="AS120" s="739"/>
      <c r="AT120" s="739"/>
      <c r="AU120" s="739"/>
      <c r="AV120" s="739"/>
      <c r="AW120" s="739"/>
      <c r="AX120" s="739"/>
      <c r="AY120" s="739"/>
      <c r="AZ120" s="739"/>
      <c r="BA120" s="739"/>
      <c r="BB120" s="739"/>
      <c r="BC120" s="739"/>
      <c r="BD120" s="739"/>
      <c r="BE120" s="739"/>
      <c r="BF120" s="739"/>
      <c r="BG120" s="739"/>
      <c r="BH120" s="739"/>
      <c r="BI120" s="739"/>
      <c r="BJ120" s="739"/>
      <c r="BK120" s="739"/>
      <c r="BL120" s="739"/>
    </row>
    <row r="121" spans="7:64" x14ac:dyDescent="0.25">
      <c r="G121" s="658"/>
      <c r="H121" s="658"/>
      <c r="I121" s="658"/>
      <c r="J121" s="658"/>
      <c r="K121" s="658"/>
      <c r="L121" s="658"/>
      <c r="M121" s="658"/>
      <c r="N121" s="658"/>
      <c r="O121" s="658"/>
      <c r="P121" s="658"/>
      <c r="Q121" s="658"/>
      <c r="R121" s="658"/>
      <c r="S121" s="658"/>
      <c r="T121" s="658"/>
      <c r="U121" s="658"/>
      <c r="V121" s="658"/>
      <c r="W121" s="658"/>
      <c r="X121" s="658"/>
      <c r="Y121" s="658"/>
      <c r="Z121" s="658"/>
      <c r="AA121" s="658"/>
      <c r="AB121" s="658"/>
      <c r="AC121" s="658"/>
      <c r="AD121" s="658"/>
      <c r="AE121" s="658"/>
      <c r="AF121" s="658"/>
      <c r="AG121" s="658"/>
      <c r="AH121" s="739"/>
      <c r="AI121" s="739"/>
      <c r="AJ121" s="739"/>
      <c r="AK121" s="739"/>
      <c r="AL121" s="739"/>
      <c r="AM121" s="739"/>
      <c r="AN121" s="739"/>
      <c r="AO121" s="739"/>
      <c r="AP121" s="739"/>
      <c r="AQ121" s="739"/>
      <c r="AR121" s="739"/>
      <c r="AS121" s="739"/>
      <c r="AT121" s="739"/>
      <c r="AU121" s="739"/>
      <c r="AV121" s="739"/>
      <c r="AW121" s="739"/>
      <c r="AX121" s="739"/>
      <c r="AY121" s="739"/>
      <c r="AZ121" s="739"/>
      <c r="BA121" s="739"/>
      <c r="BB121" s="739"/>
      <c r="BC121" s="739"/>
      <c r="BD121" s="739"/>
      <c r="BE121" s="739"/>
      <c r="BF121" s="739"/>
      <c r="BG121" s="739"/>
      <c r="BH121" s="739"/>
      <c r="BI121" s="739"/>
      <c r="BJ121" s="739"/>
      <c r="BK121" s="739"/>
      <c r="BL121" s="739"/>
    </row>
    <row r="122" spans="7:64" x14ac:dyDescent="0.25">
      <c r="G122" s="658"/>
      <c r="H122" s="658"/>
      <c r="I122" s="658"/>
      <c r="J122" s="658"/>
      <c r="K122" s="658"/>
      <c r="L122" s="658"/>
      <c r="M122" s="658"/>
      <c r="N122" s="658"/>
      <c r="O122" s="658"/>
      <c r="P122" s="658"/>
      <c r="Q122" s="658"/>
      <c r="R122" s="658"/>
      <c r="S122" s="658"/>
      <c r="T122" s="658"/>
      <c r="U122" s="658"/>
      <c r="V122" s="658"/>
      <c r="W122" s="658"/>
      <c r="X122" s="658"/>
      <c r="Y122" s="658"/>
      <c r="Z122" s="658"/>
      <c r="AA122" s="658"/>
      <c r="AB122" s="658"/>
      <c r="AC122" s="658"/>
      <c r="AD122" s="658"/>
      <c r="AE122" s="658"/>
      <c r="AF122" s="658"/>
      <c r="AG122" s="658"/>
      <c r="AH122" s="739"/>
      <c r="AI122" s="739"/>
      <c r="AJ122" s="739"/>
      <c r="AK122" s="739"/>
      <c r="AL122" s="739"/>
      <c r="AM122" s="739"/>
      <c r="AN122" s="739"/>
      <c r="AO122" s="739"/>
      <c r="AP122" s="739"/>
      <c r="AQ122" s="739"/>
      <c r="AR122" s="739"/>
      <c r="AS122" s="739"/>
      <c r="AT122" s="739"/>
      <c r="AU122" s="739"/>
      <c r="AV122" s="739"/>
      <c r="AW122" s="739"/>
      <c r="AX122" s="739"/>
      <c r="AY122" s="739"/>
      <c r="AZ122" s="739"/>
      <c r="BA122" s="739"/>
      <c r="BB122" s="739"/>
      <c r="BC122" s="739"/>
      <c r="BD122" s="739"/>
      <c r="BE122" s="739"/>
      <c r="BF122" s="739"/>
      <c r="BG122" s="739"/>
      <c r="BH122" s="739"/>
      <c r="BI122" s="739"/>
      <c r="BJ122" s="739"/>
      <c r="BK122" s="739"/>
      <c r="BL122" s="739"/>
    </row>
    <row r="123" spans="7:64" x14ac:dyDescent="0.25">
      <c r="G123" s="658"/>
      <c r="H123" s="658"/>
      <c r="I123" s="658"/>
      <c r="J123" s="658"/>
      <c r="K123" s="658"/>
      <c r="L123" s="658"/>
      <c r="M123" s="658"/>
      <c r="N123" s="658"/>
      <c r="O123" s="658"/>
      <c r="P123" s="658"/>
      <c r="Q123" s="658"/>
      <c r="R123" s="658"/>
      <c r="S123" s="658"/>
      <c r="T123" s="658"/>
      <c r="U123" s="658"/>
      <c r="V123" s="658"/>
      <c r="W123" s="658"/>
      <c r="X123" s="658"/>
      <c r="Y123" s="658"/>
      <c r="Z123" s="658"/>
      <c r="AA123" s="658"/>
      <c r="AB123" s="658"/>
      <c r="AC123" s="658"/>
      <c r="AD123" s="658"/>
      <c r="AE123" s="658"/>
      <c r="AF123" s="658"/>
      <c r="AG123" s="658"/>
      <c r="AH123" s="739"/>
      <c r="AI123" s="739"/>
      <c r="AJ123" s="739"/>
      <c r="AK123" s="739"/>
      <c r="AL123" s="739"/>
      <c r="AM123" s="739"/>
      <c r="AN123" s="739"/>
      <c r="AO123" s="739"/>
      <c r="AP123" s="739"/>
      <c r="AQ123" s="739"/>
      <c r="AR123" s="739"/>
      <c r="AS123" s="739"/>
      <c r="AT123" s="739"/>
      <c r="AU123" s="739"/>
      <c r="AV123" s="739"/>
      <c r="AW123" s="739"/>
      <c r="AX123" s="739"/>
      <c r="AY123" s="739"/>
      <c r="AZ123" s="739"/>
      <c r="BA123" s="739"/>
      <c r="BB123" s="739"/>
      <c r="BC123" s="739"/>
      <c r="BD123" s="739"/>
      <c r="BE123" s="739"/>
      <c r="BF123" s="739"/>
      <c r="BG123" s="739"/>
      <c r="BH123" s="739"/>
      <c r="BI123" s="739"/>
      <c r="BJ123" s="739"/>
      <c r="BK123" s="739"/>
      <c r="BL123" s="739"/>
    </row>
    <row r="124" spans="7:64" x14ac:dyDescent="0.25">
      <c r="G124" s="658"/>
      <c r="H124" s="658"/>
      <c r="I124" s="658"/>
      <c r="J124" s="658"/>
      <c r="K124" s="658"/>
      <c r="L124" s="658"/>
      <c r="M124" s="658"/>
      <c r="N124" s="658"/>
      <c r="O124" s="658"/>
      <c r="P124" s="658"/>
      <c r="Q124" s="658"/>
      <c r="R124" s="658"/>
      <c r="S124" s="658"/>
      <c r="T124" s="658"/>
      <c r="U124" s="658"/>
      <c r="V124" s="658"/>
      <c r="W124" s="658"/>
      <c r="X124" s="658"/>
      <c r="Y124" s="658"/>
      <c r="Z124" s="658"/>
      <c r="AA124" s="658"/>
      <c r="AB124" s="658"/>
      <c r="AC124" s="658"/>
      <c r="AD124" s="658"/>
      <c r="AE124" s="658"/>
      <c r="AF124" s="658"/>
      <c r="AG124" s="658"/>
      <c r="AH124" s="739"/>
      <c r="AI124" s="739"/>
      <c r="AJ124" s="739"/>
      <c r="AK124" s="739"/>
      <c r="AL124" s="739"/>
      <c r="AM124" s="739"/>
      <c r="AN124" s="739"/>
      <c r="AO124" s="739"/>
      <c r="AP124" s="739"/>
      <c r="AQ124" s="739"/>
      <c r="AR124" s="739"/>
      <c r="AS124" s="739"/>
      <c r="AT124" s="739"/>
      <c r="AU124" s="739"/>
      <c r="AV124" s="739"/>
      <c r="AW124" s="739"/>
      <c r="AX124" s="739"/>
      <c r="AY124" s="739"/>
      <c r="AZ124" s="739"/>
      <c r="BA124" s="739"/>
      <c r="BB124" s="739"/>
      <c r="BC124" s="739"/>
      <c r="BD124" s="739"/>
      <c r="BE124" s="739"/>
      <c r="BF124" s="739"/>
      <c r="BG124" s="739"/>
      <c r="BH124" s="739"/>
      <c r="BI124" s="739"/>
      <c r="BJ124" s="739"/>
      <c r="BK124" s="739"/>
      <c r="BL124" s="739"/>
    </row>
    <row r="125" spans="7:64" x14ac:dyDescent="0.25">
      <c r="G125" s="739"/>
      <c r="H125" s="739"/>
      <c r="I125" s="739"/>
      <c r="J125" s="739"/>
      <c r="K125" s="739"/>
      <c r="L125" s="739"/>
      <c r="M125" s="739"/>
      <c r="N125" s="739"/>
      <c r="O125" s="739"/>
      <c r="P125" s="739"/>
      <c r="Q125" s="739"/>
      <c r="R125" s="739"/>
      <c r="S125" s="739"/>
      <c r="T125" s="739"/>
      <c r="U125" s="739"/>
      <c r="V125" s="739"/>
      <c r="W125" s="739"/>
      <c r="X125" s="739"/>
      <c r="Y125" s="739"/>
      <c r="Z125" s="739"/>
      <c r="AA125" s="739"/>
      <c r="AB125" s="739"/>
      <c r="AC125" s="739"/>
      <c r="AD125" s="739"/>
      <c r="AE125" s="739"/>
      <c r="AF125" s="739"/>
      <c r="AG125" s="739"/>
      <c r="AH125" s="739"/>
      <c r="AI125" s="739"/>
      <c r="AJ125" s="739"/>
      <c r="AK125" s="739"/>
      <c r="AL125" s="739"/>
      <c r="AM125" s="739"/>
      <c r="AN125" s="739"/>
      <c r="AO125" s="739"/>
      <c r="AP125" s="739"/>
      <c r="AQ125" s="739"/>
      <c r="AR125" s="739"/>
      <c r="AS125" s="739"/>
      <c r="AT125" s="739"/>
      <c r="AU125" s="739"/>
      <c r="AV125" s="739"/>
      <c r="AW125" s="739"/>
      <c r="AX125" s="739"/>
      <c r="AY125" s="739"/>
      <c r="AZ125" s="739"/>
      <c r="BA125" s="739"/>
      <c r="BB125" s="739"/>
      <c r="BC125" s="739"/>
      <c r="BD125" s="739"/>
      <c r="BE125" s="739"/>
      <c r="BF125" s="739"/>
      <c r="BG125" s="739"/>
      <c r="BH125" s="739"/>
      <c r="BI125" s="739"/>
      <c r="BJ125" s="739"/>
      <c r="BK125" s="739"/>
      <c r="BL125" s="739"/>
    </row>
    <row r="126" spans="7:64" x14ac:dyDescent="0.25">
      <c r="G126" s="739"/>
      <c r="H126" s="739"/>
      <c r="I126" s="739"/>
      <c r="J126" s="739"/>
      <c r="K126" s="739"/>
      <c r="L126" s="739"/>
      <c r="M126" s="739"/>
      <c r="N126" s="739"/>
      <c r="O126" s="739"/>
      <c r="P126" s="739"/>
      <c r="Q126" s="739"/>
      <c r="R126" s="739"/>
      <c r="S126" s="739"/>
      <c r="T126" s="739"/>
      <c r="U126" s="739"/>
      <c r="V126" s="739"/>
      <c r="W126" s="739"/>
      <c r="X126" s="739"/>
      <c r="Y126" s="739"/>
      <c r="Z126" s="739"/>
      <c r="AA126" s="739"/>
      <c r="AB126" s="739"/>
      <c r="AC126" s="739"/>
      <c r="AD126" s="739"/>
      <c r="AE126" s="739"/>
      <c r="AF126" s="739"/>
      <c r="AG126" s="739"/>
      <c r="AH126" s="739"/>
      <c r="AI126" s="739"/>
      <c r="AJ126" s="739"/>
      <c r="AK126" s="739"/>
      <c r="AL126" s="739"/>
      <c r="AM126" s="739"/>
      <c r="AN126" s="739"/>
      <c r="AO126" s="739"/>
      <c r="AP126" s="739"/>
      <c r="AQ126" s="739"/>
      <c r="AR126" s="739"/>
      <c r="AS126" s="739"/>
      <c r="AT126" s="739"/>
      <c r="AU126" s="739"/>
      <c r="AV126" s="739"/>
      <c r="AW126" s="739"/>
      <c r="AX126" s="739"/>
      <c r="AY126" s="739"/>
      <c r="AZ126" s="739"/>
      <c r="BA126" s="739"/>
      <c r="BB126" s="739"/>
      <c r="BC126" s="739"/>
      <c r="BD126" s="739"/>
      <c r="BE126" s="739"/>
      <c r="BF126" s="739"/>
      <c r="BG126" s="739"/>
      <c r="BH126" s="739"/>
      <c r="BI126" s="739"/>
      <c r="BJ126" s="739"/>
      <c r="BK126" s="739"/>
      <c r="BL126" s="739"/>
    </row>
    <row r="127" spans="7:64" x14ac:dyDescent="0.25">
      <c r="G127" s="739"/>
      <c r="H127" s="739"/>
      <c r="I127" s="739"/>
      <c r="J127" s="739"/>
      <c r="K127" s="739"/>
      <c r="L127" s="739"/>
      <c r="M127" s="739"/>
      <c r="N127" s="739"/>
      <c r="O127" s="739"/>
      <c r="P127" s="739"/>
      <c r="Q127" s="739"/>
      <c r="R127" s="739"/>
      <c r="S127" s="739"/>
      <c r="T127" s="739"/>
      <c r="U127" s="739"/>
      <c r="V127" s="739"/>
      <c r="W127" s="739"/>
      <c r="X127" s="739"/>
      <c r="Y127" s="739"/>
      <c r="Z127" s="739"/>
      <c r="AA127" s="739"/>
      <c r="AB127" s="739"/>
      <c r="AC127" s="739"/>
      <c r="AD127" s="739"/>
      <c r="AE127" s="739"/>
      <c r="AF127" s="739"/>
      <c r="AG127" s="739"/>
      <c r="AH127" s="739"/>
      <c r="AI127" s="739"/>
      <c r="AJ127" s="739"/>
      <c r="AK127" s="739"/>
      <c r="AL127" s="739"/>
      <c r="AM127" s="739"/>
      <c r="AN127" s="739"/>
      <c r="AO127" s="739"/>
      <c r="AP127" s="739"/>
      <c r="AQ127" s="739"/>
      <c r="AR127" s="739"/>
      <c r="AS127" s="739"/>
      <c r="AT127" s="739"/>
      <c r="AU127" s="739"/>
      <c r="AV127" s="739"/>
      <c r="AW127" s="739"/>
      <c r="AX127" s="739"/>
      <c r="AY127" s="739"/>
      <c r="AZ127" s="739"/>
      <c r="BA127" s="739"/>
      <c r="BB127" s="739"/>
      <c r="BC127" s="739"/>
      <c r="BD127" s="739"/>
      <c r="BE127" s="739"/>
      <c r="BF127" s="739"/>
      <c r="BG127" s="739"/>
      <c r="BH127" s="739"/>
      <c r="BI127" s="739"/>
      <c r="BJ127" s="739"/>
      <c r="BK127" s="739"/>
      <c r="BL127" s="739"/>
    </row>
    <row r="128" spans="7:64" x14ac:dyDescent="0.25">
      <c r="G128" s="739"/>
      <c r="H128" s="739"/>
      <c r="I128" s="739"/>
      <c r="J128" s="739"/>
      <c r="K128" s="739"/>
      <c r="L128" s="739"/>
      <c r="M128" s="739"/>
      <c r="N128" s="739"/>
      <c r="O128" s="739"/>
      <c r="P128" s="739"/>
      <c r="Q128" s="739"/>
      <c r="R128" s="739"/>
      <c r="S128" s="739"/>
      <c r="T128" s="739"/>
      <c r="U128" s="739"/>
      <c r="V128" s="739"/>
      <c r="W128" s="739"/>
      <c r="X128" s="739"/>
      <c r="Y128" s="739"/>
      <c r="Z128" s="739"/>
      <c r="AA128" s="739"/>
      <c r="AB128" s="739"/>
      <c r="AC128" s="739"/>
      <c r="AD128" s="739"/>
      <c r="AE128" s="739"/>
      <c r="AF128" s="739"/>
      <c r="AG128" s="739"/>
      <c r="AH128" s="739"/>
      <c r="AI128" s="739"/>
      <c r="AJ128" s="739"/>
      <c r="AK128" s="739"/>
      <c r="AL128" s="739"/>
      <c r="AM128" s="739"/>
      <c r="AN128" s="739"/>
      <c r="AO128" s="739"/>
      <c r="AP128" s="739"/>
      <c r="AQ128" s="739"/>
      <c r="AR128" s="739"/>
      <c r="AS128" s="739"/>
      <c r="AT128" s="739"/>
      <c r="AU128" s="739"/>
      <c r="AV128" s="739"/>
      <c r="AW128" s="739"/>
      <c r="AX128" s="739"/>
      <c r="AY128" s="739"/>
      <c r="AZ128" s="739"/>
      <c r="BA128" s="739"/>
      <c r="BB128" s="739"/>
      <c r="BC128" s="739"/>
      <c r="BD128" s="739"/>
      <c r="BE128" s="739"/>
      <c r="BF128" s="739"/>
      <c r="BG128" s="739"/>
      <c r="BH128" s="739"/>
      <c r="BI128" s="739"/>
      <c r="BJ128" s="739"/>
      <c r="BK128" s="739"/>
      <c r="BL128" s="739"/>
    </row>
    <row r="129" spans="7:64" x14ac:dyDescent="0.25">
      <c r="G129" s="739"/>
      <c r="H129" s="739"/>
      <c r="I129" s="739"/>
      <c r="J129" s="739"/>
      <c r="K129" s="739"/>
      <c r="L129" s="739"/>
      <c r="M129" s="739"/>
      <c r="N129" s="739"/>
      <c r="O129" s="739"/>
      <c r="P129" s="739"/>
      <c r="Q129" s="739"/>
      <c r="R129" s="739"/>
      <c r="S129" s="739"/>
      <c r="T129" s="739"/>
      <c r="U129" s="739"/>
      <c r="V129" s="739"/>
      <c r="W129" s="739"/>
      <c r="X129" s="739"/>
      <c r="Y129" s="739"/>
      <c r="Z129" s="739"/>
      <c r="AA129" s="739"/>
      <c r="AB129" s="739"/>
      <c r="AC129" s="739"/>
      <c r="AD129" s="739"/>
      <c r="AE129" s="739"/>
      <c r="AF129" s="739"/>
      <c r="AG129" s="739"/>
      <c r="AH129" s="739"/>
      <c r="AI129" s="739"/>
      <c r="AJ129" s="739"/>
      <c r="AK129" s="739"/>
      <c r="AL129" s="739"/>
      <c r="AM129" s="739"/>
      <c r="AN129" s="739"/>
      <c r="AO129" s="739"/>
      <c r="AP129" s="739"/>
      <c r="AQ129" s="739"/>
      <c r="AR129" s="739"/>
      <c r="AS129" s="739"/>
      <c r="AT129" s="739"/>
      <c r="AU129" s="739"/>
      <c r="AV129" s="739"/>
      <c r="AW129" s="739"/>
      <c r="AX129" s="739"/>
      <c r="AY129" s="739"/>
      <c r="AZ129" s="739"/>
      <c r="BA129" s="739"/>
      <c r="BB129" s="739"/>
      <c r="BC129" s="739"/>
      <c r="BD129" s="739"/>
      <c r="BE129" s="739"/>
      <c r="BF129" s="739"/>
      <c r="BG129" s="739"/>
      <c r="BH129" s="739"/>
      <c r="BI129" s="739"/>
      <c r="BJ129" s="739"/>
      <c r="BK129" s="739"/>
      <c r="BL129" s="739"/>
    </row>
    <row r="130" spans="7:64" x14ac:dyDescent="0.25">
      <c r="G130" s="739"/>
      <c r="H130" s="739"/>
      <c r="I130" s="739"/>
      <c r="J130" s="739"/>
      <c r="K130" s="739"/>
      <c r="L130" s="739"/>
      <c r="M130" s="739"/>
      <c r="N130" s="739"/>
      <c r="O130" s="739"/>
      <c r="P130" s="739"/>
      <c r="Q130" s="739"/>
      <c r="R130" s="739"/>
      <c r="S130" s="739"/>
      <c r="T130" s="739"/>
      <c r="U130" s="739"/>
      <c r="V130" s="739"/>
      <c r="W130" s="739"/>
      <c r="X130" s="739"/>
      <c r="Y130" s="739"/>
      <c r="Z130" s="739"/>
      <c r="AA130" s="739"/>
      <c r="AB130" s="739"/>
      <c r="AC130" s="739"/>
      <c r="AD130" s="739"/>
      <c r="AE130" s="739"/>
      <c r="AF130" s="739"/>
      <c r="AG130" s="739"/>
      <c r="AH130" s="739"/>
      <c r="AI130" s="739"/>
      <c r="AJ130" s="739"/>
      <c r="AK130" s="739"/>
      <c r="AL130" s="739"/>
      <c r="AM130" s="739"/>
      <c r="AN130" s="739"/>
      <c r="AO130" s="739"/>
      <c r="AP130" s="739"/>
      <c r="AQ130" s="739"/>
      <c r="AR130" s="739"/>
      <c r="AS130" s="739"/>
      <c r="AT130" s="739"/>
      <c r="AU130" s="739"/>
      <c r="AV130" s="739"/>
      <c r="AW130" s="739"/>
      <c r="AX130" s="739"/>
      <c r="AY130" s="739"/>
      <c r="AZ130" s="739"/>
      <c r="BA130" s="739"/>
      <c r="BB130" s="739"/>
      <c r="BC130" s="739"/>
      <c r="BD130" s="739"/>
      <c r="BE130" s="739"/>
      <c r="BF130" s="739"/>
      <c r="BG130" s="739"/>
      <c r="BH130" s="739"/>
      <c r="BI130" s="739"/>
      <c r="BJ130" s="739"/>
      <c r="BK130" s="739"/>
      <c r="BL130" s="739"/>
    </row>
    <row r="131" spans="7:64" x14ac:dyDescent="0.25">
      <c r="G131" s="739"/>
      <c r="H131" s="739"/>
      <c r="I131" s="739"/>
      <c r="J131" s="739"/>
      <c r="K131" s="739"/>
      <c r="L131" s="739"/>
      <c r="M131" s="739"/>
      <c r="N131" s="739"/>
      <c r="O131" s="739"/>
      <c r="P131" s="739"/>
      <c r="Q131" s="739"/>
      <c r="R131" s="739"/>
      <c r="S131" s="739"/>
      <c r="T131" s="739"/>
      <c r="U131" s="739"/>
      <c r="V131" s="739"/>
      <c r="W131" s="739"/>
      <c r="X131" s="739"/>
      <c r="Y131" s="739"/>
      <c r="Z131" s="739"/>
      <c r="AA131" s="739"/>
      <c r="AB131" s="739"/>
      <c r="AC131" s="739"/>
      <c r="AD131" s="739"/>
      <c r="AE131" s="739"/>
      <c r="AF131" s="739"/>
      <c r="AG131" s="739"/>
      <c r="AH131" s="739"/>
      <c r="AI131" s="739"/>
      <c r="AJ131" s="739"/>
      <c r="AK131" s="739"/>
      <c r="AL131" s="739"/>
      <c r="AM131" s="739"/>
      <c r="AN131" s="739"/>
      <c r="AO131" s="739"/>
      <c r="AP131" s="739"/>
      <c r="AQ131" s="739"/>
      <c r="AR131" s="739"/>
      <c r="AS131" s="739"/>
      <c r="AT131" s="739"/>
      <c r="AU131" s="739"/>
      <c r="AV131" s="739"/>
      <c r="AW131" s="739"/>
      <c r="AX131" s="739"/>
      <c r="AY131" s="739"/>
      <c r="AZ131" s="739"/>
      <c r="BA131" s="739"/>
      <c r="BB131" s="739"/>
      <c r="BC131" s="739"/>
      <c r="BD131" s="739"/>
      <c r="BE131" s="739"/>
      <c r="BF131" s="739"/>
      <c r="BG131" s="739"/>
      <c r="BH131" s="739"/>
      <c r="BI131" s="739"/>
      <c r="BJ131" s="739"/>
      <c r="BK131" s="739"/>
      <c r="BL131" s="739"/>
    </row>
    <row r="132" spans="7:64" x14ac:dyDescent="0.25">
      <c r="G132" s="739"/>
      <c r="H132" s="739"/>
      <c r="I132" s="739"/>
      <c r="J132" s="739"/>
      <c r="K132" s="739"/>
      <c r="L132" s="739"/>
      <c r="M132" s="739"/>
      <c r="N132" s="739"/>
      <c r="O132" s="739"/>
      <c r="P132" s="739"/>
      <c r="Q132" s="739"/>
      <c r="R132" s="739"/>
      <c r="S132" s="739"/>
      <c r="T132" s="739"/>
      <c r="U132" s="739"/>
      <c r="V132" s="739"/>
      <c r="W132" s="739"/>
      <c r="X132" s="739"/>
      <c r="Y132" s="739"/>
      <c r="Z132" s="739"/>
      <c r="AA132" s="739"/>
      <c r="AB132" s="739"/>
      <c r="AC132" s="739"/>
      <c r="AD132" s="739"/>
      <c r="AE132" s="739"/>
      <c r="AF132" s="739"/>
      <c r="AG132" s="739"/>
      <c r="AH132" s="739"/>
      <c r="AI132" s="739"/>
      <c r="AJ132" s="739"/>
      <c r="AK132" s="739"/>
      <c r="AL132" s="739"/>
      <c r="AM132" s="739"/>
      <c r="AN132" s="739"/>
      <c r="AO132" s="739"/>
      <c r="AP132" s="739"/>
      <c r="AQ132" s="739"/>
      <c r="AR132" s="739"/>
      <c r="AS132" s="739"/>
      <c r="AT132" s="739"/>
      <c r="AU132" s="739"/>
      <c r="AV132" s="739"/>
      <c r="AW132" s="739"/>
      <c r="AX132" s="739"/>
      <c r="AY132" s="739"/>
      <c r="AZ132" s="739"/>
      <c r="BA132" s="739"/>
      <c r="BB132" s="739"/>
      <c r="BC132" s="739"/>
      <c r="BD132" s="739"/>
      <c r="BE132" s="739"/>
      <c r="BF132" s="739"/>
      <c r="BG132" s="739"/>
      <c r="BH132" s="739"/>
      <c r="BI132" s="739"/>
      <c r="BJ132" s="739"/>
      <c r="BK132" s="739"/>
      <c r="BL132" s="739"/>
    </row>
    <row r="133" spans="7:64" x14ac:dyDescent="0.25">
      <c r="G133" s="739"/>
      <c r="H133" s="739"/>
      <c r="I133" s="739"/>
      <c r="J133" s="739"/>
      <c r="K133" s="739"/>
      <c r="L133" s="739"/>
      <c r="M133" s="739"/>
      <c r="N133" s="739"/>
      <c r="O133" s="739"/>
      <c r="P133" s="739"/>
      <c r="Q133" s="739"/>
      <c r="R133" s="739"/>
      <c r="S133" s="739"/>
      <c r="T133" s="739"/>
      <c r="U133" s="739"/>
      <c r="V133" s="739"/>
      <c r="W133" s="739"/>
      <c r="X133" s="739"/>
      <c r="Y133" s="739"/>
      <c r="Z133" s="739"/>
      <c r="AA133" s="739"/>
      <c r="AB133" s="739"/>
      <c r="AC133" s="739"/>
      <c r="AD133" s="739"/>
      <c r="AE133" s="739"/>
      <c r="AF133" s="739"/>
      <c r="AG133" s="739"/>
      <c r="AH133" s="739"/>
      <c r="AI133" s="739"/>
      <c r="AJ133" s="739"/>
      <c r="AK133" s="739"/>
      <c r="AL133" s="739"/>
      <c r="AM133" s="739"/>
      <c r="AN133" s="739"/>
      <c r="AO133" s="739"/>
      <c r="AP133" s="739"/>
      <c r="AQ133" s="739"/>
      <c r="AR133" s="739"/>
      <c r="AS133" s="739"/>
      <c r="AT133" s="739"/>
      <c r="AU133" s="739"/>
      <c r="AV133" s="739"/>
      <c r="AW133" s="739"/>
      <c r="AX133" s="739"/>
      <c r="AY133" s="739"/>
      <c r="AZ133" s="739"/>
      <c r="BA133" s="739"/>
      <c r="BB133" s="739"/>
      <c r="BC133" s="739"/>
      <c r="BD133" s="739"/>
      <c r="BE133" s="739"/>
      <c r="BF133" s="739"/>
      <c r="BG133" s="739"/>
      <c r="BH133" s="739"/>
      <c r="BI133" s="739"/>
      <c r="BJ133" s="739"/>
      <c r="BK133" s="739"/>
      <c r="BL133" s="739"/>
    </row>
    <row r="134" spans="7:64" x14ac:dyDescent="0.25">
      <c r="G134" s="739"/>
      <c r="H134" s="739"/>
      <c r="I134" s="739"/>
      <c r="J134" s="739"/>
      <c r="K134" s="739"/>
      <c r="L134" s="739"/>
      <c r="M134" s="739"/>
      <c r="N134" s="739"/>
      <c r="O134" s="739"/>
      <c r="P134" s="739"/>
      <c r="Q134" s="739"/>
      <c r="R134" s="739"/>
      <c r="S134" s="739"/>
      <c r="T134" s="739"/>
      <c r="U134" s="739"/>
      <c r="V134" s="739"/>
      <c r="W134" s="739"/>
      <c r="X134" s="739"/>
      <c r="Y134" s="739"/>
      <c r="Z134" s="739"/>
      <c r="AA134" s="739"/>
      <c r="AB134" s="739"/>
      <c r="AC134" s="739"/>
      <c r="AD134" s="739"/>
      <c r="AE134" s="739"/>
      <c r="AF134" s="739"/>
      <c r="AG134" s="739"/>
      <c r="AH134" s="739"/>
      <c r="AI134" s="739"/>
      <c r="AJ134" s="739"/>
      <c r="AK134" s="739"/>
      <c r="AL134" s="739"/>
      <c r="AM134" s="739"/>
      <c r="AN134" s="739"/>
      <c r="AO134" s="739"/>
      <c r="AP134" s="739"/>
      <c r="AQ134" s="739"/>
      <c r="AR134" s="739"/>
      <c r="AS134" s="739"/>
      <c r="AT134" s="739"/>
      <c r="AU134" s="739"/>
      <c r="AV134" s="739"/>
      <c r="AW134" s="739"/>
      <c r="AX134" s="739"/>
      <c r="AY134" s="739"/>
      <c r="AZ134" s="739"/>
      <c r="BA134" s="739"/>
      <c r="BB134" s="739"/>
      <c r="BC134" s="739"/>
      <c r="BD134" s="739"/>
      <c r="BE134" s="739"/>
      <c r="BF134" s="739"/>
      <c r="BG134" s="739"/>
      <c r="BH134" s="739"/>
      <c r="BI134" s="739"/>
      <c r="BJ134" s="739"/>
      <c r="BK134" s="739"/>
      <c r="BL134" s="739"/>
    </row>
    <row r="135" spans="7:64" x14ac:dyDescent="0.25">
      <c r="G135" s="739"/>
      <c r="H135" s="739"/>
      <c r="I135" s="739"/>
      <c r="J135" s="739"/>
      <c r="K135" s="739"/>
      <c r="L135" s="739"/>
      <c r="M135" s="739"/>
      <c r="N135" s="739"/>
      <c r="O135" s="739"/>
      <c r="P135" s="739"/>
      <c r="Q135" s="739"/>
      <c r="R135" s="739"/>
      <c r="S135" s="739"/>
      <c r="T135" s="739"/>
      <c r="U135" s="739"/>
      <c r="V135" s="739"/>
      <c r="W135" s="739"/>
      <c r="X135" s="739"/>
      <c r="Y135" s="739"/>
      <c r="Z135" s="739"/>
      <c r="AA135" s="739"/>
      <c r="AB135" s="739"/>
      <c r="AC135" s="739"/>
      <c r="AD135" s="739"/>
      <c r="AE135" s="739"/>
      <c r="AF135" s="739"/>
      <c r="AG135" s="739"/>
      <c r="AH135" s="739"/>
      <c r="AI135" s="739"/>
      <c r="AJ135" s="739"/>
      <c r="AK135" s="739"/>
      <c r="AL135" s="739"/>
      <c r="AM135" s="739"/>
      <c r="AN135" s="739"/>
      <c r="AO135" s="739"/>
      <c r="AP135" s="739"/>
      <c r="AQ135" s="739"/>
      <c r="AR135" s="739"/>
      <c r="AS135" s="739"/>
      <c r="AT135" s="739"/>
      <c r="AU135" s="739"/>
      <c r="AV135" s="739"/>
      <c r="AW135" s="739"/>
      <c r="AX135" s="739"/>
      <c r="AY135" s="739"/>
      <c r="AZ135" s="739"/>
      <c r="BA135" s="739"/>
      <c r="BB135" s="739"/>
      <c r="BC135" s="739"/>
      <c r="BD135" s="739"/>
      <c r="BE135" s="739"/>
      <c r="BF135" s="739"/>
      <c r="BG135" s="739"/>
      <c r="BH135" s="739"/>
      <c r="BI135" s="739"/>
      <c r="BJ135" s="739"/>
      <c r="BK135" s="739"/>
      <c r="BL135" s="739"/>
    </row>
    <row r="136" spans="7:64" x14ac:dyDescent="0.25">
      <c r="G136" s="739"/>
      <c r="H136" s="739"/>
      <c r="I136" s="739"/>
      <c r="J136" s="739"/>
      <c r="K136" s="739"/>
      <c r="L136" s="739"/>
      <c r="M136" s="739"/>
      <c r="N136" s="739"/>
      <c r="O136" s="739"/>
      <c r="P136" s="739"/>
      <c r="Q136" s="739"/>
      <c r="R136" s="739"/>
      <c r="S136" s="739"/>
      <c r="T136" s="739"/>
      <c r="U136" s="739"/>
      <c r="V136" s="739"/>
      <c r="W136" s="739"/>
      <c r="X136" s="739"/>
      <c r="Y136" s="739"/>
      <c r="Z136" s="739"/>
      <c r="AA136" s="739"/>
      <c r="AB136" s="739"/>
      <c r="AC136" s="739"/>
      <c r="AD136" s="739"/>
      <c r="AE136" s="739"/>
      <c r="AF136" s="739"/>
      <c r="AG136" s="739"/>
      <c r="AH136" s="739"/>
      <c r="AI136" s="739"/>
      <c r="AJ136" s="739"/>
      <c r="AK136" s="739"/>
      <c r="AL136" s="739"/>
      <c r="AM136" s="739"/>
      <c r="AN136" s="739"/>
      <c r="AO136" s="739"/>
      <c r="AP136" s="739"/>
      <c r="AQ136" s="739"/>
      <c r="AR136" s="739"/>
      <c r="AS136" s="739"/>
      <c r="AT136" s="739"/>
      <c r="AU136" s="739"/>
      <c r="AV136" s="739"/>
      <c r="AW136" s="739"/>
      <c r="AX136" s="739"/>
      <c r="AY136" s="739"/>
      <c r="AZ136" s="739"/>
      <c r="BA136" s="739"/>
      <c r="BB136" s="739"/>
      <c r="BC136" s="739"/>
      <c r="BD136" s="739"/>
      <c r="BE136" s="739"/>
      <c r="BF136" s="739"/>
      <c r="BG136" s="739"/>
      <c r="BH136" s="739"/>
      <c r="BI136" s="739"/>
      <c r="BJ136" s="739"/>
      <c r="BK136" s="739"/>
      <c r="BL136" s="739"/>
    </row>
    <row r="137" spans="7:64" x14ac:dyDescent="0.25">
      <c r="G137" s="739"/>
      <c r="H137" s="739"/>
      <c r="I137" s="739"/>
      <c r="J137" s="739"/>
      <c r="K137" s="739"/>
      <c r="L137" s="739"/>
      <c r="M137" s="739"/>
      <c r="N137" s="739"/>
      <c r="O137" s="739"/>
      <c r="P137" s="739"/>
      <c r="Q137" s="739"/>
      <c r="R137" s="739"/>
      <c r="S137" s="739"/>
      <c r="T137" s="739"/>
      <c r="U137" s="739"/>
      <c r="V137" s="739"/>
      <c r="W137" s="739"/>
      <c r="X137" s="739"/>
      <c r="Y137" s="739"/>
      <c r="Z137" s="739"/>
      <c r="AA137" s="739"/>
      <c r="AB137" s="739"/>
      <c r="AC137" s="739"/>
      <c r="AD137" s="739"/>
      <c r="AE137" s="739"/>
      <c r="AF137" s="739"/>
      <c r="AG137" s="739"/>
      <c r="AH137" s="739"/>
      <c r="AI137" s="739"/>
      <c r="AJ137" s="739"/>
      <c r="AK137" s="739"/>
      <c r="AL137" s="739"/>
      <c r="AM137" s="739"/>
      <c r="AN137" s="739"/>
      <c r="AO137" s="739"/>
      <c r="AP137" s="739"/>
      <c r="AQ137" s="739"/>
      <c r="AR137" s="739"/>
      <c r="AS137" s="739"/>
      <c r="AT137" s="739"/>
      <c r="AU137" s="739"/>
      <c r="AV137" s="739"/>
      <c r="AW137" s="739"/>
      <c r="AX137" s="739"/>
      <c r="AY137" s="739"/>
      <c r="AZ137" s="739"/>
      <c r="BA137" s="739"/>
      <c r="BB137" s="739"/>
      <c r="BC137" s="739"/>
      <c r="BD137" s="739"/>
      <c r="BE137" s="739"/>
      <c r="BF137" s="739"/>
      <c r="BG137" s="739"/>
      <c r="BH137" s="739"/>
      <c r="BI137" s="739"/>
      <c r="BJ137" s="739"/>
      <c r="BK137" s="739"/>
      <c r="BL137" s="739"/>
    </row>
    <row r="138" spans="7:64" x14ac:dyDescent="0.25">
      <c r="G138" s="739"/>
      <c r="H138" s="739"/>
      <c r="I138" s="739"/>
      <c r="J138" s="739"/>
      <c r="K138" s="739"/>
      <c r="L138" s="739"/>
      <c r="M138" s="739"/>
      <c r="N138" s="739"/>
      <c r="O138" s="739"/>
      <c r="P138" s="739"/>
      <c r="Q138" s="739"/>
      <c r="R138" s="739"/>
      <c r="S138" s="739"/>
      <c r="T138" s="739"/>
      <c r="U138" s="739"/>
      <c r="V138" s="739"/>
      <c r="W138" s="739"/>
      <c r="X138" s="739"/>
      <c r="Y138" s="739"/>
      <c r="Z138" s="739"/>
      <c r="AA138" s="739"/>
      <c r="AB138" s="739"/>
      <c r="AC138" s="739"/>
      <c r="AD138" s="739"/>
      <c r="AE138" s="739"/>
      <c r="AF138" s="739"/>
      <c r="AG138" s="739"/>
      <c r="AH138" s="739"/>
      <c r="AI138" s="739"/>
      <c r="AJ138" s="739"/>
      <c r="AK138" s="739"/>
      <c r="AL138" s="739"/>
      <c r="AM138" s="739"/>
      <c r="AN138" s="739"/>
      <c r="AO138" s="739"/>
      <c r="AP138" s="739"/>
      <c r="AQ138" s="739"/>
      <c r="AR138" s="739"/>
      <c r="AS138" s="739"/>
      <c r="AT138" s="739"/>
      <c r="AU138" s="739"/>
      <c r="AV138" s="739"/>
      <c r="AW138" s="739"/>
      <c r="AX138" s="739"/>
      <c r="AY138" s="739"/>
      <c r="AZ138" s="739"/>
      <c r="BA138" s="739"/>
      <c r="BB138" s="739"/>
      <c r="BC138" s="739"/>
      <c r="BD138" s="739"/>
      <c r="BE138" s="739"/>
      <c r="BF138" s="739"/>
      <c r="BG138" s="739"/>
      <c r="BH138" s="739"/>
      <c r="BI138" s="739"/>
      <c r="BJ138" s="739"/>
      <c r="BK138" s="739"/>
      <c r="BL138" s="739"/>
    </row>
    <row r="139" spans="7:64" x14ac:dyDescent="0.25">
      <c r="G139" s="739"/>
      <c r="H139" s="739"/>
      <c r="I139" s="739"/>
      <c r="J139" s="739"/>
      <c r="K139" s="739"/>
      <c r="L139" s="739"/>
      <c r="M139" s="739"/>
      <c r="N139" s="739"/>
      <c r="O139" s="739"/>
      <c r="P139" s="739"/>
      <c r="Q139" s="739"/>
      <c r="R139" s="739"/>
      <c r="S139" s="739"/>
      <c r="T139" s="739"/>
      <c r="U139" s="739"/>
      <c r="V139" s="739"/>
      <c r="W139" s="739"/>
      <c r="X139" s="739"/>
      <c r="Y139" s="739"/>
      <c r="Z139" s="739"/>
      <c r="AA139" s="739"/>
      <c r="AB139" s="739"/>
      <c r="AC139" s="739"/>
      <c r="AD139" s="739"/>
      <c r="AE139" s="739"/>
      <c r="AF139" s="739"/>
      <c r="AG139" s="739"/>
      <c r="AH139" s="739"/>
      <c r="AI139" s="739"/>
      <c r="AJ139" s="739"/>
      <c r="AK139" s="739"/>
      <c r="AL139" s="739"/>
      <c r="AM139" s="739"/>
      <c r="AN139" s="739"/>
      <c r="AO139" s="739"/>
      <c r="AP139" s="739"/>
      <c r="AQ139" s="739"/>
      <c r="AR139" s="739"/>
      <c r="AS139" s="739"/>
      <c r="AT139" s="739"/>
      <c r="AU139" s="739"/>
      <c r="AV139" s="739"/>
      <c r="AW139" s="739"/>
      <c r="AX139" s="739"/>
      <c r="AY139" s="739"/>
      <c r="AZ139" s="739"/>
      <c r="BA139" s="739"/>
      <c r="BB139" s="739"/>
      <c r="BC139" s="739"/>
      <c r="BD139" s="739"/>
      <c r="BE139" s="739"/>
      <c r="BF139" s="739"/>
      <c r="BG139" s="739"/>
      <c r="BH139" s="739"/>
      <c r="BI139" s="739"/>
      <c r="BJ139" s="739"/>
      <c r="BK139" s="739"/>
      <c r="BL139" s="739"/>
    </row>
    <row r="140" spans="7:64" x14ac:dyDescent="0.25">
      <c r="G140" s="739"/>
      <c r="H140" s="739"/>
      <c r="I140" s="739"/>
      <c r="J140" s="739"/>
      <c r="K140" s="739"/>
      <c r="L140" s="739"/>
      <c r="M140" s="739"/>
      <c r="N140" s="739"/>
      <c r="O140" s="739"/>
      <c r="P140" s="739"/>
      <c r="Q140" s="739"/>
      <c r="R140" s="739"/>
      <c r="S140" s="739"/>
      <c r="T140" s="739"/>
      <c r="U140" s="739"/>
      <c r="V140" s="739"/>
      <c r="W140" s="739"/>
      <c r="X140" s="739"/>
      <c r="Y140" s="739"/>
      <c r="Z140" s="739"/>
      <c r="AA140" s="739"/>
      <c r="AB140" s="739"/>
      <c r="AC140" s="739"/>
      <c r="AD140" s="739"/>
      <c r="AE140" s="739"/>
      <c r="AF140" s="739"/>
      <c r="AG140" s="739"/>
      <c r="AH140" s="739"/>
      <c r="AI140" s="739"/>
      <c r="AJ140" s="739"/>
      <c r="AK140" s="739"/>
      <c r="AL140" s="739"/>
      <c r="AM140" s="739"/>
      <c r="AN140" s="739"/>
      <c r="AO140" s="739"/>
      <c r="AP140" s="739"/>
      <c r="AQ140" s="739"/>
      <c r="AR140" s="739"/>
      <c r="AS140" s="739"/>
      <c r="AT140" s="739"/>
      <c r="AU140" s="739"/>
      <c r="AV140" s="739"/>
      <c r="AW140" s="739"/>
      <c r="AX140" s="739"/>
      <c r="AY140" s="739"/>
      <c r="AZ140" s="739"/>
      <c r="BA140" s="739"/>
      <c r="BB140" s="739"/>
      <c r="BC140" s="739"/>
      <c r="BD140" s="739"/>
      <c r="BE140" s="739"/>
      <c r="BF140" s="739"/>
      <c r="BG140" s="739"/>
      <c r="BH140" s="739"/>
      <c r="BI140" s="739"/>
      <c r="BJ140" s="739"/>
      <c r="BK140" s="739"/>
      <c r="BL140" s="739"/>
    </row>
    <row r="141" spans="7:64" x14ac:dyDescent="0.25">
      <c r="G141" s="739"/>
      <c r="H141" s="739"/>
      <c r="I141" s="739"/>
      <c r="J141" s="739"/>
      <c r="K141" s="739"/>
      <c r="L141" s="739"/>
      <c r="M141" s="739"/>
      <c r="N141" s="739"/>
      <c r="O141" s="739"/>
      <c r="P141" s="739"/>
      <c r="Q141" s="739"/>
      <c r="R141" s="739"/>
      <c r="S141" s="739"/>
      <c r="T141" s="739"/>
      <c r="U141" s="739"/>
      <c r="V141" s="739"/>
      <c r="W141" s="739"/>
      <c r="X141" s="739"/>
      <c r="Y141" s="739"/>
      <c r="Z141" s="739"/>
      <c r="AA141" s="739"/>
      <c r="AB141" s="739"/>
      <c r="AC141" s="739"/>
      <c r="AD141" s="739"/>
      <c r="AE141" s="739"/>
      <c r="AF141" s="739"/>
      <c r="AG141" s="739"/>
      <c r="AH141" s="739"/>
      <c r="AI141" s="739"/>
      <c r="AJ141" s="739"/>
      <c r="AK141" s="739"/>
      <c r="AL141" s="739"/>
      <c r="AM141" s="739"/>
      <c r="AN141" s="739"/>
      <c r="AO141" s="739"/>
      <c r="AP141" s="739"/>
      <c r="AQ141" s="739"/>
      <c r="AR141" s="739"/>
      <c r="AS141" s="739"/>
      <c r="AT141" s="739"/>
      <c r="AU141" s="739"/>
      <c r="AV141" s="739"/>
      <c r="AW141" s="739"/>
      <c r="AX141" s="739"/>
      <c r="AY141" s="739"/>
      <c r="AZ141" s="739"/>
      <c r="BA141" s="739"/>
      <c r="BB141" s="739"/>
      <c r="BC141" s="739"/>
      <c r="BD141" s="739"/>
      <c r="BE141" s="739"/>
      <c r="BF141" s="739"/>
      <c r="BG141" s="739"/>
      <c r="BH141" s="739"/>
      <c r="BI141" s="739"/>
      <c r="BJ141" s="739"/>
      <c r="BK141" s="739"/>
      <c r="BL141" s="739"/>
    </row>
    <row r="142" spans="7:64" x14ac:dyDescent="0.25">
      <c r="G142" s="739"/>
      <c r="H142" s="739"/>
      <c r="I142" s="739"/>
      <c r="J142" s="739"/>
      <c r="K142" s="739"/>
      <c r="L142" s="739"/>
      <c r="M142" s="739"/>
      <c r="N142" s="739"/>
      <c r="O142" s="739"/>
      <c r="P142" s="739"/>
      <c r="Q142" s="739"/>
      <c r="R142" s="739"/>
      <c r="S142" s="739"/>
      <c r="T142" s="739"/>
      <c r="U142" s="739"/>
      <c r="V142" s="739"/>
      <c r="W142" s="739"/>
      <c r="X142" s="739"/>
      <c r="Y142" s="739"/>
      <c r="Z142" s="739"/>
      <c r="AA142" s="739"/>
      <c r="AB142" s="739"/>
      <c r="AC142" s="739"/>
      <c r="AD142" s="739"/>
      <c r="AE142" s="739"/>
      <c r="AF142" s="739"/>
      <c r="AG142" s="739"/>
      <c r="AH142" s="739"/>
      <c r="AI142" s="739"/>
      <c r="AJ142" s="739"/>
      <c r="AK142" s="739"/>
      <c r="AL142" s="739"/>
      <c r="AM142" s="739"/>
      <c r="AN142" s="739"/>
      <c r="AO142" s="739"/>
      <c r="AP142" s="739"/>
      <c r="AQ142" s="739"/>
      <c r="AR142" s="739"/>
      <c r="AS142" s="739"/>
      <c r="AT142" s="739"/>
      <c r="AU142" s="739"/>
      <c r="AV142" s="739"/>
      <c r="AW142" s="739"/>
      <c r="AX142" s="739"/>
      <c r="AY142" s="739"/>
      <c r="AZ142" s="739"/>
      <c r="BA142" s="739"/>
      <c r="BB142" s="739"/>
      <c r="BC142" s="739"/>
      <c r="BD142" s="739"/>
      <c r="BE142" s="739"/>
      <c r="BF142" s="739"/>
      <c r="BG142" s="739"/>
      <c r="BH142" s="739"/>
      <c r="BI142" s="739"/>
      <c r="BJ142" s="739"/>
      <c r="BK142" s="739"/>
      <c r="BL142" s="739"/>
    </row>
    <row r="143" spans="7:64" x14ac:dyDescent="0.25">
      <c r="G143" s="739"/>
      <c r="H143" s="739"/>
      <c r="I143" s="739"/>
      <c r="J143" s="739"/>
      <c r="K143" s="739"/>
      <c r="L143" s="739"/>
      <c r="M143" s="739"/>
      <c r="N143" s="739"/>
      <c r="O143" s="739"/>
      <c r="P143" s="739"/>
      <c r="Q143" s="739"/>
      <c r="R143" s="739"/>
      <c r="S143" s="739"/>
      <c r="T143" s="739"/>
      <c r="U143" s="739"/>
      <c r="V143" s="739"/>
      <c r="W143" s="739"/>
      <c r="X143" s="739"/>
      <c r="Y143" s="739"/>
      <c r="Z143" s="739"/>
      <c r="AA143" s="739"/>
      <c r="AB143" s="739"/>
      <c r="AC143" s="739"/>
      <c r="AD143" s="739"/>
      <c r="AE143" s="739"/>
      <c r="AF143" s="739"/>
      <c r="AG143" s="739"/>
      <c r="AH143" s="739"/>
      <c r="AI143" s="739"/>
      <c r="AJ143" s="739"/>
      <c r="AK143" s="739"/>
      <c r="AL143" s="739"/>
      <c r="AM143" s="739"/>
      <c r="AN143" s="739"/>
      <c r="AO143" s="739"/>
      <c r="AP143" s="739"/>
      <c r="AQ143" s="739"/>
      <c r="AR143" s="739"/>
      <c r="AS143" s="739"/>
      <c r="AT143" s="739"/>
      <c r="AU143" s="739"/>
      <c r="AV143" s="739"/>
      <c r="AW143" s="739"/>
      <c r="AX143" s="739"/>
      <c r="AY143" s="739"/>
      <c r="AZ143" s="739"/>
      <c r="BA143" s="739"/>
      <c r="BB143" s="739"/>
      <c r="BC143" s="739"/>
      <c r="BD143" s="739"/>
      <c r="BE143" s="739"/>
      <c r="BF143" s="739"/>
      <c r="BG143" s="739"/>
      <c r="BH143" s="739"/>
      <c r="BI143" s="739"/>
      <c r="BJ143" s="739"/>
      <c r="BK143" s="739"/>
      <c r="BL143" s="739"/>
    </row>
    <row r="144" spans="7:64" x14ac:dyDescent="0.25">
      <c r="G144" s="739"/>
      <c r="H144" s="739"/>
      <c r="I144" s="739"/>
      <c r="J144" s="739"/>
      <c r="K144" s="739"/>
      <c r="L144" s="739"/>
      <c r="M144" s="739"/>
      <c r="N144" s="739"/>
      <c r="O144" s="739"/>
      <c r="P144" s="739"/>
      <c r="Q144" s="739"/>
      <c r="R144" s="739"/>
      <c r="S144" s="739"/>
      <c r="T144" s="739"/>
      <c r="U144" s="739"/>
      <c r="V144" s="739"/>
      <c r="W144" s="739"/>
      <c r="X144" s="739"/>
      <c r="Y144" s="739"/>
      <c r="Z144" s="739"/>
      <c r="AA144" s="739"/>
      <c r="AB144" s="739"/>
      <c r="AC144" s="739"/>
      <c r="AD144" s="739"/>
      <c r="AE144" s="739"/>
      <c r="AF144" s="739"/>
      <c r="AG144" s="739"/>
      <c r="AH144" s="739"/>
      <c r="AI144" s="739"/>
      <c r="AJ144" s="739"/>
      <c r="AK144" s="739"/>
      <c r="AL144" s="739"/>
      <c r="AM144" s="739"/>
      <c r="AN144" s="739"/>
      <c r="AO144" s="739"/>
      <c r="AP144" s="739"/>
      <c r="AQ144" s="739"/>
      <c r="AR144" s="739"/>
      <c r="AS144" s="739"/>
      <c r="AT144" s="739"/>
      <c r="AU144" s="739"/>
      <c r="AV144" s="739"/>
      <c r="AW144" s="739"/>
      <c r="AX144" s="739"/>
      <c r="AY144" s="739"/>
      <c r="AZ144" s="739"/>
      <c r="BA144" s="739"/>
      <c r="BB144" s="739"/>
      <c r="BC144" s="739"/>
      <c r="BD144" s="739"/>
      <c r="BE144" s="739"/>
      <c r="BF144" s="739"/>
      <c r="BG144" s="739"/>
      <c r="BH144" s="739"/>
      <c r="BI144" s="739"/>
      <c r="BJ144" s="739"/>
      <c r="BK144" s="739"/>
      <c r="BL144" s="739"/>
    </row>
    <row r="145" spans="7:64" x14ac:dyDescent="0.25">
      <c r="G145" s="739"/>
      <c r="H145" s="739"/>
      <c r="I145" s="739"/>
      <c r="J145" s="739"/>
      <c r="K145" s="739"/>
      <c r="L145" s="739"/>
      <c r="M145" s="739"/>
      <c r="N145" s="739"/>
      <c r="O145" s="739"/>
      <c r="P145" s="739"/>
      <c r="Q145" s="739"/>
      <c r="R145" s="739"/>
      <c r="S145" s="739"/>
      <c r="T145" s="739"/>
      <c r="U145" s="739"/>
      <c r="V145" s="739"/>
      <c r="W145" s="739"/>
      <c r="X145" s="739"/>
      <c r="Y145" s="739"/>
      <c r="Z145" s="739"/>
      <c r="AA145" s="739"/>
      <c r="AB145" s="739"/>
      <c r="AC145" s="739"/>
      <c r="AD145" s="739"/>
      <c r="AE145" s="739"/>
      <c r="AF145" s="739"/>
      <c r="AG145" s="739"/>
      <c r="AH145" s="739"/>
      <c r="AI145" s="739"/>
      <c r="AJ145" s="739"/>
      <c r="AK145" s="739"/>
      <c r="AL145" s="739"/>
      <c r="AM145" s="739"/>
      <c r="AN145" s="739"/>
      <c r="AO145" s="739"/>
      <c r="AP145" s="739"/>
      <c r="AQ145" s="739"/>
      <c r="AR145" s="739"/>
      <c r="AS145" s="739"/>
      <c r="AT145" s="739"/>
      <c r="AU145" s="739"/>
      <c r="AV145" s="739"/>
      <c r="AW145" s="739"/>
      <c r="AX145" s="739"/>
      <c r="AY145" s="739"/>
      <c r="AZ145" s="739"/>
      <c r="BA145" s="739"/>
      <c r="BB145" s="739"/>
      <c r="BC145" s="739"/>
      <c r="BD145" s="739"/>
      <c r="BE145" s="739"/>
      <c r="BF145" s="739"/>
      <c r="BG145" s="739"/>
      <c r="BH145" s="739"/>
      <c r="BI145" s="739"/>
      <c r="BJ145" s="739"/>
      <c r="BK145" s="739"/>
      <c r="BL145" s="739"/>
    </row>
    <row r="146" spans="7:64" x14ac:dyDescent="0.25">
      <c r="G146" s="739"/>
      <c r="H146" s="739"/>
      <c r="I146" s="739"/>
      <c r="J146" s="739"/>
      <c r="K146" s="739"/>
      <c r="L146" s="739"/>
      <c r="M146" s="739"/>
      <c r="N146" s="739"/>
      <c r="O146" s="739"/>
      <c r="P146" s="739"/>
      <c r="Q146" s="739"/>
      <c r="R146" s="739"/>
      <c r="S146" s="739"/>
      <c r="T146" s="739"/>
      <c r="U146" s="739"/>
      <c r="V146" s="739"/>
      <c r="W146" s="739"/>
      <c r="X146" s="739"/>
      <c r="Y146" s="739"/>
      <c r="Z146" s="739"/>
      <c r="AA146" s="739"/>
      <c r="AB146" s="739"/>
      <c r="AC146" s="739"/>
      <c r="AD146" s="739"/>
      <c r="AE146" s="739"/>
      <c r="AF146" s="739"/>
      <c r="AG146" s="739"/>
      <c r="AH146" s="739"/>
      <c r="AI146" s="739"/>
      <c r="AJ146" s="739"/>
      <c r="AK146" s="739"/>
      <c r="AL146" s="739"/>
      <c r="AM146" s="739"/>
      <c r="AN146" s="739"/>
      <c r="AO146" s="739"/>
      <c r="AP146" s="739"/>
      <c r="AQ146" s="739"/>
      <c r="AR146" s="739"/>
      <c r="AS146" s="739"/>
      <c r="AT146" s="739"/>
      <c r="AU146" s="739"/>
      <c r="AV146" s="739"/>
      <c r="AW146" s="739"/>
      <c r="AX146" s="739"/>
      <c r="AY146" s="739"/>
      <c r="AZ146" s="739"/>
      <c r="BA146" s="739"/>
      <c r="BB146" s="739"/>
      <c r="BC146" s="739"/>
      <c r="BD146" s="739"/>
      <c r="BE146" s="739"/>
      <c r="BF146" s="739"/>
      <c r="BG146" s="739"/>
      <c r="BH146" s="739"/>
      <c r="BI146" s="739"/>
      <c r="BJ146" s="739"/>
      <c r="BK146" s="739"/>
      <c r="BL146" s="739"/>
    </row>
    <row r="147" spans="7:64" x14ac:dyDescent="0.25">
      <c r="G147" s="739"/>
      <c r="H147" s="739"/>
      <c r="I147" s="739"/>
      <c r="J147" s="739"/>
      <c r="K147" s="739"/>
      <c r="L147" s="739"/>
      <c r="M147" s="739"/>
      <c r="N147" s="739"/>
      <c r="O147" s="739"/>
      <c r="P147" s="739"/>
      <c r="Q147" s="739"/>
      <c r="R147" s="739"/>
      <c r="S147" s="739"/>
      <c r="T147" s="739"/>
      <c r="U147" s="739"/>
      <c r="V147" s="739"/>
      <c r="W147" s="739"/>
      <c r="X147" s="739"/>
      <c r="Y147" s="739"/>
      <c r="Z147" s="739"/>
      <c r="AA147" s="739"/>
      <c r="AB147" s="739"/>
      <c r="AC147" s="739"/>
      <c r="AD147" s="739"/>
      <c r="AE147" s="739"/>
      <c r="AF147" s="739"/>
      <c r="AG147" s="739"/>
      <c r="AH147" s="739"/>
      <c r="AI147" s="739"/>
      <c r="AJ147" s="739"/>
      <c r="AK147" s="739"/>
      <c r="AL147" s="739"/>
      <c r="AM147" s="739"/>
      <c r="AN147" s="739"/>
      <c r="AO147" s="739"/>
      <c r="AP147" s="739"/>
      <c r="AQ147" s="739"/>
      <c r="AR147" s="739"/>
      <c r="AS147" s="739"/>
      <c r="AT147" s="739"/>
      <c r="AU147" s="739"/>
      <c r="AV147" s="739"/>
      <c r="AW147" s="739"/>
      <c r="AX147" s="739"/>
      <c r="AY147" s="739"/>
      <c r="AZ147" s="739"/>
      <c r="BA147" s="739"/>
      <c r="BB147" s="739"/>
      <c r="BC147" s="739"/>
      <c r="BD147" s="739"/>
      <c r="BE147" s="739"/>
      <c r="BF147" s="739"/>
      <c r="BG147" s="739"/>
      <c r="BH147" s="739"/>
      <c r="BI147" s="739"/>
      <c r="BJ147" s="739"/>
      <c r="BK147" s="739"/>
      <c r="BL147" s="739"/>
    </row>
    <row r="148" spans="7:64" x14ac:dyDescent="0.25">
      <c r="G148" s="739"/>
      <c r="H148" s="739"/>
      <c r="I148" s="739"/>
      <c r="J148" s="739"/>
      <c r="K148" s="739"/>
      <c r="L148" s="739"/>
      <c r="M148" s="739"/>
      <c r="N148" s="739"/>
      <c r="O148" s="739"/>
      <c r="P148" s="739"/>
      <c r="Q148" s="739"/>
      <c r="R148" s="739"/>
      <c r="S148" s="739"/>
      <c r="T148" s="739"/>
      <c r="U148" s="739"/>
      <c r="V148" s="739"/>
      <c r="W148" s="739"/>
      <c r="X148" s="739"/>
      <c r="Y148" s="739"/>
      <c r="Z148" s="739"/>
      <c r="AA148" s="739"/>
      <c r="AB148" s="739"/>
      <c r="AC148" s="739"/>
      <c r="AD148" s="739"/>
      <c r="AE148" s="739"/>
      <c r="AF148" s="739"/>
      <c r="AG148" s="739"/>
      <c r="AH148" s="739"/>
      <c r="AI148" s="739"/>
      <c r="AJ148" s="739"/>
      <c r="AK148" s="739"/>
      <c r="AL148" s="739"/>
      <c r="AM148" s="739"/>
      <c r="AN148" s="739"/>
      <c r="AO148" s="739"/>
      <c r="AP148" s="739"/>
      <c r="AQ148" s="739"/>
      <c r="AR148" s="739"/>
      <c r="AS148" s="739"/>
      <c r="AT148" s="739"/>
      <c r="AU148" s="739"/>
      <c r="AV148" s="739"/>
      <c r="AW148" s="739"/>
      <c r="AX148" s="739"/>
      <c r="AY148" s="739"/>
      <c r="AZ148" s="739"/>
      <c r="BA148" s="739"/>
      <c r="BB148" s="739"/>
      <c r="BC148" s="739"/>
      <c r="BD148" s="739"/>
      <c r="BE148" s="739"/>
      <c r="BF148" s="739"/>
      <c r="BG148" s="739"/>
      <c r="BH148" s="739"/>
      <c r="BI148" s="739"/>
      <c r="BJ148" s="739"/>
      <c r="BK148" s="739"/>
      <c r="BL148" s="739"/>
    </row>
    <row r="149" spans="7:64" x14ac:dyDescent="0.25">
      <c r="G149" s="739"/>
      <c r="H149" s="739"/>
      <c r="I149" s="739"/>
      <c r="J149" s="739"/>
      <c r="K149" s="739"/>
      <c r="L149" s="739"/>
      <c r="M149" s="739"/>
      <c r="N149" s="739"/>
      <c r="O149" s="739"/>
      <c r="P149" s="739"/>
      <c r="Q149" s="739"/>
      <c r="R149" s="739"/>
      <c r="S149" s="739"/>
      <c r="T149" s="739"/>
      <c r="U149" s="739"/>
      <c r="V149" s="739"/>
      <c r="W149" s="739"/>
      <c r="X149" s="739"/>
      <c r="Y149" s="739"/>
      <c r="Z149" s="739"/>
      <c r="AA149" s="739"/>
      <c r="AB149" s="739"/>
      <c r="AC149" s="739"/>
      <c r="AD149" s="739"/>
      <c r="AE149" s="739"/>
      <c r="AF149" s="739"/>
      <c r="AG149" s="739"/>
      <c r="AH149" s="739"/>
      <c r="AI149" s="739"/>
      <c r="AJ149" s="739"/>
      <c r="AK149" s="739"/>
      <c r="AL149" s="739"/>
      <c r="AM149" s="739"/>
      <c r="AN149" s="739"/>
      <c r="AO149" s="739"/>
      <c r="AP149" s="739"/>
      <c r="AQ149" s="739"/>
      <c r="AR149" s="739"/>
      <c r="AS149" s="739"/>
      <c r="AT149" s="739"/>
      <c r="AU149" s="739"/>
      <c r="AV149" s="739"/>
      <c r="AW149" s="739"/>
      <c r="AX149" s="739"/>
      <c r="AY149" s="739"/>
      <c r="AZ149" s="739"/>
      <c r="BA149" s="739"/>
      <c r="BB149" s="739"/>
      <c r="BC149" s="739"/>
      <c r="BD149" s="739"/>
      <c r="BE149" s="739"/>
      <c r="BF149" s="739"/>
      <c r="BG149" s="739"/>
      <c r="BH149" s="739"/>
      <c r="BI149" s="739"/>
      <c r="BJ149" s="739"/>
      <c r="BK149" s="739"/>
      <c r="BL149" s="739"/>
    </row>
    <row r="150" spans="7:64" x14ac:dyDescent="0.25">
      <c r="G150" s="739"/>
      <c r="H150" s="739"/>
      <c r="I150" s="739"/>
      <c r="J150" s="739"/>
      <c r="K150" s="739"/>
      <c r="L150" s="739"/>
      <c r="M150" s="739"/>
      <c r="N150" s="739"/>
      <c r="O150" s="739"/>
      <c r="P150" s="739"/>
      <c r="Q150" s="739"/>
      <c r="R150" s="739"/>
      <c r="S150" s="739"/>
      <c r="T150" s="739"/>
      <c r="U150" s="739"/>
      <c r="V150" s="739"/>
      <c r="W150" s="739"/>
      <c r="X150" s="739"/>
      <c r="Y150" s="739"/>
      <c r="Z150" s="739"/>
      <c r="AA150" s="739"/>
      <c r="AB150" s="739"/>
      <c r="AC150" s="739"/>
      <c r="AD150" s="739"/>
      <c r="AE150" s="739"/>
      <c r="AF150" s="739"/>
      <c r="AG150" s="739"/>
      <c r="AH150" s="739"/>
      <c r="AI150" s="739"/>
      <c r="AJ150" s="739"/>
      <c r="AK150" s="739"/>
      <c r="AL150" s="739"/>
      <c r="AM150" s="739"/>
      <c r="AN150" s="739"/>
      <c r="AO150" s="739"/>
      <c r="AP150" s="739"/>
      <c r="AQ150" s="739"/>
      <c r="AR150" s="739"/>
      <c r="AS150" s="739"/>
      <c r="AT150" s="739"/>
      <c r="AU150" s="739"/>
      <c r="AV150" s="739"/>
      <c r="AW150" s="739"/>
      <c r="AX150" s="739"/>
      <c r="AY150" s="739"/>
      <c r="AZ150" s="739"/>
      <c r="BA150" s="739"/>
      <c r="BB150" s="739"/>
      <c r="BC150" s="739"/>
      <c r="BD150" s="739"/>
      <c r="BE150" s="739"/>
      <c r="BF150" s="739"/>
      <c r="BG150" s="739"/>
      <c r="BH150" s="739"/>
      <c r="BI150" s="739"/>
      <c r="BJ150" s="739"/>
      <c r="BK150" s="739"/>
      <c r="BL150" s="739"/>
    </row>
    <row r="151" spans="7:64" x14ac:dyDescent="0.25">
      <c r="G151" s="739"/>
      <c r="H151" s="739"/>
      <c r="I151" s="739"/>
      <c r="J151" s="739"/>
      <c r="K151" s="739"/>
      <c r="L151" s="739"/>
      <c r="M151" s="739"/>
      <c r="N151" s="739"/>
      <c r="O151" s="739"/>
      <c r="P151" s="739"/>
      <c r="Q151" s="739"/>
      <c r="R151" s="739"/>
      <c r="S151" s="739"/>
      <c r="T151" s="739"/>
      <c r="U151" s="739"/>
      <c r="V151" s="739"/>
      <c r="W151" s="739"/>
      <c r="X151" s="739"/>
      <c r="Y151" s="739"/>
      <c r="Z151" s="739"/>
      <c r="AA151" s="739"/>
      <c r="AB151" s="739"/>
      <c r="AC151" s="739"/>
      <c r="AD151" s="739"/>
      <c r="AE151" s="739"/>
      <c r="AF151" s="739"/>
      <c r="AG151" s="739"/>
      <c r="AH151" s="739"/>
      <c r="AI151" s="739"/>
      <c r="AJ151" s="739"/>
      <c r="AK151" s="739"/>
      <c r="AL151" s="739"/>
      <c r="AM151" s="739"/>
      <c r="AN151" s="739"/>
      <c r="AO151" s="739"/>
      <c r="AP151" s="739"/>
      <c r="AQ151" s="739"/>
      <c r="AR151" s="739"/>
      <c r="AS151" s="739"/>
      <c r="AT151" s="739"/>
      <c r="AU151" s="739"/>
      <c r="AV151" s="739"/>
      <c r="AW151" s="739"/>
      <c r="AX151" s="739"/>
      <c r="AY151" s="739"/>
      <c r="AZ151" s="739"/>
      <c r="BA151" s="739"/>
      <c r="BB151" s="739"/>
      <c r="BC151" s="739"/>
      <c r="BD151" s="739"/>
      <c r="BE151" s="739"/>
      <c r="BF151" s="739"/>
      <c r="BG151" s="739"/>
      <c r="BH151" s="739"/>
      <c r="BI151" s="739"/>
      <c r="BJ151" s="739"/>
      <c r="BK151" s="739"/>
      <c r="BL151" s="739"/>
    </row>
    <row r="152" spans="7:64" x14ac:dyDescent="0.25">
      <c r="G152" s="739"/>
      <c r="H152" s="739"/>
      <c r="I152" s="739"/>
      <c r="J152" s="739"/>
      <c r="K152" s="739"/>
      <c r="L152" s="739"/>
      <c r="M152" s="739"/>
      <c r="N152" s="739"/>
      <c r="O152" s="739"/>
      <c r="P152" s="739"/>
      <c r="Q152" s="739"/>
      <c r="R152" s="739"/>
      <c r="S152" s="739"/>
      <c r="T152" s="739"/>
      <c r="U152" s="739"/>
      <c r="V152" s="739"/>
      <c r="W152" s="739"/>
      <c r="X152" s="739"/>
      <c r="Y152" s="739"/>
      <c r="Z152" s="739"/>
      <c r="AA152" s="739"/>
      <c r="AB152" s="739"/>
      <c r="AC152" s="739"/>
      <c r="AD152" s="739"/>
      <c r="AE152" s="739"/>
      <c r="AF152" s="739"/>
      <c r="AG152" s="739"/>
      <c r="AH152" s="739"/>
      <c r="AI152" s="739"/>
      <c r="AJ152" s="739"/>
      <c r="AK152" s="739"/>
      <c r="AL152" s="739"/>
      <c r="AM152" s="739"/>
      <c r="AN152" s="739"/>
      <c r="AO152" s="739"/>
      <c r="AP152" s="739"/>
      <c r="AQ152" s="739"/>
      <c r="AR152" s="739"/>
      <c r="AS152" s="739"/>
      <c r="AT152" s="739"/>
      <c r="AU152" s="739"/>
      <c r="AV152" s="739"/>
      <c r="AW152" s="739"/>
      <c r="AX152" s="739"/>
      <c r="AY152" s="739"/>
      <c r="AZ152" s="739"/>
      <c r="BA152" s="739"/>
      <c r="BB152" s="739"/>
      <c r="BC152" s="739"/>
      <c r="BD152" s="739"/>
      <c r="BE152" s="739"/>
      <c r="BF152" s="739"/>
      <c r="BG152" s="739"/>
      <c r="BH152" s="739"/>
      <c r="BI152" s="739"/>
      <c r="BJ152" s="739"/>
      <c r="BK152" s="739"/>
      <c r="BL152" s="739"/>
    </row>
    <row r="153" spans="7:64" x14ac:dyDescent="0.25">
      <c r="G153" s="739"/>
      <c r="H153" s="739"/>
      <c r="I153" s="739"/>
      <c r="J153" s="739"/>
      <c r="K153" s="739"/>
      <c r="L153" s="739"/>
      <c r="M153" s="739"/>
      <c r="N153" s="739"/>
      <c r="O153" s="739"/>
      <c r="P153" s="739"/>
      <c r="Q153" s="739"/>
      <c r="R153" s="739"/>
      <c r="S153" s="739"/>
      <c r="T153" s="739"/>
      <c r="U153" s="739"/>
      <c r="V153" s="739"/>
      <c r="W153" s="739"/>
      <c r="X153" s="739"/>
      <c r="Y153" s="739"/>
      <c r="Z153" s="739"/>
      <c r="AA153" s="739"/>
      <c r="AB153" s="739"/>
      <c r="AC153" s="739"/>
      <c r="AD153" s="739"/>
      <c r="AE153" s="739"/>
      <c r="AF153" s="739"/>
      <c r="AG153" s="739"/>
      <c r="AH153" s="739"/>
      <c r="AI153" s="739"/>
      <c r="AJ153" s="739"/>
      <c r="AK153" s="739"/>
      <c r="AL153" s="739"/>
      <c r="AM153" s="739"/>
      <c r="AN153" s="739"/>
      <c r="AO153" s="739"/>
      <c r="AP153" s="739"/>
      <c r="AQ153" s="739"/>
      <c r="AR153" s="739"/>
      <c r="AS153" s="739"/>
      <c r="AT153" s="739"/>
      <c r="AU153" s="739"/>
      <c r="AV153" s="739"/>
      <c r="AW153" s="739"/>
      <c r="AX153" s="739"/>
      <c r="AY153" s="739"/>
      <c r="AZ153" s="739"/>
      <c r="BA153" s="739"/>
      <c r="BB153" s="739"/>
      <c r="BC153" s="739"/>
      <c r="BD153" s="739"/>
      <c r="BE153" s="739"/>
      <c r="BF153" s="739"/>
      <c r="BG153" s="739"/>
      <c r="BH153" s="739"/>
      <c r="BI153" s="739"/>
      <c r="BJ153" s="739"/>
      <c r="BK153" s="739"/>
      <c r="BL153" s="739"/>
    </row>
    <row r="154" spans="7:64" x14ac:dyDescent="0.25">
      <c r="G154" s="739"/>
      <c r="H154" s="739"/>
      <c r="I154" s="739"/>
      <c r="J154" s="739"/>
      <c r="K154" s="739"/>
      <c r="L154" s="739"/>
      <c r="M154" s="739"/>
      <c r="N154" s="739"/>
      <c r="O154" s="739"/>
      <c r="P154" s="739"/>
      <c r="Q154" s="739"/>
      <c r="R154" s="739"/>
      <c r="S154" s="739"/>
      <c r="T154" s="739"/>
      <c r="U154" s="739"/>
      <c r="V154" s="739"/>
      <c r="W154" s="739"/>
      <c r="X154" s="739"/>
      <c r="Y154" s="739"/>
      <c r="Z154" s="739"/>
      <c r="AA154" s="739"/>
      <c r="AB154" s="739"/>
      <c r="AC154" s="739"/>
      <c r="AD154" s="739"/>
      <c r="AE154" s="739"/>
      <c r="AF154" s="739"/>
      <c r="AG154" s="739"/>
      <c r="AH154" s="739"/>
      <c r="AI154" s="739"/>
      <c r="AJ154" s="739"/>
      <c r="AK154" s="739"/>
      <c r="AL154" s="739"/>
      <c r="AM154" s="739"/>
      <c r="AN154" s="739"/>
      <c r="AO154" s="739"/>
      <c r="AP154" s="739"/>
      <c r="AQ154" s="739"/>
      <c r="AR154" s="739"/>
      <c r="AS154" s="739"/>
      <c r="AT154" s="739"/>
      <c r="AU154" s="739"/>
      <c r="AV154" s="739"/>
      <c r="AW154" s="739"/>
      <c r="AX154" s="739"/>
      <c r="AY154" s="739"/>
      <c r="AZ154" s="739"/>
      <c r="BA154" s="739"/>
      <c r="BB154" s="739"/>
      <c r="BC154" s="739"/>
      <c r="BD154" s="739"/>
      <c r="BE154" s="739"/>
      <c r="BF154" s="739"/>
      <c r="BG154" s="739"/>
      <c r="BH154" s="739"/>
      <c r="BI154" s="739"/>
      <c r="BJ154" s="739"/>
      <c r="BK154" s="739"/>
      <c r="BL154" s="739"/>
    </row>
    <row r="155" spans="7:64" x14ac:dyDescent="0.25">
      <c r="G155" s="739"/>
      <c r="H155" s="739"/>
      <c r="I155" s="739"/>
      <c r="J155" s="739"/>
      <c r="K155" s="739"/>
      <c r="L155" s="739"/>
      <c r="M155" s="739"/>
      <c r="N155" s="739"/>
      <c r="O155" s="739"/>
      <c r="P155" s="739"/>
      <c r="Q155" s="739"/>
      <c r="R155" s="739"/>
      <c r="S155" s="739"/>
      <c r="T155" s="739"/>
      <c r="U155" s="739"/>
      <c r="V155" s="739"/>
      <c r="W155" s="739"/>
      <c r="X155" s="739"/>
      <c r="Y155" s="739"/>
      <c r="Z155" s="739"/>
      <c r="AA155" s="739"/>
      <c r="AB155" s="739"/>
      <c r="AC155" s="739"/>
      <c r="AD155" s="739"/>
      <c r="AE155" s="739"/>
      <c r="AF155" s="739"/>
      <c r="AG155" s="739"/>
      <c r="AH155" s="739"/>
      <c r="AI155" s="739"/>
      <c r="AJ155" s="739"/>
      <c r="AK155" s="739"/>
      <c r="AL155" s="739"/>
      <c r="AM155" s="739"/>
      <c r="AN155" s="739"/>
      <c r="AO155" s="739"/>
      <c r="AP155" s="739"/>
      <c r="AQ155" s="739"/>
      <c r="AR155" s="739"/>
      <c r="AS155" s="739"/>
      <c r="AT155" s="739"/>
      <c r="AU155" s="739"/>
      <c r="AV155" s="739"/>
      <c r="AW155" s="739"/>
      <c r="AX155" s="739"/>
      <c r="AY155" s="739"/>
      <c r="AZ155" s="739"/>
      <c r="BA155" s="739"/>
      <c r="BB155" s="739"/>
      <c r="BC155" s="739"/>
      <c r="BD155" s="739"/>
      <c r="BE155" s="739"/>
      <c r="BF155" s="739"/>
      <c r="BG155" s="739"/>
      <c r="BH155" s="739"/>
      <c r="BI155" s="739"/>
      <c r="BJ155" s="739"/>
      <c r="BK155" s="739"/>
      <c r="BL155" s="739"/>
    </row>
    <row r="156" spans="7:64" x14ac:dyDescent="0.25">
      <c r="G156" s="739"/>
      <c r="H156" s="739"/>
      <c r="I156" s="739"/>
      <c r="J156" s="739"/>
      <c r="K156" s="739"/>
      <c r="L156" s="739"/>
      <c r="M156" s="739"/>
      <c r="N156" s="739"/>
      <c r="O156" s="739"/>
      <c r="P156" s="739"/>
      <c r="Q156" s="739"/>
      <c r="R156" s="739"/>
      <c r="S156" s="739"/>
      <c r="T156" s="739"/>
      <c r="U156" s="739"/>
      <c r="V156" s="739"/>
      <c r="W156" s="739"/>
      <c r="X156" s="739"/>
      <c r="Y156" s="739"/>
      <c r="Z156" s="739"/>
      <c r="AA156" s="739"/>
      <c r="AB156" s="739"/>
      <c r="AC156" s="739"/>
      <c r="AD156" s="739"/>
      <c r="AE156" s="739"/>
      <c r="AF156" s="739"/>
      <c r="AG156" s="739"/>
      <c r="AH156" s="739"/>
      <c r="AI156" s="739"/>
      <c r="AJ156" s="739"/>
      <c r="AK156" s="739"/>
      <c r="AL156" s="739"/>
      <c r="AM156" s="739"/>
      <c r="AN156" s="739"/>
      <c r="AO156" s="739"/>
      <c r="AP156" s="739"/>
      <c r="AQ156" s="739"/>
      <c r="AR156" s="739"/>
      <c r="AS156" s="739"/>
      <c r="AT156" s="739"/>
      <c r="AU156" s="739"/>
      <c r="AV156" s="739"/>
      <c r="AW156" s="739"/>
      <c r="AX156" s="739"/>
      <c r="AY156" s="739"/>
      <c r="AZ156" s="739"/>
      <c r="BA156" s="739"/>
      <c r="BB156" s="739"/>
      <c r="BC156" s="739"/>
      <c r="BD156" s="739"/>
      <c r="BE156" s="739"/>
      <c r="BF156" s="739"/>
      <c r="BG156" s="739"/>
      <c r="BH156" s="739"/>
      <c r="BI156" s="739"/>
      <c r="BJ156" s="739"/>
      <c r="BK156" s="739"/>
      <c r="BL156" s="739"/>
    </row>
    <row r="157" spans="7:64" x14ac:dyDescent="0.25">
      <c r="G157" s="739"/>
      <c r="H157" s="739"/>
      <c r="I157" s="739"/>
      <c r="J157" s="739"/>
      <c r="K157" s="739"/>
      <c r="L157" s="739"/>
      <c r="M157" s="739"/>
      <c r="N157" s="739"/>
      <c r="O157" s="739"/>
      <c r="P157" s="739"/>
      <c r="Q157" s="739"/>
      <c r="R157" s="739"/>
      <c r="S157" s="739"/>
      <c r="T157" s="739"/>
      <c r="U157" s="739"/>
      <c r="V157" s="739"/>
      <c r="W157" s="739"/>
      <c r="X157" s="739"/>
      <c r="Y157" s="739"/>
      <c r="Z157" s="739"/>
      <c r="AA157" s="739"/>
      <c r="AB157" s="739"/>
      <c r="AC157" s="739"/>
      <c r="AD157" s="739"/>
      <c r="AE157" s="739"/>
      <c r="AF157" s="739"/>
      <c r="AG157" s="739"/>
      <c r="AH157" s="739"/>
      <c r="AI157" s="739"/>
      <c r="AJ157" s="739"/>
      <c r="AK157" s="739"/>
      <c r="AL157" s="739"/>
      <c r="AM157" s="739"/>
      <c r="AN157" s="739"/>
      <c r="AO157" s="739"/>
      <c r="AP157" s="739"/>
      <c r="AQ157" s="739"/>
      <c r="AR157" s="739"/>
      <c r="AS157" s="739"/>
      <c r="AT157" s="739"/>
      <c r="AU157" s="739"/>
      <c r="AV157" s="739"/>
      <c r="AW157" s="739"/>
      <c r="AX157" s="739"/>
      <c r="AY157" s="739"/>
      <c r="AZ157" s="739"/>
      <c r="BA157" s="739"/>
      <c r="BB157" s="739"/>
      <c r="BC157" s="739"/>
      <c r="BD157" s="739"/>
      <c r="BE157" s="739"/>
      <c r="BF157" s="739"/>
      <c r="BG157" s="739"/>
      <c r="BH157" s="739"/>
      <c r="BI157" s="739"/>
      <c r="BJ157" s="739"/>
      <c r="BK157" s="739"/>
      <c r="BL157" s="739"/>
    </row>
    <row r="158" spans="7:64" x14ac:dyDescent="0.25">
      <c r="G158" s="739"/>
      <c r="H158" s="739"/>
      <c r="I158" s="739"/>
      <c r="J158" s="739"/>
      <c r="K158" s="739"/>
      <c r="L158" s="739"/>
      <c r="M158" s="739"/>
      <c r="N158" s="739"/>
      <c r="O158" s="739"/>
      <c r="P158" s="739"/>
      <c r="Q158" s="739"/>
      <c r="R158" s="739"/>
      <c r="S158" s="739"/>
      <c r="T158" s="739"/>
      <c r="U158" s="739"/>
      <c r="V158" s="739"/>
      <c r="W158" s="739"/>
      <c r="X158" s="739"/>
      <c r="Y158" s="739"/>
      <c r="Z158" s="739"/>
      <c r="AA158" s="739"/>
      <c r="AB158" s="739"/>
      <c r="AC158" s="739"/>
      <c r="AD158" s="739"/>
      <c r="AE158" s="739"/>
      <c r="AF158" s="739"/>
      <c r="AG158" s="739"/>
      <c r="AH158" s="739"/>
      <c r="AI158" s="739"/>
      <c r="AJ158" s="739"/>
      <c r="AK158" s="739"/>
      <c r="AL158" s="739"/>
      <c r="AM158" s="739"/>
      <c r="AN158" s="739"/>
      <c r="AO158" s="739"/>
      <c r="AP158" s="739"/>
      <c r="AQ158" s="739"/>
      <c r="AR158" s="739"/>
      <c r="AS158" s="739"/>
      <c r="AT158" s="739"/>
      <c r="AU158" s="739"/>
      <c r="AV158" s="739"/>
      <c r="AW158" s="739"/>
      <c r="AX158" s="739"/>
      <c r="AY158" s="739"/>
      <c r="AZ158" s="739"/>
      <c r="BA158" s="739"/>
      <c r="BB158" s="739"/>
      <c r="BC158" s="739"/>
      <c r="BD158" s="739"/>
      <c r="BE158" s="739"/>
      <c r="BF158" s="739"/>
      <c r="BG158" s="739"/>
      <c r="BH158" s="739"/>
      <c r="BI158" s="739"/>
      <c r="BJ158" s="739"/>
      <c r="BK158" s="739"/>
      <c r="BL158" s="739"/>
    </row>
    <row r="159" spans="7:64" x14ac:dyDescent="0.25">
      <c r="G159" s="739"/>
      <c r="H159" s="739"/>
      <c r="I159" s="739"/>
      <c r="J159" s="739"/>
      <c r="K159" s="739"/>
      <c r="L159" s="739"/>
      <c r="M159" s="739"/>
      <c r="N159" s="739"/>
      <c r="O159" s="739"/>
      <c r="P159" s="739"/>
      <c r="Q159" s="739"/>
      <c r="R159" s="739"/>
      <c r="S159" s="739"/>
      <c r="T159" s="739"/>
      <c r="U159" s="739"/>
      <c r="V159" s="739"/>
      <c r="W159" s="739"/>
      <c r="X159" s="739"/>
      <c r="Y159" s="739"/>
      <c r="Z159" s="739"/>
      <c r="AA159" s="739"/>
      <c r="AB159" s="739"/>
      <c r="AC159" s="739"/>
      <c r="AD159" s="739"/>
      <c r="AE159" s="739"/>
      <c r="AF159" s="739"/>
      <c r="AG159" s="739"/>
      <c r="AH159" s="739"/>
      <c r="AI159" s="739"/>
      <c r="AJ159" s="739"/>
      <c r="AK159" s="739"/>
      <c r="AL159" s="739"/>
      <c r="AM159" s="739"/>
      <c r="AN159" s="739"/>
      <c r="AO159" s="739"/>
      <c r="AP159" s="739"/>
      <c r="AQ159" s="739"/>
      <c r="AR159" s="739"/>
      <c r="AS159" s="739"/>
      <c r="AT159" s="739"/>
      <c r="AU159" s="739"/>
      <c r="AV159" s="739"/>
      <c r="AW159" s="739"/>
      <c r="AX159" s="739"/>
      <c r="AY159" s="739"/>
      <c r="AZ159" s="739"/>
      <c r="BA159" s="739"/>
      <c r="BB159" s="739"/>
      <c r="BC159" s="739"/>
      <c r="BD159" s="739"/>
      <c r="BE159" s="739"/>
      <c r="BF159" s="739"/>
      <c r="BG159" s="739"/>
      <c r="BH159" s="739"/>
      <c r="BI159" s="739"/>
      <c r="BJ159" s="739"/>
      <c r="BK159" s="739"/>
      <c r="BL159" s="739"/>
    </row>
    <row r="160" spans="7:64" x14ac:dyDescent="0.25">
      <c r="G160" s="739"/>
      <c r="H160" s="739"/>
      <c r="I160" s="739"/>
      <c r="J160" s="739"/>
      <c r="K160" s="739"/>
      <c r="L160" s="739"/>
      <c r="M160" s="739"/>
      <c r="N160" s="739"/>
      <c r="O160" s="739"/>
      <c r="P160" s="739"/>
      <c r="Q160" s="739"/>
      <c r="R160" s="739"/>
      <c r="S160" s="739"/>
      <c r="T160" s="739"/>
      <c r="U160" s="739"/>
      <c r="V160" s="739"/>
      <c r="W160" s="739"/>
      <c r="X160" s="739"/>
      <c r="Y160" s="739"/>
      <c r="Z160" s="739"/>
      <c r="AA160" s="739"/>
      <c r="AB160" s="739"/>
      <c r="AC160" s="739"/>
      <c r="AD160" s="739"/>
      <c r="AE160" s="739"/>
      <c r="AF160" s="739"/>
      <c r="AG160" s="739"/>
      <c r="AH160" s="739"/>
      <c r="AI160" s="739"/>
      <c r="AJ160" s="739"/>
      <c r="AK160" s="739"/>
      <c r="AL160" s="739"/>
      <c r="AM160" s="739"/>
      <c r="AN160" s="739"/>
      <c r="AO160" s="739"/>
      <c r="AP160" s="739"/>
      <c r="AQ160" s="739"/>
      <c r="AR160" s="739"/>
      <c r="AS160" s="739"/>
      <c r="AT160" s="739"/>
      <c r="AU160" s="739"/>
      <c r="AV160" s="739"/>
      <c r="AW160" s="739"/>
      <c r="AX160" s="739"/>
      <c r="AY160" s="739"/>
      <c r="AZ160" s="739"/>
      <c r="BA160" s="739"/>
      <c r="BB160" s="739"/>
      <c r="BC160" s="739"/>
      <c r="BD160" s="739"/>
      <c r="BE160" s="739"/>
      <c r="BF160" s="739"/>
      <c r="BG160" s="739"/>
      <c r="BH160" s="739"/>
      <c r="BI160" s="739"/>
      <c r="BJ160" s="739"/>
      <c r="BK160" s="739"/>
      <c r="BL160" s="739"/>
    </row>
    <row r="161" spans="7:64" x14ac:dyDescent="0.25">
      <c r="G161" s="739"/>
      <c r="H161" s="739"/>
      <c r="I161" s="739"/>
      <c r="J161" s="739"/>
      <c r="K161" s="739"/>
      <c r="L161" s="739"/>
      <c r="M161" s="739"/>
      <c r="N161" s="739"/>
      <c r="O161" s="739"/>
      <c r="P161" s="739"/>
      <c r="Q161" s="739"/>
      <c r="R161" s="739"/>
      <c r="S161" s="739"/>
      <c r="T161" s="739"/>
      <c r="U161" s="739"/>
      <c r="V161" s="739"/>
      <c r="W161" s="739"/>
      <c r="X161" s="739"/>
      <c r="Y161" s="739"/>
      <c r="Z161" s="739"/>
      <c r="AA161" s="739"/>
      <c r="AB161" s="739"/>
      <c r="AC161" s="739"/>
      <c r="AD161" s="739"/>
      <c r="AE161" s="739"/>
      <c r="AF161" s="739"/>
      <c r="AG161" s="739"/>
      <c r="AH161" s="739"/>
      <c r="AI161" s="739"/>
      <c r="AJ161" s="739"/>
      <c r="AK161" s="739"/>
      <c r="AL161" s="739"/>
      <c r="AM161" s="739"/>
      <c r="AN161" s="739"/>
      <c r="AO161" s="739"/>
      <c r="AP161" s="739"/>
      <c r="AQ161" s="739"/>
      <c r="AR161" s="739"/>
      <c r="AS161" s="739"/>
      <c r="AT161" s="739"/>
      <c r="AU161" s="739"/>
      <c r="AV161" s="739"/>
      <c r="AW161" s="739"/>
      <c r="AX161" s="739"/>
      <c r="AY161" s="739"/>
      <c r="AZ161" s="739"/>
      <c r="BA161" s="739"/>
      <c r="BB161" s="739"/>
      <c r="BC161" s="739"/>
      <c r="BD161" s="739"/>
      <c r="BE161" s="739"/>
      <c r="BF161" s="739"/>
      <c r="BG161" s="739"/>
      <c r="BH161" s="739"/>
      <c r="BI161" s="739"/>
      <c r="BJ161" s="739"/>
      <c r="BK161" s="739"/>
      <c r="BL161" s="739"/>
    </row>
    <row r="162" spans="7:64" x14ac:dyDescent="0.25">
      <c r="G162" s="739"/>
      <c r="H162" s="739"/>
      <c r="I162" s="739"/>
      <c r="J162" s="739"/>
      <c r="K162" s="739"/>
      <c r="L162" s="739"/>
      <c r="M162" s="739"/>
      <c r="N162" s="739"/>
      <c r="O162" s="739"/>
      <c r="P162" s="739"/>
      <c r="Q162" s="739"/>
      <c r="R162" s="739"/>
      <c r="S162" s="739"/>
      <c r="T162" s="739"/>
      <c r="U162" s="739"/>
      <c r="V162" s="739"/>
      <c r="W162" s="739"/>
      <c r="X162" s="739"/>
      <c r="Y162" s="739"/>
      <c r="Z162" s="739"/>
      <c r="AA162" s="739"/>
      <c r="AB162" s="739"/>
      <c r="AC162" s="739"/>
      <c r="AD162" s="739"/>
      <c r="AE162" s="739"/>
      <c r="AF162" s="739"/>
      <c r="AG162" s="739"/>
      <c r="AH162" s="739"/>
      <c r="AI162" s="739"/>
      <c r="AJ162" s="739"/>
      <c r="AK162" s="739"/>
      <c r="AL162" s="739"/>
      <c r="AM162" s="739"/>
      <c r="AN162" s="739"/>
      <c r="AO162" s="739"/>
      <c r="AP162" s="739"/>
      <c r="AQ162" s="739"/>
      <c r="AR162" s="739"/>
      <c r="AS162" s="739"/>
      <c r="AT162" s="739"/>
      <c r="AU162" s="739"/>
      <c r="AV162" s="739"/>
      <c r="AW162" s="739"/>
      <c r="AX162" s="739"/>
      <c r="AY162" s="739"/>
      <c r="AZ162" s="739"/>
      <c r="BA162" s="739"/>
      <c r="BB162" s="739"/>
      <c r="BC162" s="739"/>
      <c r="BD162" s="739"/>
      <c r="BE162" s="739"/>
      <c r="BF162" s="739"/>
      <c r="BG162" s="739"/>
      <c r="BH162" s="739"/>
      <c r="BI162" s="739"/>
      <c r="BJ162" s="739"/>
      <c r="BK162" s="739"/>
      <c r="BL162" s="739"/>
    </row>
    <row r="163" spans="7:64" x14ac:dyDescent="0.25">
      <c r="G163" s="739"/>
      <c r="H163" s="739"/>
      <c r="I163" s="739"/>
      <c r="J163" s="739"/>
      <c r="K163" s="739"/>
      <c r="L163" s="739"/>
      <c r="M163" s="739"/>
      <c r="N163" s="739"/>
      <c r="O163" s="739"/>
      <c r="P163" s="739"/>
      <c r="Q163" s="739"/>
      <c r="R163" s="739"/>
      <c r="S163" s="739"/>
      <c r="T163" s="739"/>
      <c r="U163" s="739"/>
      <c r="V163" s="739"/>
      <c r="W163" s="739"/>
      <c r="X163" s="739"/>
      <c r="Y163" s="739"/>
      <c r="Z163" s="739"/>
      <c r="AA163" s="739"/>
      <c r="AB163" s="739"/>
      <c r="AC163" s="739"/>
      <c r="AD163" s="739"/>
      <c r="AE163" s="739"/>
      <c r="AF163" s="739"/>
      <c r="AG163" s="739"/>
      <c r="AH163" s="739"/>
      <c r="AI163" s="739"/>
      <c r="AJ163" s="739"/>
      <c r="AK163" s="739"/>
      <c r="AL163" s="739"/>
      <c r="AM163" s="739"/>
      <c r="AN163" s="739"/>
      <c r="AO163" s="739"/>
      <c r="AP163" s="739"/>
      <c r="AQ163" s="739"/>
      <c r="AR163" s="739"/>
      <c r="AS163" s="739"/>
      <c r="AT163" s="739"/>
      <c r="AU163" s="739"/>
      <c r="AV163" s="739"/>
      <c r="AW163" s="739"/>
      <c r="AX163" s="739"/>
      <c r="AY163" s="739"/>
      <c r="AZ163" s="739"/>
      <c r="BA163" s="739"/>
      <c r="BB163" s="739"/>
      <c r="BC163" s="739"/>
      <c r="BD163" s="739"/>
      <c r="BE163" s="739"/>
      <c r="BF163" s="739"/>
      <c r="BG163" s="739"/>
      <c r="BH163" s="739"/>
      <c r="BI163" s="739"/>
      <c r="BJ163" s="739"/>
      <c r="BK163" s="739"/>
      <c r="BL163" s="739"/>
    </row>
    <row r="164" spans="7:64" x14ac:dyDescent="0.25">
      <c r="G164" s="739"/>
      <c r="H164" s="739"/>
      <c r="I164" s="739"/>
      <c r="J164" s="739"/>
      <c r="K164" s="739"/>
      <c r="L164" s="739"/>
      <c r="M164" s="739"/>
      <c r="N164" s="739"/>
      <c r="O164" s="739"/>
      <c r="P164" s="739"/>
      <c r="Q164" s="739"/>
      <c r="R164" s="739"/>
      <c r="S164" s="739"/>
      <c r="T164" s="739"/>
      <c r="U164" s="739"/>
      <c r="V164" s="739"/>
      <c r="W164" s="739"/>
      <c r="X164" s="739"/>
      <c r="Y164" s="739"/>
      <c r="Z164" s="739"/>
      <c r="AA164" s="739"/>
      <c r="AB164" s="739"/>
      <c r="AC164" s="739"/>
      <c r="AD164" s="739"/>
      <c r="AE164" s="739"/>
      <c r="AF164" s="739"/>
      <c r="AG164" s="739"/>
      <c r="AH164" s="739"/>
      <c r="AI164" s="739"/>
      <c r="AJ164" s="739"/>
      <c r="AK164" s="739"/>
      <c r="AL164" s="739"/>
      <c r="AM164" s="739"/>
      <c r="AN164" s="739"/>
      <c r="AO164" s="739"/>
      <c r="AP164" s="739"/>
      <c r="AQ164" s="739"/>
      <c r="AR164" s="739"/>
      <c r="AS164" s="739"/>
      <c r="AT164" s="739"/>
      <c r="AU164" s="739"/>
      <c r="AV164" s="739"/>
      <c r="AW164" s="739"/>
      <c r="AX164" s="739"/>
      <c r="AY164" s="739"/>
      <c r="AZ164" s="739"/>
      <c r="BA164" s="739"/>
      <c r="BB164" s="739"/>
      <c r="BC164" s="739"/>
      <c r="BD164" s="739"/>
      <c r="BE164" s="739"/>
      <c r="BF164" s="739"/>
      <c r="BG164" s="739"/>
      <c r="BH164" s="739"/>
      <c r="BI164" s="739"/>
      <c r="BJ164" s="739"/>
      <c r="BK164" s="739"/>
      <c r="BL164" s="739"/>
    </row>
    <row r="165" spans="7:64" x14ac:dyDescent="0.25">
      <c r="G165" s="739"/>
      <c r="H165" s="739"/>
      <c r="I165" s="739"/>
      <c r="J165" s="739"/>
      <c r="K165" s="739"/>
      <c r="L165" s="739"/>
      <c r="M165" s="739"/>
      <c r="N165" s="739"/>
      <c r="O165" s="739"/>
      <c r="P165" s="739"/>
      <c r="Q165" s="739"/>
      <c r="R165" s="739"/>
      <c r="S165" s="739"/>
      <c r="T165" s="739"/>
      <c r="U165" s="739"/>
      <c r="V165" s="739"/>
      <c r="W165" s="739"/>
      <c r="X165" s="739"/>
      <c r="Y165" s="739"/>
      <c r="Z165" s="739"/>
      <c r="AA165" s="739"/>
      <c r="AB165" s="739"/>
      <c r="AC165" s="739"/>
      <c r="AD165" s="739"/>
      <c r="AE165" s="739"/>
      <c r="AF165" s="739"/>
      <c r="AG165" s="739"/>
      <c r="AH165" s="739"/>
      <c r="AI165" s="739"/>
      <c r="AJ165" s="739"/>
      <c r="AK165" s="739"/>
      <c r="AL165" s="739"/>
      <c r="AM165" s="739"/>
      <c r="AN165" s="739"/>
      <c r="AO165" s="739"/>
      <c r="AP165" s="739"/>
      <c r="AQ165" s="739"/>
      <c r="AR165" s="739"/>
      <c r="AS165" s="739"/>
      <c r="AT165" s="739"/>
      <c r="AU165" s="739"/>
      <c r="AV165" s="739"/>
      <c r="AW165" s="739"/>
      <c r="AX165" s="739"/>
      <c r="AY165" s="739"/>
      <c r="AZ165" s="739"/>
      <c r="BA165" s="739"/>
      <c r="BB165" s="739"/>
      <c r="BC165" s="739"/>
      <c r="BD165" s="739"/>
      <c r="BE165" s="739"/>
      <c r="BF165" s="739"/>
      <c r="BG165" s="739"/>
      <c r="BH165" s="739"/>
      <c r="BI165" s="739"/>
      <c r="BJ165" s="739"/>
      <c r="BK165" s="739"/>
      <c r="BL165" s="739"/>
    </row>
    <row r="166" spans="7:64" x14ac:dyDescent="0.25">
      <c r="G166" s="739"/>
      <c r="H166" s="739"/>
      <c r="I166" s="739"/>
      <c r="J166" s="739"/>
      <c r="K166" s="739"/>
      <c r="L166" s="739"/>
      <c r="M166" s="739"/>
      <c r="N166" s="739"/>
      <c r="O166" s="739"/>
      <c r="P166" s="739"/>
      <c r="Q166" s="739"/>
      <c r="R166" s="739"/>
      <c r="S166" s="739"/>
      <c r="T166" s="739"/>
      <c r="U166" s="739"/>
      <c r="V166" s="739"/>
      <c r="W166" s="739"/>
      <c r="X166" s="739"/>
      <c r="Y166" s="739"/>
      <c r="Z166" s="739"/>
      <c r="AA166" s="739"/>
      <c r="AB166" s="739"/>
      <c r="AC166" s="739"/>
      <c r="AD166" s="739"/>
      <c r="AE166" s="739"/>
      <c r="AF166" s="739"/>
      <c r="AG166" s="739"/>
      <c r="AH166" s="739"/>
      <c r="AI166" s="739"/>
      <c r="AJ166" s="739"/>
      <c r="AK166" s="739"/>
      <c r="AL166" s="739"/>
      <c r="AM166" s="739"/>
      <c r="AN166" s="739"/>
      <c r="AO166" s="739"/>
      <c r="AP166" s="739"/>
      <c r="AQ166" s="739"/>
      <c r="AR166" s="739"/>
      <c r="AS166" s="739"/>
      <c r="AT166" s="739"/>
      <c r="AU166" s="739"/>
      <c r="AV166" s="739"/>
      <c r="AW166" s="739"/>
      <c r="AX166" s="739"/>
      <c r="AY166" s="739"/>
      <c r="AZ166" s="739"/>
      <c r="BA166" s="739"/>
      <c r="BB166" s="739"/>
      <c r="BC166" s="739"/>
      <c r="BD166" s="739"/>
      <c r="BE166" s="739"/>
      <c r="BF166" s="739"/>
      <c r="BG166" s="739"/>
      <c r="BH166" s="739"/>
      <c r="BI166" s="739"/>
      <c r="BJ166" s="739"/>
      <c r="BK166" s="739"/>
      <c r="BL166" s="739"/>
    </row>
    <row r="167" spans="7:64" x14ac:dyDescent="0.25">
      <c r="G167" s="739"/>
      <c r="H167" s="739"/>
      <c r="I167" s="739"/>
      <c r="J167" s="739"/>
      <c r="K167" s="739"/>
      <c r="L167" s="739"/>
      <c r="M167" s="739"/>
      <c r="N167" s="739"/>
      <c r="O167" s="739"/>
      <c r="P167" s="739"/>
      <c r="Q167" s="739"/>
      <c r="R167" s="739"/>
      <c r="S167" s="739"/>
      <c r="T167" s="739"/>
      <c r="U167" s="739"/>
      <c r="V167" s="739"/>
      <c r="W167" s="739"/>
      <c r="X167" s="739"/>
      <c r="Y167" s="739"/>
      <c r="Z167" s="739"/>
      <c r="AA167" s="739"/>
      <c r="AB167" s="739"/>
      <c r="AC167" s="739"/>
      <c r="AD167" s="739"/>
      <c r="AE167" s="739"/>
      <c r="AF167" s="739"/>
      <c r="AG167" s="739"/>
      <c r="AH167" s="739"/>
      <c r="AI167" s="739"/>
      <c r="AJ167" s="739"/>
      <c r="AK167" s="739"/>
      <c r="AL167" s="739"/>
      <c r="AM167" s="739"/>
      <c r="AN167" s="739"/>
      <c r="AO167" s="739"/>
      <c r="AP167" s="739"/>
      <c r="AQ167" s="739"/>
      <c r="AR167" s="739"/>
      <c r="AS167" s="739"/>
      <c r="AT167" s="739"/>
      <c r="AU167" s="739"/>
      <c r="AV167" s="739"/>
      <c r="AW167" s="739"/>
      <c r="AX167" s="739"/>
      <c r="AY167" s="739"/>
      <c r="AZ167" s="739"/>
      <c r="BA167" s="739"/>
      <c r="BB167" s="739"/>
      <c r="BC167" s="739"/>
      <c r="BD167" s="739"/>
      <c r="BE167" s="739"/>
      <c r="BF167" s="739"/>
      <c r="BG167" s="739"/>
      <c r="BH167" s="739"/>
      <c r="BI167" s="739"/>
      <c r="BJ167" s="739"/>
      <c r="BK167" s="739"/>
      <c r="BL167" s="739"/>
    </row>
    <row r="168" spans="7:64" x14ac:dyDescent="0.25">
      <c r="G168" s="739"/>
      <c r="H168" s="739"/>
      <c r="I168" s="739"/>
      <c r="J168" s="739"/>
      <c r="K168" s="739"/>
      <c r="L168" s="739"/>
      <c r="M168" s="739"/>
      <c r="N168" s="739"/>
      <c r="O168" s="739"/>
      <c r="P168" s="739"/>
      <c r="Q168" s="739"/>
      <c r="R168" s="739"/>
      <c r="S168" s="739"/>
      <c r="T168" s="739"/>
      <c r="U168" s="739"/>
      <c r="V168" s="739"/>
      <c r="W168" s="739"/>
      <c r="X168" s="739"/>
      <c r="Y168" s="739"/>
      <c r="Z168" s="739"/>
      <c r="AA168" s="739"/>
      <c r="AB168" s="739"/>
      <c r="AC168" s="739"/>
      <c r="AD168" s="739"/>
      <c r="AE168" s="739"/>
      <c r="AF168" s="739"/>
      <c r="AG168" s="739"/>
      <c r="AH168" s="739"/>
      <c r="AI168" s="739"/>
      <c r="AJ168" s="739"/>
      <c r="AK168" s="739"/>
      <c r="AL168" s="739"/>
      <c r="AM168" s="739"/>
      <c r="AN168" s="739"/>
      <c r="AO168" s="739"/>
      <c r="AP168" s="739"/>
      <c r="AQ168" s="739"/>
      <c r="AR168" s="739"/>
      <c r="AS168" s="739"/>
      <c r="AT168" s="739"/>
      <c r="AU168" s="739"/>
      <c r="AV168" s="739"/>
      <c r="AW168" s="739"/>
      <c r="AX168" s="739"/>
      <c r="AY168" s="739"/>
      <c r="AZ168" s="739"/>
      <c r="BA168" s="739"/>
      <c r="BB168" s="739"/>
      <c r="BC168" s="739"/>
      <c r="BD168" s="739"/>
      <c r="BE168" s="739"/>
      <c r="BF168" s="739"/>
      <c r="BG168" s="739"/>
      <c r="BH168" s="739"/>
      <c r="BI168" s="739"/>
      <c r="BJ168" s="739"/>
      <c r="BK168" s="739"/>
      <c r="BL168" s="739"/>
    </row>
    <row r="169" spans="7:64" x14ac:dyDescent="0.25">
      <c r="G169" s="739"/>
      <c r="H169" s="739"/>
      <c r="I169" s="739"/>
      <c r="J169" s="739"/>
      <c r="K169" s="739"/>
      <c r="L169" s="739"/>
      <c r="M169" s="739"/>
      <c r="N169" s="739"/>
      <c r="O169" s="739"/>
      <c r="P169" s="739"/>
      <c r="Q169" s="739"/>
      <c r="R169" s="739"/>
      <c r="S169" s="739"/>
      <c r="T169" s="739"/>
      <c r="U169" s="739"/>
      <c r="V169" s="739"/>
      <c r="W169" s="739"/>
      <c r="X169" s="739"/>
      <c r="Y169" s="739"/>
      <c r="Z169" s="739"/>
      <c r="AA169" s="739"/>
      <c r="AB169" s="739"/>
      <c r="AC169" s="739"/>
      <c r="AD169" s="739"/>
      <c r="AE169" s="739"/>
      <c r="AF169" s="739"/>
      <c r="AG169" s="739"/>
      <c r="AH169" s="739"/>
      <c r="AI169" s="739"/>
      <c r="AJ169" s="739"/>
      <c r="AK169" s="739"/>
      <c r="AL169" s="739"/>
      <c r="AM169" s="739"/>
      <c r="AN169" s="739"/>
      <c r="AO169" s="739"/>
      <c r="AP169" s="739"/>
      <c r="AQ169" s="739"/>
      <c r="AR169" s="739"/>
      <c r="AS169" s="739"/>
      <c r="AT169" s="739"/>
      <c r="AU169" s="739"/>
      <c r="AV169" s="739"/>
      <c r="AW169" s="739"/>
      <c r="AX169" s="739"/>
      <c r="AY169" s="739"/>
      <c r="AZ169" s="739"/>
      <c r="BA169" s="739"/>
      <c r="BB169" s="739"/>
      <c r="BC169" s="739"/>
      <c r="BD169" s="739"/>
      <c r="BE169" s="739"/>
      <c r="BF169" s="739"/>
      <c r="BG169" s="739"/>
      <c r="BH169" s="739"/>
      <c r="BI169" s="739"/>
      <c r="BJ169" s="739"/>
      <c r="BK169" s="739"/>
      <c r="BL169" s="739"/>
    </row>
    <row r="170" spans="7:64" x14ac:dyDescent="0.25">
      <c r="G170" s="739"/>
      <c r="H170" s="739"/>
      <c r="I170" s="739"/>
      <c r="J170" s="739"/>
      <c r="K170" s="739"/>
      <c r="L170" s="739"/>
      <c r="M170" s="739"/>
      <c r="N170" s="739"/>
      <c r="O170" s="739"/>
      <c r="P170" s="739"/>
      <c r="Q170" s="739"/>
      <c r="R170" s="739"/>
      <c r="S170" s="739"/>
      <c r="T170" s="739"/>
      <c r="U170" s="739"/>
      <c r="V170" s="739"/>
      <c r="W170" s="739"/>
      <c r="X170" s="739"/>
      <c r="Y170" s="739"/>
      <c r="Z170" s="739"/>
      <c r="AA170" s="739"/>
      <c r="AB170" s="739"/>
      <c r="AC170" s="739"/>
      <c r="AD170" s="739"/>
      <c r="AE170" s="739"/>
      <c r="AF170" s="739"/>
      <c r="AG170" s="739"/>
      <c r="AH170" s="739"/>
      <c r="AI170" s="739"/>
      <c r="AJ170" s="739"/>
      <c r="AK170" s="739"/>
      <c r="AL170" s="739"/>
      <c r="AM170" s="739"/>
      <c r="AN170" s="739"/>
      <c r="AO170" s="739"/>
      <c r="AP170" s="739"/>
      <c r="AQ170" s="739"/>
      <c r="AR170" s="739"/>
      <c r="AS170" s="739"/>
      <c r="AT170" s="739"/>
      <c r="AU170" s="739"/>
      <c r="AV170" s="739"/>
      <c r="AW170" s="739"/>
      <c r="AX170" s="739"/>
      <c r="AY170" s="739"/>
      <c r="AZ170" s="739"/>
      <c r="BA170" s="739"/>
      <c r="BB170" s="739"/>
      <c r="BC170" s="739"/>
      <c r="BD170" s="739"/>
      <c r="BE170" s="739"/>
      <c r="BF170" s="739"/>
      <c r="BG170" s="739"/>
      <c r="BH170" s="739"/>
      <c r="BI170" s="739"/>
      <c r="BJ170" s="739"/>
      <c r="BK170" s="739"/>
      <c r="BL170" s="739"/>
    </row>
    <row r="171" spans="7:64" x14ac:dyDescent="0.25">
      <c r="G171" s="739"/>
      <c r="H171" s="739"/>
      <c r="I171" s="739"/>
      <c r="J171" s="739"/>
      <c r="K171" s="739"/>
      <c r="L171" s="739"/>
      <c r="M171" s="739"/>
      <c r="N171" s="739"/>
      <c r="O171" s="739"/>
      <c r="P171" s="739"/>
      <c r="Q171" s="739"/>
      <c r="R171" s="739"/>
      <c r="S171" s="739"/>
      <c r="T171" s="739"/>
      <c r="U171" s="739"/>
      <c r="V171" s="739"/>
      <c r="W171" s="739"/>
      <c r="X171" s="739"/>
      <c r="Y171" s="739"/>
      <c r="Z171" s="739"/>
      <c r="AA171" s="739"/>
      <c r="AB171" s="739"/>
      <c r="AC171" s="739"/>
      <c r="AD171" s="739"/>
      <c r="AE171" s="739"/>
      <c r="AF171" s="739"/>
      <c r="AG171" s="739"/>
      <c r="AH171" s="739"/>
      <c r="AI171" s="739"/>
      <c r="AJ171" s="739"/>
      <c r="AK171" s="739"/>
      <c r="AL171" s="739"/>
      <c r="AM171" s="739"/>
      <c r="AN171" s="739"/>
      <c r="AO171" s="739"/>
      <c r="AP171" s="739"/>
      <c r="AQ171" s="739"/>
      <c r="AR171" s="739"/>
      <c r="AS171" s="739"/>
      <c r="AT171" s="739"/>
      <c r="AU171" s="739"/>
      <c r="AV171" s="739"/>
      <c r="AW171" s="739"/>
      <c r="AX171" s="739"/>
      <c r="AY171" s="739"/>
      <c r="AZ171" s="739"/>
      <c r="BA171" s="739"/>
      <c r="BB171" s="739"/>
      <c r="BC171" s="739"/>
      <c r="BD171" s="739"/>
      <c r="BE171" s="739"/>
      <c r="BF171" s="739"/>
      <c r="BG171" s="739"/>
      <c r="BH171" s="739"/>
      <c r="BI171" s="739"/>
      <c r="BJ171" s="739"/>
      <c r="BK171" s="739"/>
      <c r="BL171" s="739"/>
    </row>
    <row r="172" spans="7:64" x14ac:dyDescent="0.25">
      <c r="G172" s="739"/>
      <c r="H172" s="739"/>
      <c r="I172" s="739"/>
      <c r="J172" s="739"/>
      <c r="K172" s="739"/>
      <c r="L172" s="739"/>
      <c r="M172" s="739"/>
      <c r="N172" s="739"/>
      <c r="O172" s="739"/>
      <c r="P172" s="739"/>
      <c r="Q172" s="739"/>
      <c r="R172" s="739"/>
      <c r="S172" s="739"/>
      <c r="T172" s="739"/>
      <c r="U172" s="739"/>
      <c r="V172" s="739"/>
      <c r="W172" s="739"/>
      <c r="X172" s="739"/>
      <c r="Y172" s="739"/>
      <c r="Z172" s="739"/>
      <c r="AA172" s="739"/>
      <c r="AB172" s="739"/>
      <c r="AC172" s="739"/>
      <c r="AD172" s="739"/>
      <c r="AE172" s="739"/>
      <c r="AF172" s="739"/>
      <c r="AG172" s="739"/>
      <c r="AH172" s="739"/>
      <c r="AI172" s="739"/>
      <c r="AJ172" s="739"/>
      <c r="AK172" s="739"/>
      <c r="AL172" s="739"/>
      <c r="AM172" s="739"/>
      <c r="AN172" s="739"/>
      <c r="AO172" s="739"/>
      <c r="AP172" s="739"/>
      <c r="AQ172" s="739"/>
      <c r="AR172" s="739"/>
      <c r="AS172" s="739"/>
      <c r="AT172" s="739"/>
      <c r="AU172" s="739"/>
      <c r="AV172" s="739"/>
      <c r="AW172" s="739"/>
      <c r="AX172" s="739"/>
      <c r="AY172" s="739"/>
      <c r="AZ172" s="739"/>
      <c r="BA172" s="739"/>
      <c r="BB172" s="739"/>
      <c r="BC172" s="739"/>
      <c r="BD172" s="739"/>
      <c r="BE172" s="739"/>
      <c r="BF172" s="739"/>
      <c r="BG172" s="739"/>
      <c r="BH172" s="739"/>
      <c r="BI172" s="739"/>
      <c r="BJ172" s="739"/>
      <c r="BK172" s="739"/>
      <c r="BL172" s="739"/>
    </row>
    <row r="173" spans="7:64" x14ac:dyDescent="0.25">
      <c r="G173" s="739"/>
      <c r="H173" s="739"/>
      <c r="I173" s="739"/>
      <c r="J173" s="739"/>
      <c r="K173" s="739"/>
      <c r="L173" s="739"/>
      <c r="M173" s="739"/>
      <c r="N173" s="739"/>
      <c r="O173" s="739"/>
      <c r="P173" s="739"/>
      <c r="Q173" s="739"/>
      <c r="R173" s="739"/>
      <c r="S173" s="739"/>
      <c r="T173" s="739"/>
      <c r="U173" s="739"/>
      <c r="V173" s="739"/>
      <c r="W173" s="739"/>
      <c r="X173" s="739"/>
      <c r="Y173" s="739"/>
      <c r="Z173" s="739"/>
      <c r="AA173" s="739"/>
      <c r="AB173" s="739"/>
      <c r="AC173" s="739"/>
      <c r="AD173" s="739"/>
      <c r="AE173" s="739"/>
      <c r="AF173" s="739"/>
      <c r="AG173" s="739"/>
      <c r="AH173" s="739"/>
      <c r="AI173" s="739"/>
      <c r="AJ173" s="739"/>
      <c r="AK173" s="739"/>
      <c r="AL173" s="739"/>
      <c r="AM173" s="739"/>
      <c r="AN173" s="739"/>
      <c r="AO173" s="739"/>
      <c r="AP173" s="739"/>
      <c r="AQ173" s="739"/>
      <c r="AR173" s="739"/>
      <c r="AS173" s="739"/>
      <c r="AT173" s="739"/>
      <c r="AU173" s="739"/>
      <c r="AV173" s="739"/>
      <c r="AW173" s="739"/>
      <c r="AX173" s="739"/>
      <c r="AY173" s="739"/>
      <c r="AZ173" s="739"/>
      <c r="BA173" s="739"/>
      <c r="BB173" s="739"/>
      <c r="BC173" s="739"/>
      <c r="BD173" s="739"/>
      <c r="BE173" s="739"/>
      <c r="BF173" s="739"/>
      <c r="BG173" s="739"/>
      <c r="BH173" s="739"/>
      <c r="BI173" s="739"/>
      <c r="BJ173" s="739"/>
      <c r="BK173" s="739"/>
      <c r="BL173" s="739"/>
    </row>
    <row r="174" spans="7:64" x14ac:dyDescent="0.25">
      <c r="G174" s="739"/>
      <c r="H174" s="739"/>
      <c r="I174" s="739"/>
      <c r="J174" s="739"/>
      <c r="K174" s="739"/>
      <c r="L174" s="739"/>
      <c r="M174" s="739"/>
      <c r="N174" s="739"/>
      <c r="O174" s="739"/>
      <c r="P174" s="739"/>
      <c r="Q174" s="739"/>
      <c r="R174" s="739"/>
      <c r="S174" s="739"/>
      <c r="T174" s="739"/>
      <c r="U174" s="739"/>
      <c r="V174" s="739"/>
      <c r="W174" s="739"/>
      <c r="X174" s="739"/>
      <c r="Y174" s="739"/>
      <c r="Z174" s="739"/>
      <c r="AA174" s="739"/>
      <c r="AB174" s="739"/>
      <c r="AC174" s="739"/>
      <c r="AD174" s="739"/>
      <c r="AE174" s="739"/>
      <c r="AF174" s="739"/>
      <c r="AG174" s="739"/>
      <c r="AH174" s="739"/>
      <c r="AI174" s="739"/>
      <c r="AJ174" s="739"/>
      <c r="AK174" s="739"/>
      <c r="AL174" s="739"/>
      <c r="AM174" s="739"/>
      <c r="AN174" s="739"/>
      <c r="AO174" s="739"/>
      <c r="AP174" s="739"/>
      <c r="AQ174" s="739"/>
      <c r="AR174" s="739"/>
      <c r="AS174" s="739"/>
      <c r="AT174" s="739"/>
      <c r="AU174" s="739"/>
      <c r="AV174" s="739"/>
      <c r="AW174" s="739"/>
      <c r="AX174" s="739"/>
      <c r="AY174" s="739"/>
      <c r="AZ174" s="739"/>
      <c r="BA174" s="739"/>
      <c r="BB174" s="739"/>
      <c r="BC174" s="739"/>
      <c r="BD174" s="739"/>
      <c r="BE174" s="739"/>
      <c r="BF174" s="739"/>
      <c r="BG174" s="739"/>
      <c r="BH174" s="739"/>
      <c r="BI174" s="739"/>
      <c r="BJ174" s="739"/>
      <c r="BK174" s="739"/>
      <c r="BL174" s="739"/>
    </row>
    <row r="175" spans="7:64" x14ac:dyDescent="0.25">
      <c r="G175" s="739"/>
      <c r="H175" s="739"/>
      <c r="I175" s="739"/>
      <c r="J175" s="739"/>
      <c r="K175" s="739"/>
      <c r="L175" s="739"/>
      <c r="M175" s="739"/>
      <c r="N175" s="739"/>
      <c r="O175" s="739"/>
      <c r="P175" s="739"/>
      <c r="Q175" s="739"/>
      <c r="R175" s="739"/>
      <c r="S175" s="739"/>
      <c r="T175" s="739"/>
      <c r="U175" s="739"/>
      <c r="V175" s="739"/>
      <c r="W175" s="739"/>
      <c r="X175" s="739"/>
      <c r="Y175" s="739"/>
      <c r="Z175" s="739"/>
      <c r="AA175" s="739"/>
      <c r="AB175" s="739"/>
      <c r="AC175" s="739"/>
      <c r="AD175" s="739"/>
      <c r="AE175" s="739"/>
      <c r="AF175" s="739"/>
      <c r="AG175" s="739"/>
      <c r="AH175" s="739"/>
      <c r="AI175" s="739"/>
      <c r="AJ175" s="739"/>
      <c r="AK175" s="739"/>
      <c r="AL175" s="739"/>
      <c r="AM175" s="739"/>
      <c r="AN175" s="739"/>
      <c r="AO175" s="739"/>
      <c r="AP175" s="739"/>
      <c r="AQ175" s="739"/>
      <c r="AR175" s="739"/>
      <c r="AS175" s="739"/>
      <c r="AT175" s="739"/>
      <c r="AU175" s="739"/>
      <c r="AV175" s="739"/>
      <c r="AW175" s="739"/>
      <c r="AX175" s="739"/>
      <c r="AY175" s="739"/>
      <c r="AZ175" s="739"/>
      <c r="BA175" s="739"/>
      <c r="BB175" s="739"/>
      <c r="BC175" s="739"/>
      <c r="BD175" s="739"/>
      <c r="BE175" s="739"/>
      <c r="BF175" s="739"/>
      <c r="BG175" s="739"/>
      <c r="BH175" s="739"/>
      <c r="BI175" s="739"/>
      <c r="BJ175" s="739"/>
      <c r="BK175" s="739"/>
      <c r="BL175" s="739"/>
    </row>
    <row r="176" spans="7:64" x14ac:dyDescent="0.25">
      <c r="G176" s="739"/>
      <c r="H176" s="739"/>
      <c r="I176" s="739"/>
      <c r="J176" s="739"/>
      <c r="K176" s="739"/>
      <c r="L176" s="739"/>
      <c r="M176" s="739"/>
      <c r="N176" s="739"/>
      <c r="O176" s="739"/>
      <c r="P176" s="739"/>
      <c r="Q176" s="739"/>
      <c r="R176" s="739"/>
      <c r="S176" s="739"/>
      <c r="T176" s="739"/>
      <c r="U176" s="739"/>
      <c r="V176" s="739"/>
      <c r="W176" s="739"/>
      <c r="X176" s="739"/>
      <c r="Y176" s="739"/>
      <c r="Z176" s="739"/>
      <c r="AA176" s="739"/>
      <c r="AB176" s="739"/>
      <c r="AC176" s="739"/>
      <c r="AD176" s="739"/>
      <c r="AE176" s="739"/>
      <c r="AF176" s="739"/>
      <c r="AG176" s="739"/>
      <c r="AH176" s="739"/>
      <c r="AI176" s="739"/>
      <c r="AJ176" s="739"/>
      <c r="AK176" s="739"/>
      <c r="AL176" s="739"/>
      <c r="AM176" s="739"/>
      <c r="AN176" s="739"/>
      <c r="AO176" s="739"/>
      <c r="AP176" s="739"/>
      <c r="AQ176" s="739"/>
      <c r="AR176" s="739"/>
      <c r="AS176" s="739"/>
      <c r="AT176" s="739"/>
      <c r="AU176" s="739"/>
      <c r="AV176" s="739"/>
      <c r="AW176" s="739"/>
      <c r="AX176" s="739"/>
      <c r="AY176" s="739"/>
      <c r="AZ176" s="739"/>
      <c r="BA176" s="739"/>
      <c r="BB176" s="739"/>
      <c r="BC176" s="739"/>
      <c r="BD176" s="739"/>
      <c r="BE176" s="739"/>
      <c r="BF176" s="739"/>
      <c r="BG176" s="739"/>
      <c r="BH176" s="739"/>
      <c r="BI176" s="739"/>
      <c r="BJ176" s="739"/>
      <c r="BK176" s="739"/>
      <c r="BL176" s="739"/>
    </row>
    <row r="177" spans="7:64" x14ac:dyDescent="0.25">
      <c r="G177" s="739"/>
      <c r="H177" s="739"/>
      <c r="I177" s="739"/>
      <c r="J177" s="739"/>
      <c r="K177" s="739"/>
      <c r="L177" s="739"/>
      <c r="M177" s="739"/>
      <c r="N177" s="739"/>
      <c r="O177" s="739"/>
      <c r="P177" s="739"/>
      <c r="Q177" s="739"/>
      <c r="R177" s="739"/>
      <c r="S177" s="739"/>
      <c r="T177" s="739"/>
      <c r="U177" s="739"/>
      <c r="V177" s="739"/>
      <c r="W177" s="739"/>
      <c r="X177" s="739"/>
      <c r="Y177" s="739"/>
      <c r="Z177" s="739"/>
      <c r="AA177" s="739"/>
      <c r="AB177" s="739"/>
      <c r="AC177" s="739"/>
      <c r="AD177" s="739"/>
      <c r="AE177" s="739"/>
      <c r="AF177" s="739"/>
      <c r="AG177" s="739"/>
      <c r="AH177" s="739"/>
      <c r="AI177" s="739"/>
      <c r="AJ177" s="739"/>
      <c r="AK177" s="739"/>
      <c r="AL177" s="739"/>
      <c r="AM177" s="739"/>
      <c r="AN177" s="739"/>
      <c r="AO177" s="739"/>
      <c r="AP177" s="739"/>
      <c r="AQ177" s="739"/>
      <c r="AR177" s="739"/>
      <c r="AS177" s="739"/>
      <c r="AT177" s="739"/>
      <c r="AU177" s="739"/>
      <c r="AV177" s="739"/>
      <c r="AW177" s="739"/>
      <c r="AX177" s="739"/>
      <c r="AY177" s="739"/>
      <c r="AZ177" s="739"/>
      <c r="BA177" s="739"/>
      <c r="BB177" s="739"/>
      <c r="BC177" s="739"/>
      <c r="BD177" s="739"/>
      <c r="BE177" s="739"/>
      <c r="BF177" s="739"/>
      <c r="BG177" s="739"/>
      <c r="BH177" s="739"/>
      <c r="BI177" s="739"/>
      <c r="BJ177" s="739"/>
      <c r="BK177" s="739"/>
      <c r="BL177" s="739"/>
    </row>
    <row r="178" spans="7:64" x14ac:dyDescent="0.25">
      <c r="G178" s="739"/>
      <c r="H178" s="739"/>
      <c r="I178" s="739"/>
      <c r="J178" s="739"/>
      <c r="K178" s="739"/>
      <c r="L178" s="739"/>
      <c r="M178" s="739"/>
      <c r="N178" s="739"/>
      <c r="O178" s="739"/>
      <c r="P178" s="739"/>
      <c r="Q178" s="739"/>
      <c r="R178" s="739"/>
      <c r="S178" s="739"/>
      <c r="T178" s="739"/>
      <c r="U178" s="739"/>
      <c r="V178" s="739"/>
      <c r="W178" s="739"/>
      <c r="X178" s="739"/>
      <c r="Y178" s="739"/>
      <c r="Z178" s="739"/>
      <c r="AA178" s="739"/>
      <c r="AB178" s="739"/>
      <c r="AC178" s="739"/>
      <c r="AD178" s="739"/>
      <c r="AE178" s="739"/>
      <c r="AF178" s="739"/>
      <c r="AG178" s="739"/>
      <c r="AH178" s="739"/>
      <c r="AI178" s="739"/>
      <c r="AJ178" s="739"/>
      <c r="AK178" s="739"/>
      <c r="AL178" s="739"/>
      <c r="AM178" s="739"/>
      <c r="AN178" s="739"/>
      <c r="AO178" s="739"/>
      <c r="AP178" s="739"/>
      <c r="AQ178" s="739"/>
      <c r="AR178" s="739"/>
      <c r="AS178" s="739"/>
      <c r="AT178" s="739"/>
      <c r="AU178" s="739"/>
      <c r="AV178" s="739"/>
      <c r="AW178" s="739"/>
      <c r="AX178" s="739"/>
      <c r="AY178" s="739"/>
      <c r="AZ178" s="739"/>
      <c r="BA178" s="739"/>
      <c r="BB178" s="739"/>
      <c r="BC178" s="739"/>
      <c r="BD178" s="739"/>
      <c r="BE178" s="739"/>
      <c r="BF178" s="739"/>
      <c r="BG178" s="739"/>
      <c r="BH178" s="739"/>
      <c r="BI178" s="739"/>
      <c r="BJ178" s="739"/>
      <c r="BK178" s="739"/>
      <c r="BL178" s="739"/>
    </row>
    <row r="179" spans="7:64" x14ac:dyDescent="0.25">
      <c r="G179" s="739"/>
      <c r="H179" s="739"/>
      <c r="I179" s="739"/>
      <c r="J179" s="739"/>
      <c r="K179" s="739"/>
      <c r="L179" s="739"/>
      <c r="M179" s="739"/>
      <c r="N179" s="739"/>
      <c r="O179" s="739"/>
      <c r="P179" s="739"/>
      <c r="Q179" s="739"/>
      <c r="R179" s="739"/>
      <c r="S179" s="739"/>
      <c r="T179" s="739"/>
      <c r="U179" s="739"/>
      <c r="V179" s="739"/>
      <c r="W179" s="739"/>
      <c r="X179" s="739"/>
      <c r="Y179" s="739"/>
      <c r="Z179" s="739"/>
      <c r="AA179" s="739"/>
      <c r="AB179" s="739"/>
      <c r="AC179" s="739"/>
      <c r="AD179" s="739"/>
      <c r="AE179" s="739"/>
      <c r="AF179" s="739"/>
      <c r="AG179" s="739"/>
      <c r="AH179" s="739"/>
      <c r="AI179" s="739"/>
      <c r="AJ179" s="739"/>
      <c r="AK179" s="739"/>
      <c r="AL179" s="739"/>
      <c r="AM179" s="739"/>
      <c r="AN179" s="739"/>
      <c r="AO179" s="739"/>
      <c r="AP179" s="739"/>
      <c r="AQ179" s="739"/>
      <c r="AR179" s="739"/>
      <c r="AS179" s="739"/>
      <c r="AT179" s="739"/>
      <c r="AU179" s="739"/>
      <c r="AV179" s="739"/>
      <c r="AW179" s="739"/>
      <c r="AX179" s="739"/>
      <c r="AY179" s="739"/>
      <c r="AZ179" s="739"/>
      <c r="BA179" s="739"/>
      <c r="BB179" s="739"/>
      <c r="BC179" s="739"/>
      <c r="BD179" s="739"/>
      <c r="BE179" s="739"/>
      <c r="BF179" s="739"/>
      <c r="BG179" s="739"/>
      <c r="BH179" s="739"/>
      <c r="BI179" s="739"/>
      <c r="BJ179" s="739"/>
      <c r="BK179" s="739"/>
      <c r="BL179" s="739"/>
    </row>
    <row r="180" spans="7:64" x14ac:dyDescent="0.25">
      <c r="G180" s="739"/>
      <c r="H180" s="739"/>
      <c r="I180" s="739"/>
      <c r="J180" s="739"/>
      <c r="K180" s="739"/>
      <c r="L180" s="739"/>
      <c r="M180" s="739"/>
      <c r="N180" s="739"/>
      <c r="O180" s="739"/>
      <c r="P180" s="739"/>
      <c r="Q180" s="739"/>
      <c r="R180" s="739"/>
      <c r="S180" s="739"/>
      <c r="T180" s="739"/>
      <c r="U180" s="739"/>
      <c r="V180" s="739"/>
      <c r="W180" s="739"/>
      <c r="X180" s="739"/>
      <c r="Y180" s="739"/>
      <c r="Z180" s="739"/>
      <c r="AA180" s="739"/>
      <c r="AB180" s="739"/>
      <c r="AC180" s="739"/>
      <c r="AD180" s="739"/>
      <c r="AE180" s="739"/>
      <c r="AF180" s="739"/>
      <c r="AG180" s="739"/>
      <c r="AH180" s="739"/>
      <c r="AI180" s="739"/>
      <c r="AJ180" s="739"/>
      <c r="AK180" s="739"/>
      <c r="AL180" s="739"/>
      <c r="AM180" s="739"/>
      <c r="AN180" s="739"/>
      <c r="AO180" s="739"/>
      <c r="AP180" s="739"/>
      <c r="AQ180" s="739"/>
      <c r="AR180" s="739"/>
      <c r="AS180" s="739"/>
      <c r="AT180" s="739"/>
      <c r="AU180" s="739"/>
      <c r="AV180" s="739"/>
      <c r="AW180" s="739"/>
      <c r="AX180" s="739"/>
      <c r="AY180" s="739"/>
      <c r="AZ180" s="739"/>
      <c r="BA180" s="739"/>
      <c r="BB180" s="739"/>
      <c r="BC180" s="739"/>
      <c r="BD180" s="739"/>
      <c r="BE180" s="739"/>
      <c r="BF180" s="739"/>
      <c r="BG180" s="739"/>
      <c r="BH180" s="739"/>
      <c r="BI180" s="739"/>
      <c r="BJ180" s="739"/>
      <c r="BK180" s="739"/>
      <c r="BL180" s="739"/>
    </row>
    <row r="181" spans="7:64" x14ac:dyDescent="0.25">
      <c r="G181" s="739"/>
      <c r="H181" s="739"/>
      <c r="I181" s="739"/>
      <c r="J181" s="739"/>
      <c r="K181" s="739"/>
      <c r="L181" s="739"/>
      <c r="M181" s="739"/>
      <c r="N181" s="739"/>
      <c r="O181" s="739"/>
      <c r="P181" s="739"/>
      <c r="Q181" s="739"/>
      <c r="R181" s="739"/>
      <c r="S181" s="739"/>
      <c r="T181" s="739"/>
      <c r="U181" s="739"/>
      <c r="V181" s="739"/>
      <c r="W181" s="739"/>
      <c r="X181" s="739"/>
      <c r="Y181" s="739"/>
      <c r="Z181" s="739"/>
      <c r="AA181" s="739"/>
      <c r="AB181" s="739"/>
      <c r="AC181" s="739"/>
      <c r="AD181" s="739"/>
      <c r="AE181" s="739"/>
      <c r="AF181" s="739"/>
      <c r="AG181" s="739"/>
      <c r="AH181" s="739"/>
      <c r="AI181" s="739"/>
      <c r="AJ181" s="739"/>
      <c r="AK181" s="739"/>
      <c r="AL181" s="739"/>
      <c r="AM181" s="739"/>
      <c r="AN181" s="739"/>
      <c r="AO181" s="739"/>
      <c r="AP181" s="739"/>
      <c r="AQ181" s="739"/>
      <c r="AR181" s="739"/>
      <c r="AS181" s="739"/>
      <c r="AT181" s="739"/>
      <c r="AU181" s="739"/>
      <c r="AV181" s="739"/>
      <c r="AW181" s="739"/>
      <c r="AX181" s="739"/>
      <c r="AY181" s="739"/>
      <c r="AZ181" s="739"/>
      <c r="BA181" s="739"/>
      <c r="BB181" s="739"/>
      <c r="BC181" s="739"/>
      <c r="BD181" s="739"/>
      <c r="BE181" s="739"/>
      <c r="BF181" s="739"/>
      <c r="BG181" s="739"/>
      <c r="BH181" s="739"/>
      <c r="BI181" s="739"/>
      <c r="BJ181" s="739"/>
      <c r="BK181" s="739"/>
      <c r="BL181" s="739"/>
    </row>
    <row r="182" spans="7:64" x14ac:dyDescent="0.25">
      <c r="G182" s="739"/>
      <c r="H182" s="739"/>
      <c r="I182" s="739"/>
      <c r="J182" s="739"/>
      <c r="K182" s="739"/>
      <c r="L182" s="739"/>
      <c r="M182" s="739"/>
      <c r="N182" s="739"/>
      <c r="O182" s="739"/>
      <c r="P182" s="739"/>
      <c r="Q182" s="739"/>
      <c r="R182" s="739"/>
      <c r="S182" s="739"/>
      <c r="T182" s="739"/>
      <c r="U182" s="739"/>
      <c r="V182" s="739"/>
      <c r="W182" s="739"/>
      <c r="X182" s="739"/>
      <c r="Y182" s="739"/>
      <c r="Z182" s="739"/>
      <c r="AA182" s="739"/>
      <c r="AB182" s="739"/>
      <c r="AC182" s="739"/>
      <c r="AD182" s="739"/>
      <c r="AE182" s="739"/>
      <c r="AF182" s="739"/>
      <c r="AG182" s="739"/>
      <c r="AH182" s="739"/>
      <c r="AI182" s="739"/>
      <c r="AJ182" s="739"/>
      <c r="AK182" s="739"/>
      <c r="AL182" s="739"/>
      <c r="AM182" s="739"/>
      <c r="AN182" s="739"/>
      <c r="AO182" s="739"/>
      <c r="AP182" s="739"/>
      <c r="AQ182" s="739"/>
      <c r="AR182" s="739"/>
      <c r="AS182" s="739"/>
      <c r="AT182" s="739"/>
      <c r="AU182" s="739"/>
      <c r="AV182" s="739"/>
      <c r="AW182" s="739"/>
      <c r="AX182" s="739"/>
      <c r="AY182" s="739"/>
      <c r="AZ182" s="739"/>
      <c r="BA182" s="739"/>
      <c r="BB182" s="739"/>
      <c r="BC182" s="739"/>
      <c r="BD182" s="739"/>
      <c r="BE182" s="739"/>
      <c r="BF182" s="739"/>
      <c r="BG182" s="739"/>
      <c r="BH182" s="739"/>
      <c r="BI182" s="739"/>
      <c r="BJ182" s="739"/>
      <c r="BK182" s="739"/>
      <c r="BL182" s="739"/>
    </row>
    <row r="183" spans="7:64" x14ac:dyDescent="0.25">
      <c r="G183" s="739"/>
      <c r="H183" s="739"/>
      <c r="I183" s="739"/>
      <c r="J183" s="739"/>
      <c r="K183" s="739"/>
      <c r="L183" s="739"/>
      <c r="M183" s="739"/>
      <c r="N183" s="739"/>
      <c r="O183" s="739"/>
      <c r="P183" s="739"/>
      <c r="Q183" s="739"/>
      <c r="R183" s="739"/>
      <c r="S183" s="739"/>
      <c r="T183" s="739"/>
      <c r="U183" s="739"/>
      <c r="V183" s="739"/>
      <c r="W183" s="739"/>
      <c r="X183" s="739"/>
      <c r="Y183" s="739"/>
      <c r="Z183" s="739"/>
      <c r="AA183" s="739"/>
      <c r="AB183" s="739"/>
      <c r="AC183" s="739"/>
      <c r="AD183" s="739"/>
      <c r="AE183" s="739"/>
      <c r="AF183" s="739"/>
      <c r="AG183" s="739"/>
      <c r="AH183" s="739"/>
      <c r="AI183" s="739"/>
      <c r="AJ183" s="739"/>
      <c r="AK183" s="739"/>
      <c r="AL183" s="739"/>
      <c r="AM183" s="739"/>
      <c r="AN183" s="739"/>
      <c r="AO183" s="739"/>
      <c r="AP183" s="739"/>
      <c r="AQ183" s="739"/>
      <c r="AR183" s="739"/>
      <c r="AS183" s="739"/>
      <c r="AT183" s="739"/>
      <c r="AU183" s="739"/>
      <c r="AV183" s="739"/>
      <c r="AW183" s="739"/>
      <c r="AX183" s="739"/>
      <c r="AY183" s="739"/>
      <c r="AZ183" s="739"/>
      <c r="BA183" s="739"/>
      <c r="BB183" s="739"/>
      <c r="BC183" s="739"/>
      <c r="BD183" s="739"/>
      <c r="BE183" s="739"/>
      <c r="BF183" s="739"/>
      <c r="BG183" s="739"/>
      <c r="BH183" s="739"/>
      <c r="BI183" s="739"/>
      <c r="BJ183" s="739"/>
      <c r="BK183" s="739"/>
      <c r="BL183" s="739"/>
    </row>
    <row r="184" spans="7:64" x14ac:dyDescent="0.25">
      <c r="G184" s="739"/>
      <c r="H184" s="739"/>
      <c r="I184" s="739"/>
      <c r="J184" s="739"/>
      <c r="K184" s="739"/>
      <c r="L184" s="739"/>
      <c r="M184" s="739"/>
      <c r="N184" s="739"/>
      <c r="O184" s="739"/>
      <c r="P184" s="739"/>
      <c r="Q184" s="739"/>
      <c r="R184" s="739"/>
      <c r="S184" s="739"/>
      <c r="T184" s="739"/>
      <c r="U184" s="739"/>
      <c r="V184" s="739"/>
      <c r="W184" s="739"/>
      <c r="X184" s="739"/>
      <c r="Y184" s="739"/>
      <c r="Z184" s="739"/>
      <c r="AA184" s="739"/>
      <c r="AB184" s="739"/>
      <c r="AC184" s="739"/>
      <c r="AD184" s="739"/>
      <c r="AE184" s="739"/>
      <c r="AF184" s="739"/>
      <c r="AG184" s="739"/>
      <c r="AH184" s="739"/>
      <c r="AI184" s="739"/>
      <c r="AJ184" s="739"/>
      <c r="AK184" s="739"/>
      <c r="AL184" s="739"/>
      <c r="AM184" s="739"/>
      <c r="AN184" s="739"/>
      <c r="AO184" s="739"/>
      <c r="AP184" s="739"/>
      <c r="AQ184" s="739"/>
      <c r="AR184" s="739"/>
      <c r="AS184" s="739"/>
      <c r="AT184" s="739"/>
      <c r="AU184" s="739"/>
      <c r="AV184" s="739"/>
      <c r="AW184" s="739"/>
      <c r="AX184" s="739"/>
      <c r="AY184" s="739"/>
      <c r="AZ184" s="739"/>
      <c r="BA184" s="739"/>
      <c r="BB184" s="739"/>
      <c r="BC184" s="739"/>
      <c r="BD184" s="739"/>
      <c r="BE184" s="739"/>
      <c r="BF184" s="739"/>
      <c r="BG184" s="739"/>
      <c r="BH184" s="739"/>
      <c r="BI184" s="739"/>
      <c r="BJ184" s="739"/>
      <c r="BK184" s="739"/>
      <c r="BL184" s="739"/>
    </row>
    <row r="185" spans="7:64" x14ac:dyDescent="0.25">
      <c r="G185" s="739"/>
      <c r="H185" s="739"/>
      <c r="I185" s="739"/>
      <c r="J185" s="739"/>
      <c r="K185" s="739"/>
      <c r="L185" s="739"/>
      <c r="M185" s="739"/>
      <c r="N185" s="739"/>
      <c r="O185" s="739"/>
      <c r="P185" s="739"/>
      <c r="Q185" s="739"/>
      <c r="R185" s="739"/>
      <c r="S185" s="739"/>
      <c r="T185" s="739"/>
      <c r="U185" s="739"/>
      <c r="V185" s="739"/>
      <c r="W185" s="739"/>
      <c r="X185" s="739"/>
      <c r="Y185" s="739"/>
      <c r="Z185" s="739"/>
      <c r="AA185" s="739"/>
      <c r="AB185" s="739"/>
      <c r="AC185" s="739"/>
      <c r="AD185" s="739"/>
      <c r="AE185" s="739"/>
      <c r="AF185" s="739"/>
      <c r="AG185" s="739"/>
      <c r="AH185" s="739"/>
      <c r="AI185" s="739"/>
      <c r="AJ185" s="739"/>
      <c r="AK185" s="739"/>
      <c r="AL185" s="739"/>
      <c r="AM185" s="739"/>
      <c r="AN185" s="739"/>
      <c r="AO185" s="739"/>
      <c r="AP185" s="739"/>
      <c r="AQ185" s="739"/>
      <c r="AR185" s="739"/>
      <c r="AS185" s="739"/>
      <c r="AT185" s="739"/>
      <c r="AU185" s="739"/>
      <c r="AV185" s="739"/>
      <c r="AW185" s="739"/>
      <c r="AX185" s="739"/>
      <c r="AY185" s="739"/>
      <c r="AZ185" s="739"/>
      <c r="BA185" s="739"/>
      <c r="BB185" s="739"/>
      <c r="BC185" s="739"/>
      <c r="BD185" s="739"/>
      <c r="BE185" s="739"/>
      <c r="BF185" s="739"/>
      <c r="BG185" s="739"/>
      <c r="BH185" s="739"/>
      <c r="BI185" s="739"/>
      <c r="BJ185" s="739"/>
      <c r="BK185" s="739"/>
      <c r="BL185" s="739"/>
    </row>
    <row r="186" spans="7:64" x14ac:dyDescent="0.25">
      <c r="G186" s="739"/>
      <c r="H186" s="739"/>
      <c r="I186" s="739"/>
      <c r="J186" s="739"/>
      <c r="K186" s="739"/>
      <c r="L186" s="739"/>
      <c r="M186" s="739"/>
      <c r="N186" s="739"/>
      <c r="O186" s="739"/>
      <c r="P186" s="739"/>
      <c r="Q186" s="739"/>
      <c r="R186" s="739"/>
      <c r="S186" s="739"/>
      <c r="T186" s="739"/>
      <c r="U186" s="739"/>
      <c r="V186" s="739"/>
      <c r="W186" s="739"/>
      <c r="X186" s="739"/>
      <c r="Y186" s="739"/>
      <c r="Z186" s="739"/>
      <c r="AA186" s="739"/>
      <c r="AB186" s="739"/>
      <c r="AC186" s="739"/>
      <c r="AD186" s="739"/>
      <c r="AE186" s="739"/>
      <c r="AF186" s="739"/>
      <c r="AG186" s="739"/>
      <c r="AH186" s="739"/>
      <c r="AI186" s="739"/>
      <c r="AJ186" s="739"/>
      <c r="AK186" s="739"/>
      <c r="AL186" s="739"/>
      <c r="AM186" s="739"/>
      <c r="AN186" s="739"/>
      <c r="AO186" s="739"/>
      <c r="AP186" s="739"/>
      <c r="AQ186" s="739"/>
      <c r="AR186" s="739"/>
      <c r="AS186" s="739"/>
      <c r="AT186" s="739"/>
      <c r="AU186" s="739"/>
      <c r="AV186" s="739"/>
      <c r="AW186" s="739"/>
      <c r="AX186" s="739"/>
      <c r="AY186" s="739"/>
      <c r="AZ186" s="739"/>
      <c r="BA186" s="739"/>
      <c r="BB186" s="739"/>
      <c r="BC186" s="739"/>
      <c r="BD186" s="739"/>
      <c r="BE186" s="739"/>
      <c r="BF186" s="739"/>
      <c r="BG186" s="739"/>
      <c r="BH186" s="739"/>
      <c r="BI186" s="739"/>
      <c r="BJ186" s="739"/>
      <c r="BK186" s="739"/>
      <c r="BL186" s="739"/>
    </row>
    <row r="187" spans="7:64" x14ac:dyDescent="0.25">
      <c r="G187" s="739"/>
      <c r="H187" s="739"/>
      <c r="I187" s="739"/>
      <c r="J187" s="739"/>
      <c r="K187" s="739"/>
      <c r="L187" s="739"/>
      <c r="M187" s="739"/>
      <c r="N187" s="739"/>
      <c r="O187" s="739"/>
      <c r="P187" s="739"/>
      <c r="Q187" s="739"/>
      <c r="R187" s="739"/>
      <c r="S187" s="739"/>
      <c r="T187" s="739"/>
      <c r="U187" s="739"/>
      <c r="V187" s="739"/>
      <c r="W187" s="739"/>
      <c r="X187" s="739"/>
      <c r="Y187" s="739"/>
      <c r="Z187" s="739"/>
      <c r="AA187" s="739"/>
      <c r="AB187" s="739"/>
      <c r="AC187" s="739"/>
      <c r="AD187" s="739"/>
      <c r="AE187" s="739"/>
      <c r="AF187" s="739"/>
      <c r="AG187" s="739"/>
      <c r="AH187" s="739"/>
      <c r="AI187" s="739"/>
      <c r="AJ187" s="739"/>
      <c r="AK187" s="739"/>
      <c r="AL187" s="739"/>
      <c r="AM187" s="739"/>
      <c r="AN187" s="739"/>
      <c r="AO187" s="739"/>
      <c r="AP187" s="739"/>
      <c r="AQ187" s="739"/>
      <c r="AR187" s="739"/>
      <c r="AS187" s="739"/>
      <c r="AT187" s="739"/>
      <c r="AU187" s="739"/>
      <c r="AV187" s="739"/>
      <c r="AW187" s="739"/>
      <c r="AX187" s="739"/>
      <c r="AY187" s="739"/>
      <c r="AZ187" s="739"/>
      <c r="BA187" s="739"/>
      <c r="BB187" s="739"/>
      <c r="BC187" s="739"/>
      <c r="BD187" s="739"/>
      <c r="BE187" s="739"/>
      <c r="BF187" s="739"/>
      <c r="BG187" s="739"/>
      <c r="BH187" s="739"/>
      <c r="BI187" s="739"/>
      <c r="BJ187" s="739"/>
      <c r="BK187" s="739"/>
      <c r="BL187" s="739"/>
    </row>
    <row r="188" spans="7:64" x14ac:dyDescent="0.25">
      <c r="G188" s="739"/>
      <c r="H188" s="739"/>
      <c r="I188" s="739"/>
      <c r="J188" s="739"/>
      <c r="K188" s="739"/>
      <c r="L188" s="739"/>
      <c r="M188" s="739"/>
      <c r="N188" s="739"/>
      <c r="O188" s="739"/>
      <c r="P188" s="739"/>
      <c r="Q188" s="739"/>
      <c r="R188" s="739"/>
      <c r="S188" s="739"/>
      <c r="T188" s="739"/>
      <c r="U188" s="739"/>
      <c r="V188" s="739"/>
      <c r="W188" s="739"/>
      <c r="X188" s="739"/>
      <c r="Y188" s="739"/>
      <c r="Z188" s="739"/>
      <c r="AA188" s="739"/>
      <c r="AB188" s="739"/>
      <c r="AC188" s="739"/>
      <c r="AD188" s="739"/>
      <c r="AE188" s="739"/>
      <c r="AF188" s="739"/>
      <c r="AG188" s="739"/>
      <c r="AH188" s="739"/>
      <c r="AI188" s="739"/>
      <c r="AJ188" s="739"/>
      <c r="AK188" s="739"/>
      <c r="AL188" s="739"/>
      <c r="AM188" s="739"/>
      <c r="AN188" s="739"/>
      <c r="AO188" s="739"/>
      <c r="AP188" s="739"/>
      <c r="AQ188" s="739"/>
      <c r="AR188" s="739"/>
      <c r="AS188" s="739"/>
      <c r="AT188" s="739"/>
      <c r="AU188" s="739"/>
      <c r="AV188" s="739"/>
      <c r="AW188" s="739"/>
      <c r="AX188" s="739"/>
      <c r="AY188" s="739"/>
      <c r="AZ188" s="739"/>
      <c r="BA188" s="739"/>
      <c r="BB188" s="739"/>
      <c r="BC188" s="739"/>
      <c r="BD188" s="739"/>
      <c r="BE188" s="739"/>
      <c r="BF188" s="739"/>
      <c r="BG188" s="739"/>
      <c r="BH188" s="739"/>
      <c r="BI188" s="739"/>
      <c r="BJ188" s="739"/>
      <c r="BK188" s="739"/>
      <c r="BL188" s="739"/>
    </row>
    <row r="189" spans="7:64" x14ac:dyDescent="0.25">
      <c r="G189" s="739"/>
      <c r="H189" s="739"/>
      <c r="I189" s="739"/>
      <c r="J189" s="739"/>
      <c r="K189" s="739"/>
      <c r="L189" s="739"/>
      <c r="M189" s="739"/>
      <c r="N189" s="739"/>
      <c r="O189" s="739"/>
      <c r="P189" s="739"/>
      <c r="Q189" s="739"/>
      <c r="R189" s="739"/>
      <c r="S189" s="739"/>
      <c r="T189" s="739"/>
      <c r="U189" s="739"/>
      <c r="V189" s="739"/>
      <c r="W189" s="739"/>
      <c r="X189" s="739"/>
      <c r="Y189" s="739"/>
      <c r="Z189" s="739"/>
      <c r="AA189" s="739"/>
      <c r="AB189" s="739"/>
      <c r="AC189" s="739"/>
      <c r="AD189" s="739"/>
      <c r="AE189" s="739"/>
      <c r="AF189" s="739"/>
      <c r="AG189" s="739"/>
      <c r="AH189" s="739"/>
      <c r="AI189" s="739"/>
      <c r="AJ189" s="739"/>
      <c r="AK189" s="739"/>
      <c r="AL189" s="739"/>
      <c r="AM189" s="739"/>
      <c r="AN189" s="739"/>
      <c r="AO189" s="739"/>
      <c r="AP189" s="739"/>
      <c r="AQ189" s="739"/>
      <c r="AR189" s="739"/>
      <c r="AS189" s="739"/>
      <c r="AT189" s="739"/>
      <c r="AU189" s="739"/>
      <c r="AV189" s="739"/>
      <c r="AW189" s="739"/>
      <c r="AX189" s="739"/>
      <c r="AY189" s="739"/>
      <c r="AZ189" s="739"/>
      <c r="BA189" s="739"/>
      <c r="BB189" s="739"/>
      <c r="BC189" s="739"/>
      <c r="BD189" s="739"/>
      <c r="BE189" s="739"/>
      <c r="BF189" s="739"/>
      <c r="BG189" s="739"/>
      <c r="BH189" s="739"/>
      <c r="BI189" s="739"/>
      <c r="BJ189" s="739"/>
      <c r="BK189" s="739"/>
      <c r="BL189" s="739"/>
    </row>
    <row r="190" spans="7:64" x14ac:dyDescent="0.25">
      <c r="G190" s="739"/>
      <c r="H190" s="739"/>
      <c r="I190" s="739"/>
      <c r="J190" s="739"/>
      <c r="K190" s="739"/>
      <c r="L190" s="739"/>
      <c r="M190" s="739"/>
      <c r="N190" s="739"/>
      <c r="O190" s="739"/>
      <c r="P190" s="739"/>
      <c r="Q190" s="739"/>
      <c r="R190" s="739"/>
      <c r="S190" s="739"/>
      <c r="T190" s="739"/>
      <c r="U190" s="739"/>
      <c r="V190" s="739"/>
      <c r="W190" s="739"/>
      <c r="X190" s="739"/>
      <c r="Y190" s="739"/>
      <c r="Z190" s="739"/>
      <c r="AA190" s="739"/>
      <c r="AB190" s="739"/>
      <c r="AC190" s="739"/>
      <c r="AD190" s="739"/>
      <c r="AE190" s="739"/>
      <c r="AF190" s="739"/>
      <c r="AG190" s="739"/>
      <c r="AH190" s="739"/>
      <c r="AI190" s="739"/>
      <c r="AJ190" s="739"/>
      <c r="AK190" s="739"/>
      <c r="AL190" s="739"/>
      <c r="AM190" s="739"/>
      <c r="AN190" s="739"/>
      <c r="AO190" s="739"/>
      <c r="AP190" s="739"/>
      <c r="AQ190" s="739"/>
      <c r="AR190" s="739"/>
      <c r="AS190" s="739"/>
      <c r="AT190" s="739"/>
      <c r="AU190" s="739"/>
      <c r="AV190" s="739"/>
      <c r="AW190" s="739"/>
      <c r="AX190" s="739"/>
      <c r="AY190" s="739"/>
      <c r="AZ190" s="739"/>
      <c r="BA190" s="739"/>
      <c r="BB190" s="739"/>
      <c r="BC190" s="739"/>
      <c r="BD190" s="739"/>
      <c r="BE190" s="739"/>
      <c r="BF190" s="739"/>
      <c r="BG190" s="739"/>
      <c r="BH190" s="739"/>
      <c r="BI190" s="739"/>
      <c r="BJ190" s="739"/>
      <c r="BK190" s="739"/>
      <c r="BL190" s="739"/>
    </row>
    <row r="191" spans="7:64" x14ac:dyDescent="0.25">
      <c r="G191" s="739"/>
      <c r="H191" s="739"/>
      <c r="I191" s="739"/>
      <c r="J191" s="739"/>
      <c r="K191" s="739"/>
      <c r="L191" s="739"/>
      <c r="M191" s="739"/>
      <c r="N191" s="739"/>
      <c r="O191" s="739"/>
      <c r="P191" s="739"/>
      <c r="Q191" s="739"/>
      <c r="R191" s="739"/>
      <c r="S191" s="739"/>
      <c r="T191" s="739"/>
      <c r="U191" s="739"/>
      <c r="V191" s="739"/>
      <c r="W191" s="739"/>
      <c r="X191" s="739"/>
      <c r="Y191" s="739"/>
      <c r="Z191" s="739"/>
      <c r="AA191" s="739"/>
      <c r="AB191" s="739"/>
      <c r="AC191" s="739"/>
      <c r="AD191" s="739"/>
      <c r="AE191" s="739"/>
      <c r="AF191" s="739"/>
      <c r="AG191" s="739"/>
      <c r="AH191" s="739"/>
      <c r="AI191" s="739"/>
      <c r="AJ191" s="739"/>
      <c r="AK191" s="739"/>
      <c r="AL191" s="739"/>
      <c r="AM191" s="739"/>
      <c r="AN191" s="739"/>
      <c r="AO191" s="739"/>
      <c r="AP191" s="739"/>
      <c r="AQ191" s="739"/>
      <c r="AR191" s="739"/>
      <c r="AS191" s="739"/>
      <c r="AT191" s="739"/>
      <c r="AU191" s="739"/>
      <c r="AV191" s="739"/>
      <c r="AW191" s="739"/>
      <c r="AX191" s="739"/>
      <c r="AY191" s="739"/>
      <c r="AZ191" s="739"/>
      <c r="BA191" s="739"/>
      <c r="BB191" s="739"/>
      <c r="BC191" s="739"/>
      <c r="BD191" s="739"/>
      <c r="BE191" s="739"/>
      <c r="BF191" s="739"/>
      <c r="BG191" s="739"/>
      <c r="BH191" s="739"/>
      <c r="BI191" s="739"/>
      <c r="BJ191" s="739"/>
      <c r="BK191" s="739"/>
      <c r="BL191" s="739"/>
    </row>
    <row r="192" spans="7:64" x14ac:dyDescent="0.25">
      <c r="G192" s="739"/>
      <c r="H192" s="739"/>
      <c r="I192" s="739"/>
      <c r="J192" s="739"/>
      <c r="K192" s="739"/>
      <c r="L192" s="739"/>
      <c r="M192" s="739"/>
      <c r="N192" s="739"/>
      <c r="O192" s="739"/>
      <c r="P192" s="739"/>
      <c r="Q192" s="739"/>
      <c r="R192" s="739"/>
      <c r="S192" s="739"/>
      <c r="T192" s="739"/>
      <c r="U192" s="739"/>
      <c r="V192" s="739"/>
      <c r="W192" s="739"/>
      <c r="X192" s="739"/>
      <c r="Y192" s="739"/>
      <c r="Z192" s="739"/>
      <c r="AA192" s="739"/>
      <c r="AB192" s="739"/>
      <c r="AC192" s="739"/>
      <c r="AD192" s="739"/>
      <c r="AE192" s="739"/>
      <c r="AF192" s="739"/>
      <c r="AG192" s="739"/>
      <c r="AH192" s="739"/>
      <c r="AI192" s="739"/>
      <c r="AJ192" s="739"/>
      <c r="AK192" s="739"/>
      <c r="AL192" s="739"/>
      <c r="AM192" s="739"/>
      <c r="AN192" s="739"/>
      <c r="AO192" s="739"/>
      <c r="AP192" s="739"/>
      <c r="AQ192" s="739"/>
      <c r="AR192" s="739"/>
      <c r="AS192" s="739"/>
      <c r="AT192" s="739"/>
      <c r="AU192" s="739"/>
      <c r="AV192" s="739"/>
      <c r="AW192" s="739"/>
      <c r="AX192" s="739"/>
      <c r="AY192" s="739"/>
      <c r="AZ192" s="739"/>
      <c r="BA192" s="739"/>
      <c r="BB192" s="739"/>
      <c r="BC192" s="739"/>
      <c r="BD192" s="739"/>
      <c r="BE192" s="739"/>
      <c r="BF192" s="739"/>
      <c r="BG192" s="739"/>
      <c r="BH192" s="739"/>
      <c r="BI192" s="739"/>
      <c r="BJ192" s="739"/>
      <c r="BK192" s="739"/>
      <c r="BL192" s="739"/>
    </row>
    <row r="193" spans="7:64" x14ac:dyDescent="0.25">
      <c r="G193" s="739"/>
      <c r="H193" s="739"/>
      <c r="I193" s="739"/>
      <c r="J193" s="739"/>
      <c r="K193" s="739"/>
      <c r="L193" s="739"/>
      <c r="M193" s="739"/>
      <c r="N193" s="739"/>
      <c r="O193" s="739"/>
      <c r="P193" s="739"/>
      <c r="Q193" s="739"/>
      <c r="R193" s="739"/>
      <c r="S193" s="739"/>
      <c r="T193" s="739"/>
      <c r="U193" s="739"/>
      <c r="V193" s="739"/>
      <c r="W193" s="739"/>
      <c r="X193" s="739"/>
      <c r="Y193" s="739"/>
      <c r="Z193" s="739"/>
      <c r="AA193" s="739"/>
      <c r="AB193" s="739"/>
      <c r="AC193" s="739"/>
      <c r="AD193" s="739"/>
      <c r="AE193" s="739"/>
      <c r="AF193" s="739"/>
      <c r="AG193" s="739"/>
      <c r="AH193" s="739"/>
      <c r="AI193" s="739"/>
      <c r="AJ193" s="739"/>
      <c r="AK193" s="739"/>
      <c r="AL193" s="739"/>
      <c r="AM193" s="739"/>
      <c r="AN193" s="739"/>
      <c r="AO193" s="739"/>
      <c r="AP193" s="739"/>
      <c r="AQ193" s="739"/>
      <c r="AR193" s="739"/>
      <c r="AS193" s="739"/>
      <c r="AT193" s="739"/>
      <c r="AU193" s="739"/>
      <c r="AV193" s="739"/>
      <c r="AW193" s="739"/>
      <c r="AX193" s="739"/>
      <c r="AY193" s="739"/>
      <c r="AZ193" s="739"/>
      <c r="BA193" s="739"/>
      <c r="BB193" s="739"/>
      <c r="BC193" s="739"/>
      <c r="BD193" s="739"/>
      <c r="BE193" s="739"/>
      <c r="BF193" s="739"/>
      <c r="BG193" s="739"/>
      <c r="BH193" s="739"/>
      <c r="BI193" s="739"/>
      <c r="BJ193" s="739"/>
      <c r="BK193" s="739"/>
      <c r="BL193" s="739"/>
    </row>
    <row r="194" spans="7:64" x14ac:dyDescent="0.25">
      <c r="G194" s="739"/>
      <c r="H194" s="739"/>
      <c r="I194" s="739"/>
      <c r="J194" s="739"/>
      <c r="K194" s="739"/>
      <c r="L194" s="739"/>
      <c r="M194" s="739"/>
      <c r="N194" s="739"/>
      <c r="O194" s="739"/>
      <c r="P194" s="739"/>
      <c r="Q194" s="739"/>
      <c r="R194" s="739"/>
      <c r="S194" s="739"/>
      <c r="T194" s="739"/>
      <c r="U194" s="739"/>
      <c r="V194" s="739"/>
      <c r="W194" s="739"/>
      <c r="X194" s="739"/>
      <c r="Y194" s="739"/>
      <c r="Z194" s="739"/>
      <c r="AA194" s="739"/>
      <c r="AB194" s="739"/>
      <c r="AC194" s="739"/>
      <c r="AD194" s="739"/>
      <c r="AE194" s="739"/>
      <c r="AF194" s="739"/>
      <c r="AG194" s="739"/>
      <c r="AH194" s="739"/>
      <c r="AI194" s="739"/>
      <c r="AJ194" s="739"/>
      <c r="AK194" s="739"/>
      <c r="AL194" s="739"/>
      <c r="AM194" s="739"/>
      <c r="AN194" s="739"/>
      <c r="AO194" s="739"/>
      <c r="AP194" s="739"/>
      <c r="AQ194" s="739"/>
      <c r="AR194" s="739"/>
      <c r="AS194" s="739"/>
      <c r="AT194" s="739"/>
      <c r="AU194" s="739"/>
      <c r="AV194" s="739"/>
      <c r="AW194" s="739"/>
      <c r="AX194" s="739"/>
      <c r="AY194" s="739"/>
      <c r="AZ194" s="739"/>
      <c r="BA194" s="739"/>
      <c r="BB194" s="739"/>
      <c r="BC194" s="739"/>
      <c r="BD194" s="739"/>
      <c r="BE194" s="739"/>
      <c r="BF194" s="739"/>
      <c r="BG194" s="739"/>
      <c r="BH194" s="739"/>
      <c r="BI194" s="739"/>
      <c r="BJ194" s="739"/>
      <c r="BK194" s="739"/>
      <c r="BL194" s="739"/>
    </row>
    <row r="195" spans="7:64" x14ac:dyDescent="0.25">
      <c r="G195" s="739"/>
      <c r="H195" s="739"/>
      <c r="I195" s="739"/>
      <c r="J195" s="739"/>
      <c r="K195" s="739"/>
      <c r="L195" s="739"/>
      <c r="M195" s="739"/>
      <c r="N195" s="739"/>
      <c r="O195" s="739"/>
      <c r="P195" s="739"/>
      <c r="Q195" s="739"/>
      <c r="R195" s="739"/>
      <c r="S195" s="739"/>
      <c r="T195" s="739"/>
      <c r="U195" s="739"/>
      <c r="V195" s="739"/>
      <c r="W195" s="739"/>
      <c r="X195" s="739"/>
      <c r="Y195" s="739"/>
      <c r="Z195" s="739"/>
      <c r="AA195" s="739"/>
      <c r="AB195" s="739"/>
      <c r="AC195" s="739"/>
      <c r="AD195" s="739"/>
      <c r="AE195" s="739"/>
      <c r="AF195" s="739"/>
      <c r="AG195" s="739"/>
      <c r="AH195" s="739"/>
      <c r="AI195" s="739"/>
      <c r="AJ195" s="739"/>
      <c r="AK195" s="739"/>
      <c r="AL195" s="739"/>
      <c r="AM195" s="739"/>
      <c r="AN195" s="739"/>
      <c r="AO195" s="739"/>
      <c r="AP195" s="739"/>
      <c r="AQ195" s="739"/>
      <c r="AR195" s="739"/>
      <c r="AS195" s="739"/>
      <c r="AT195" s="739"/>
      <c r="AU195" s="739"/>
      <c r="AV195" s="739"/>
      <c r="AW195" s="739"/>
      <c r="AX195" s="739"/>
      <c r="AY195" s="739"/>
      <c r="AZ195" s="739"/>
      <c r="BA195" s="739"/>
      <c r="BB195" s="739"/>
      <c r="BC195" s="739"/>
      <c r="BD195" s="739"/>
      <c r="BE195" s="739"/>
      <c r="BF195" s="739"/>
      <c r="BG195" s="739"/>
      <c r="BH195" s="739"/>
      <c r="BI195" s="739"/>
      <c r="BJ195" s="739"/>
      <c r="BK195" s="739"/>
      <c r="BL195" s="739"/>
    </row>
    <row r="196" spans="7:64" x14ac:dyDescent="0.25">
      <c r="G196" s="739"/>
      <c r="H196" s="739"/>
      <c r="I196" s="739"/>
      <c r="J196" s="739"/>
      <c r="K196" s="739"/>
      <c r="L196" s="739"/>
      <c r="M196" s="739"/>
      <c r="N196" s="739"/>
      <c r="O196" s="739"/>
      <c r="P196" s="739"/>
      <c r="Q196" s="739"/>
      <c r="R196" s="739"/>
      <c r="S196" s="739"/>
      <c r="T196" s="739"/>
      <c r="U196" s="739"/>
      <c r="V196" s="739"/>
      <c r="W196" s="739"/>
      <c r="X196" s="739"/>
      <c r="Y196" s="739"/>
      <c r="Z196" s="739"/>
      <c r="AA196" s="739"/>
      <c r="AB196" s="739"/>
      <c r="AC196" s="739"/>
      <c r="AD196" s="739"/>
      <c r="AE196" s="739"/>
      <c r="AF196" s="739"/>
      <c r="AG196" s="739"/>
      <c r="AH196" s="739"/>
      <c r="AI196" s="739"/>
      <c r="AJ196" s="739"/>
      <c r="AK196" s="739"/>
      <c r="AL196" s="739"/>
      <c r="AM196" s="739"/>
      <c r="AN196" s="739"/>
      <c r="AO196" s="739"/>
      <c r="AP196" s="739"/>
      <c r="AQ196" s="739"/>
      <c r="AR196" s="739"/>
      <c r="AS196" s="739"/>
      <c r="AT196" s="739"/>
      <c r="AU196" s="739"/>
      <c r="AV196" s="739"/>
      <c r="AW196" s="739"/>
      <c r="AX196" s="739"/>
      <c r="AY196" s="739"/>
      <c r="AZ196" s="739"/>
      <c r="BA196" s="739"/>
      <c r="BB196" s="739"/>
      <c r="BC196" s="739"/>
      <c r="BD196" s="739"/>
      <c r="BE196" s="739"/>
      <c r="BF196" s="739"/>
      <c r="BG196" s="739"/>
      <c r="BH196" s="739"/>
      <c r="BI196" s="739"/>
      <c r="BJ196" s="739"/>
      <c r="BK196" s="739"/>
      <c r="BL196" s="739"/>
    </row>
    <row r="197" spans="7:64" x14ac:dyDescent="0.25">
      <c r="G197" s="739"/>
      <c r="H197" s="739"/>
      <c r="I197" s="739"/>
      <c r="J197" s="739"/>
      <c r="K197" s="739"/>
      <c r="L197" s="739"/>
      <c r="M197" s="739"/>
      <c r="N197" s="739"/>
      <c r="O197" s="739"/>
      <c r="P197" s="739"/>
      <c r="Q197" s="739"/>
      <c r="R197" s="739"/>
      <c r="S197" s="739"/>
      <c r="T197" s="739"/>
      <c r="U197" s="739"/>
      <c r="V197" s="739"/>
      <c r="W197" s="739"/>
      <c r="X197" s="739"/>
      <c r="Y197" s="739"/>
      <c r="Z197" s="739"/>
      <c r="AA197" s="739"/>
      <c r="AB197" s="739"/>
      <c r="AC197" s="739"/>
      <c r="AD197" s="739"/>
      <c r="AE197" s="739"/>
      <c r="AF197" s="739"/>
      <c r="AG197" s="739"/>
      <c r="AH197" s="739"/>
      <c r="AI197" s="739"/>
      <c r="AJ197" s="739"/>
      <c r="AK197" s="739"/>
      <c r="AL197" s="739"/>
      <c r="AM197" s="739"/>
      <c r="AN197" s="739"/>
      <c r="AO197" s="739"/>
      <c r="AP197" s="739"/>
      <c r="AQ197" s="739"/>
      <c r="AR197" s="739"/>
      <c r="AS197" s="739"/>
      <c r="AT197" s="739"/>
      <c r="AU197" s="739"/>
      <c r="AV197" s="739"/>
      <c r="AW197" s="739"/>
      <c r="AX197" s="739"/>
      <c r="AY197" s="739"/>
      <c r="AZ197" s="739"/>
      <c r="BA197" s="739"/>
      <c r="BB197" s="739"/>
      <c r="BC197" s="739"/>
      <c r="BD197" s="739"/>
      <c r="BE197" s="739"/>
      <c r="BF197" s="739"/>
      <c r="BG197" s="739"/>
      <c r="BH197" s="739"/>
      <c r="BI197" s="739"/>
      <c r="BJ197" s="739"/>
      <c r="BK197" s="739"/>
      <c r="BL197" s="739"/>
    </row>
    <row r="198" spans="7:64" x14ac:dyDescent="0.25">
      <c r="G198" s="739"/>
      <c r="H198" s="739"/>
      <c r="I198" s="739"/>
      <c r="J198" s="739"/>
      <c r="K198" s="739"/>
      <c r="L198" s="739"/>
      <c r="M198" s="739"/>
      <c r="N198" s="739"/>
      <c r="O198" s="739"/>
      <c r="P198" s="739"/>
      <c r="Q198" s="739"/>
      <c r="R198" s="739"/>
      <c r="S198" s="739"/>
      <c r="T198" s="739"/>
      <c r="U198" s="739"/>
      <c r="V198" s="739"/>
      <c r="W198" s="739"/>
      <c r="X198" s="739"/>
      <c r="Y198" s="739"/>
      <c r="Z198" s="739"/>
      <c r="AA198" s="739"/>
      <c r="AB198" s="739"/>
      <c r="AC198" s="739"/>
      <c r="AD198" s="739"/>
      <c r="AE198" s="739"/>
      <c r="AF198" s="739"/>
      <c r="AG198" s="739"/>
      <c r="AH198" s="739"/>
      <c r="AI198" s="739"/>
      <c r="AJ198" s="739"/>
      <c r="AK198" s="739"/>
      <c r="AL198" s="739"/>
      <c r="AM198" s="739"/>
      <c r="AN198" s="739"/>
      <c r="AO198" s="739"/>
      <c r="AP198" s="739"/>
      <c r="AQ198" s="739"/>
      <c r="AR198" s="739"/>
      <c r="AS198" s="739"/>
      <c r="AT198" s="739"/>
      <c r="AU198" s="739"/>
      <c r="AV198" s="739"/>
      <c r="AW198" s="739"/>
      <c r="AX198" s="739"/>
      <c r="AY198" s="739"/>
      <c r="AZ198" s="739"/>
      <c r="BA198" s="739"/>
      <c r="BB198" s="739"/>
      <c r="BC198" s="739"/>
      <c r="BD198" s="739"/>
      <c r="BE198" s="739"/>
      <c r="BF198" s="739"/>
      <c r="BG198" s="739"/>
      <c r="BH198" s="739"/>
      <c r="BI198" s="739"/>
      <c r="BJ198" s="739"/>
      <c r="BK198" s="739"/>
      <c r="BL198" s="739"/>
    </row>
    <row r="199" spans="7:64" x14ac:dyDescent="0.25">
      <c r="G199" s="739"/>
      <c r="H199" s="739"/>
      <c r="I199" s="739"/>
      <c r="J199" s="739"/>
      <c r="K199" s="739"/>
      <c r="L199" s="739"/>
      <c r="M199" s="739"/>
      <c r="N199" s="739"/>
      <c r="O199" s="739"/>
      <c r="P199" s="739"/>
      <c r="Q199" s="739"/>
      <c r="R199" s="739"/>
      <c r="S199" s="739"/>
      <c r="T199" s="739"/>
      <c r="U199" s="739"/>
      <c r="V199" s="739"/>
      <c r="W199" s="739"/>
      <c r="X199" s="739"/>
      <c r="Y199" s="739"/>
      <c r="Z199" s="739"/>
      <c r="AA199" s="739"/>
      <c r="AB199" s="739"/>
      <c r="AC199" s="739"/>
      <c r="AD199" s="739"/>
      <c r="AE199" s="739"/>
      <c r="AF199" s="739"/>
      <c r="AG199" s="739"/>
      <c r="AH199" s="739"/>
      <c r="AI199" s="739"/>
      <c r="AJ199" s="739"/>
      <c r="AK199" s="739"/>
      <c r="AL199" s="739"/>
      <c r="AM199" s="739"/>
      <c r="AN199" s="739"/>
      <c r="AO199" s="739"/>
      <c r="AP199" s="739"/>
      <c r="AQ199" s="739"/>
      <c r="AR199" s="739"/>
      <c r="AS199" s="739"/>
      <c r="AT199" s="739"/>
      <c r="AU199" s="739"/>
      <c r="AV199" s="739"/>
      <c r="AW199" s="739"/>
      <c r="AX199" s="739"/>
      <c r="AY199" s="739"/>
      <c r="AZ199" s="739"/>
      <c r="BA199" s="739"/>
      <c r="BB199" s="739"/>
      <c r="BC199" s="739"/>
      <c r="BD199" s="739"/>
      <c r="BE199" s="739"/>
      <c r="BF199" s="739"/>
      <c r="BG199" s="739"/>
      <c r="BH199" s="739"/>
      <c r="BI199" s="739"/>
      <c r="BJ199" s="739"/>
      <c r="BK199" s="739"/>
      <c r="BL199" s="739"/>
    </row>
    <row r="200" spans="7:64" x14ac:dyDescent="0.25">
      <c r="G200" s="739"/>
      <c r="H200" s="739"/>
      <c r="I200" s="739"/>
      <c r="J200" s="739"/>
      <c r="K200" s="739"/>
      <c r="L200" s="739"/>
      <c r="M200" s="739"/>
      <c r="N200" s="739"/>
      <c r="O200" s="739"/>
      <c r="P200" s="739"/>
      <c r="Q200" s="739"/>
      <c r="R200" s="739"/>
      <c r="S200" s="739"/>
      <c r="T200" s="739"/>
      <c r="U200" s="739"/>
      <c r="V200" s="739"/>
      <c r="W200" s="739"/>
      <c r="X200" s="739"/>
      <c r="Y200" s="739"/>
      <c r="Z200" s="739"/>
      <c r="AA200" s="739"/>
      <c r="AB200" s="739"/>
      <c r="AC200" s="739"/>
      <c r="AD200" s="739"/>
      <c r="AE200" s="739"/>
      <c r="AF200" s="739"/>
      <c r="AG200" s="739"/>
      <c r="AH200" s="739"/>
      <c r="AI200" s="739"/>
      <c r="AJ200" s="739"/>
      <c r="AK200" s="739"/>
      <c r="AL200" s="739"/>
      <c r="AM200" s="739"/>
      <c r="AN200" s="739"/>
      <c r="AO200" s="739"/>
      <c r="AP200" s="739"/>
      <c r="AQ200" s="739"/>
      <c r="AR200" s="739"/>
      <c r="AS200" s="739"/>
      <c r="AT200" s="739"/>
      <c r="AU200" s="739"/>
      <c r="AV200" s="739"/>
      <c r="AW200" s="739"/>
      <c r="AX200" s="739"/>
      <c r="AY200" s="739"/>
      <c r="AZ200" s="739"/>
      <c r="BA200" s="739"/>
      <c r="BB200" s="739"/>
      <c r="BC200" s="739"/>
      <c r="BD200" s="739"/>
      <c r="BE200" s="739"/>
      <c r="BF200" s="739"/>
      <c r="BG200" s="739"/>
      <c r="BH200" s="739"/>
      <c r="BI200" s="739"/>
      <c r="BJ200" s="739"/>
      <c r="BK200" s="739"/>
      <c r="BL200" s="739"/>
    </row>
    <row r="201" spans="7:64" x14ac:dyDescent="0.25">
      <c r="G201" s="739"/>
      <c r="H201" s="739"/>
      <c r="I201" s="739"/>
      <c r="J201" s="739"/>
      <c r="K201" s="739"/>
      <c r="L201" s="739"/>
      <c r="M201" s="739"/>
      <c r="N201" s="739"/>
      <c r="O201" s="739"/>
      <c r="P201" s="739"/>
      <c r="Q201" s="739"/>
      <c r="R201" s="739"/>
      <c r="S201" s="739"/>
      <c r="T201" s="739"/>
      <c r="U201" s="739"/>
      <c r="V201" s="739"/>
      <c r="W201" s="739"/>
      <c r="X201" s="739"/>
      <c r="Y201" s="739"/>
      <c r="Z201" s="739"/>
      <c r="AA201" s="739"/>
      <c r="AB201" s="739"/>
      <c r="AC201" s="739"/>
      <c r="AD201" s="739"/>
      <c r="AE201" s="739"/>
      <c r="AF201" s="739"/>
      <c r="AG201" s="739"/>
      <c r="AH201" s="739"/>
      <c r="AI201" s="739"/>
      <c r="AJ201" s="739"/>
      <c r="AK201" s="739"/>
      <c r="AL201" s="739"/>
      <c r="AM201" s="739"/>
      <c r="AN201" s="739"/>
      <c r="AO201" s="739"/>
      <c r="AP201" s="739"/>
      <c r="AQ201" s="739"/>
      <c r="AR201" s="739"/>
      <c r="AS201" s="739"/>
      <c r="AT201" s="739"/>
      <c r="AU201" s="739"/>
      <c r="AV201" s="739"/>
      <c r="AW201" s="739"/>
      <c r="AX201" s="739"/>
      <c r="AY201" s="739"/>
      <c r="AZ201" s="739"/>
      <c r="BA201" s="739"/>
      <c r="BB201" s="739"/>
      <c r="BC201" s="739"/>
      <c r="BD201" s="739"/>
      <c r="BE201" s="739"/>
      <c r="BF201" s="739"/>
      <c r="BG201" s="739"/>
      <c r="BH201" s="739"/>
      <c r="BI201" s="739"/>
      <c r="BJ201" s="739"/>
      <c r="BK201" s="739"/>
      <c r="BL201" s="739"/>
    </row>
    <row r="202" spans="7:64" x14ac:dyDescent="0.25">
      <c r="G202" s="739"/>
      <c r="H202" s="739"/>
      <c r="I202" s="739"/>
      <c r="J202" s="739"/>
      <c r="K202" s="739"/>
      <c r="L202" s="739"/>
      <c r="M202" s="739"/>
      <c r="N202" s="739"/>
      <c r="O202" s="739"/>
      <c r="P202" s="739"/>
      <c r="Q202" s="739"/>
      <c r="R202" s="739"/>
      <c r="S202" s="739"/>
      <c r="T202" s="739"/>
      <c r="U202" s="739"/>
      <c r="V202" s="739"/>
      <c r="W202" s="739"/>
      <c r="X202" s="739"/>
      <c r="Y202" s="739"/>
      <c r="Z202" s="739"/>
      <c r="AA202" s="739"/>
      <c r="AB202" s="739"/>
      <c r="AC202" s="739"/>
      <c r="AD202" s="739"/>
      <c r="AE202" s="739"/>
      <c r="AF202" s="739"/>
      <c r="AG202" s="739"/>
      <c r="AH202" s="739"/>
      <c r="AI202" s="739"/>
      <c r="AJ202" s="739"/>
      <c r="AK202" s="739"/>
      <c r="AL202" s="739"/>
      <c r="AM202" s="739"/>
      <c r="AN202" s="739"/>
      <c r="AO202" s="739"/>
      <c r="AP202" s="739"/>
      <c r="AQ202" s="739"/>
      <c r="AR202" s="739"/>
      <c r="AS202" s="739"/>
      <c r="AT202" s="739"/>
      <c r="AU202" s="739"/>
      <c r="AV202" s="739"/>
      <c r="AW202" s="739"/>
      <c r="AX202" s="739"/>
      <c r="AY202" s="739"/>
      <c r="AZ202" s="739"/>
      <c r="BA202" s="739"/>
      <c r="BB202" s="739"/>
      <c r="BC202" s="739"/>
      <c r="BD202" s="739"/>
      <c r="BE202" s="739"/>
      <c r="BF202" s="739"/>
      <c r="BG202" s="739"/>
      <c r="BH202" s="739"/>
      <c r="BI202" s="739"/>
      <c r="BJ202" s="739"/>
      <c r="BK202" s="739"/>
      <c r="BL202" s="739"/>
    </row>
    <row r="203" spans="7:64" x14ac:dyDescent="0.25">
      <c r="G203" s="739"/>
      <c r="H203" s="739"/>
      <c r="I203" s="739"/>
      <c r="J203" s="739"/>
      <c r="K203" s="739"/>
      <c r="L203" s="739"/>
      <c r="M203" s="739"/>
      <c r="N203" s="739"/>
      <c r="O203" s="739"/>
      <c r="P203" s="739"/>
      <c r="Q203" s="739"/>
      <c r="R203" s="739"/>
      <c r="S203" s="739"/>
      <c r="T203" s="739"/>
      <c r="U203" s="739"/>
      <c r="V203" s="739"/>
      <c r="W203" s="739"/>
      <c r="X203" s="739"/>
      <c r="Y203" s="739"/>
      <c r="Z203" s="739"/>
      <c r="AA203" s="739"/>
      <c r="AB203" s="739"/>
      <c r="AC203" s="739"/>
      <c r="AD203" s="739"/>
      <c r="AE203" s="739"/>
      <c r="AF203" s="739"/>
      <c r="AG203" s="739"/>
      <c r="AH203" s="739"/>
      <c r="AI203" s="739"/>
      <c r="AJ203" s="739"/>
      <c r="AK203" s="739"/>
      <c r="AL203" s="739"/>
      <c r="AM203" s="739"/>
      <c r="AN203" s="739"/>
      <c r="AO203" s="739"/>
      <c r="AP203" s="739"/>
      <c r="AQ203" s="739"/>
      <c r="AR203" s="739"/>
      <c r="AS203" s="739"/>
      <c r="AT203" s="739"/>
      <c r="AU203" s="739"/>
      <c r="AV203" s="739"/>
      <c r="AW203" s="739"/>
      <c r="AX203" s="739"/>
      <c r="AY203" s="739"/>
      <c r="AZ203" s="739"/>
      <c r="BA203" s="739"/>
      <c r="BB203" s="739"/>
      <c r="BC203" s="739"/>
      <c r="BD203" s="739"/>
      <c r="BE203" s="739"/>
      <c r="BF203" s="739"/>
      <c r="BG203" s="739"/>
      <c r="BH203" s="739"/>
      <c r="BI203" s="739"/>
      <c r="BJ203" s="739"/>
      <c r="BK203" s="739"/>
      <c r="BL203" s="739"/>
    </row>
    <row r="204" spans="7:64" x14ac:dyDescent="0.25">
      <c r="G204" s="739"/>
      <c r="H204" s="739"/>
      <c r="I204" s="739"/>
      <c r="J204" s="739"/>
      <c r="K204" s="739"/>
      <c r="L204" s="739"/>
      <c r="M204" s="739"/>
      <c r="N204" s="739"/>
      <c r="O204" s="739"/>
      <c r="P204" s="739"/>
      <c r="Q204" s="739"/>
      <c r="R204" s="739"/>
      <c r="S204" s="739"/>
      <c r="T204" s="739"/>
      <c r="U204" s="739"/>
      <c r="V204" s="739"/>
      <c r="W204" s="739"/>
      <c r="X204" s="739"/>
      <c r="Y204" s="739"/>
      <c r="Z204" s="739"/>
      <c r="AA204" s="739"/>
      <c r="AB204" s="739"/>
      <c r="AC204" s="739"/>
      <c r="AD204" s="739"/>
      <c r="AE204" s="739"/>
      <c r="AF204" s="739"/>
      <c r="AG204" s="739"/>
      <c r="AH204" s="739"/>
      <c r="AI204" s="739"/>
      <c r="AJ204" s="739"/>
      <c r="AK204" s="739"/>
      <c r="AL204" s="739"/>
      <c r="AM204" s="739"/>
      <c r="AN204" s="739"/>
      <c r="AO204" s="739"/>
      <c r="AP204" s="739"/>
      <c r="AQ204" s="739"/>
      <c r="AR204" s="739"/>
      <c r="AS204" s="739"/>
      <c r="AT204" s="739"/>
      <c r="AU204" s="739"/>
      <c r="AV204" s="739"/>
      <c r="AW204" s="739"/>
      <c r="AX204" s="739"/>
      <c r="AY204" s="739"/>
      <c r="AZ204" s="739"/>
      <c r="BA204" s="739"/>
      <c r="BB204" s="739"/>
      <c r="BC204" s="739"/>
      <c r="BD204" s="739"/>
      <c r="BE204" s="739"/>
      <c r="BF204" s="739"/>
      <c r="BG204" s="739"/>
      <c r="BH204" s="739"/>
      <c r="BI204" s="739"/>
      <c r="BJ204" s="739"/>
      <c r="BK204" s="739"/>
      <c r="BL204" s="739"/>
    </row>
    <row r="205" spans="7:64" x14ac:dyDescent="0.25">
      <c r="G205" s="739"/>
      <c r="H205" s="739"/>
      <c r="I205" s="739"/>
      <c r="J205" s="739"/>
      <c r="K205" s="739"/>
      <c r="L205" s="739"/>
      <c r="M205" s="739"/>
      <c r="N205" s="739"/>
      <c r="O205" s="739"/>
      <c r="P205" s="739"/>
      <c r="Q205" s="739"/>
      <c r="R205" s="739"/>
      <c r="S205" s="739"/>
      <c r="T205" s="739"/>
      <c r="U205" s="739"/>
      <c r="V205" s="739"/>
      <c r="W205" s="739"/>
      <c r="X205" s="739"/>
      <c r="Y205" s="739"/>
      <c r="Z205" s="739"/>
      <c r="AA205" s="739"/>
      <c r="AB205" s="739"/>
      <c r="AC205" s="739"/>
      <c r="AD205" s="739"/>
      <c r="AE205" s="739"/>
      <c r="AF205" s="739"/>
      <c r="AG205" s="739"/>
      <c r="AH205" s="739"/>
      <c r="AI205" s="739"/>
      <c r="AJ205" s="739"/>
      <c r="AK205" s="739"/>
      <c r="AL205" s="739"/>
      <c r="AM205" s="739"/>
      <c r="AN205" s="739"/>
      <c r="AO205" s="739"/>
      <c r="AP205" s="739"/>
      <c r="AQ205" s="739"/>
      <c r="AR205" s="739"/>
      <c r="AS205" s="739"/>
      <c r="AT205" s="739"/>
      <c r="AU205" s="739"/>
      <c r="AV205" s="739"/>
      <c r="AW205" s="739"/>
      <c r="AX205" s="739"/>
      <c r="AY205" s="739"/>
      <c r="AZ205" s="739"/>
      <c r="BA205" s="739"/>
      <c r="BB205" s="739"/>
      <c r="BC205" s="739"/>
      <c r="BD205" s="739"/>
      <c r="BE205" s="739"/>
      <c r="BF205" s="739"/>
      <c r="BG205" s="739"/>
      <c r="BH205" s="739"/>
      <c r="BI205" s="739"/>
      <c r="BJ205" s="739"/>
      <c r="BK205" s="739"/>
      <c r="BL205" s="739"/>
    </row>
    <row r="206" spans="7:64" x14ac:dyDescent="0.25">
      <c r="G206" s="739"/>
      <c r="H206" s="739"/>
      <c r="I206" s="739"/>
      <c r="J206" s="739"/>
      <c r="K206" s="739"/>
      <c r="L206" s="739"/>
      <c r="M206" s="739"/>
      <c r="N206" s="739"/>
      <c r="O206" s="739"/>
      <c r="P206" s="739"/>
      <c r="Q206" s="739"/>
      <c r="R206" s="739"/>
      <c r="S206" s="739"/>
      <c r="T206" s="739"/>
      <c r="U206" s="739"/>
      <c r="V206" s="739"/>
      <c r="W206" s="739"/>
      <c r="X206" s="739"/>
      <c r="Y206" s="739"/>
      <c r="Z206" s="739"/>
      <c r="AA206" s="739"/>
      <c r="AB206" s="739"/>
      <c r="AC206" s="739"/>
      <c r="AD206" s="739"/>
      <c r="AE206" s="739"/>
      <c r="AF206" s="739"/>
      <c r="AG206" s="739"/>
      <c r="AH206" s="739"/>
      <c r="AI206" s="739"/>
      <c r="AJ206" s="739"/>
      <c r="AK206" s="739"/>
      <c r="AL206" s="739"/>
      <c r="AM206" s="739"/>
      <c r="AN206" s="739"/>
      <c r="AO206" s="739"/>
      <c r="AP206" s="739"/>
      <c r="AQ206" s="739"/>
      <c r="AR206" s="739"/>
      <c r="AS206" s="739"/>
      <c r="AT206" s="739"/>
      <c r="AU206" s="739"/>
      <c r="AV206" s="739"/>
      <c r="AW206" s="739"/>
      <c r="AX206" s="739"/>
      <c r="AY206" s="739"/>
      <c r="AZ206" s="739"/>
      <c r="BA206" s="739"/>
      <c r="BB206" s="739"/>
      <c r="BC206" s="739"/>
      <c r="BD206" s="739"/>
      <c r="BE206" s="739"/>
      <c r="BF206" s="739"/>
      <c r="BG206" s="739"/>
      <c r="BH206" s="739"/>
      <c r="BI206" s="739"/>
      <c r="BJ206" s="739"/>
      <c r="BK206" s="739"/>
      <c r="BL206" s="739"/>
    </row>
    <row r="207" spans="7:64" x14ac:dyDescent="0.25">
      <c r="G207" s="739"/>
      <c r="H207" s="739"/>
      <c r="I207" s="739"/>
      <c r="J207" s="739"/>
      <c r="K207" s="739"/>
      <c r="L207" s="739"/>
      <c r="M207" s="739"/>
      <c r="N207" s="739"/>
      <c r="O207" s="739"/>
      <c r="P207" s="739"/>
      <c r="Q207" s="739"/>
      <c r="R207" s="739"/>
      <c r="S207" s="739"/>
      <c r="T207" s="739"/>
      <c r="U207" s="739"/>
      <c r="V207" s="739"/>
      <c r="W207" s="739"/>
      <c r="X207" s="739"/>
      <c r="Y207" s="739"/>
      <c r="Z207" s="739"/>
      <c r="AA207" s="739"/>
      <c r="AB207" s="739"/>
      <c r="AC207" s="739"/>
      <c r="AD207" s="739"/>
      <c r="AE207" s="739"/>
      <c r="AF207" s="739"/>
      <c r="AG207" s="739"/>
      <c r="AH207" s="739"/>
      <c r="AI207" s="739"/>
      <c r="AJ207" s="739"/>
      <c r="AK207" s="739"/>
      <c r="AL207" s="739"/>
      <c r="AM207" s="739"/>
      <c r="AN207" s="739"/>
      <c r="AO207" s="739"/>
      <c r="AP207" s="739"/>
      <c r="AQ207" s="739"/>
      <c r="AR207" s="739"/>
      <c r="AS207" s="739"/>
      <c r="AT207" s="739"/>
      <c r="AU207" s="739"/>
      <c r="AV207" s="739"/>
      <c r="AW207" s="739"/>
      <c r="AX207" s="739"/>
      <c r="AY207" s="739"/>
      <c r="AZ207" s="739"/>
      <c r="BA207" s="739"/>
      <c r="BB207" s="739"/>
      <c r="BC207" s="739"/>
      <c r="BD207" s="739"/>
      <c r="BE207" s="739"/>
      <c r="BF207" s="739"/>
      <c r="BG207" s="739"/>
      <c r="BH207" s="739"/>
      <c r="BI207" s="739"/>
      <c r="BJ207" s="739"/>
      <c r="BK207" s="739"/>
      <c r="BL207" s="739"/>
    </row>
    <row r="208" spans="7:64" x14ac:dyDescent="0.25">
      <c r="G208" s="739"/>
      <c r="H208" s="739"/>
      <c r="I208" s="739"/>
      <c r="J208" s="739"/>
      <c r="K208" s="739"/>
      <c r="L208" s="739"/>
      <c r="M208" s="739"/>
      <c r="N208" s="739"/>
      <c r="O208" s="739"/>
      <c r="P208" s="739"/>
      <c r="Q208" s="739"/>
      <c r="R208" s="739"/>
      <c r="S208" s="739"/>
      <c r="T208" s="739"/>
      <c r="U208" s="739"/>
      <c r="V208" s="739"/>
      <c r="W208" s="739"/>
      <c r="X208" s="739"/>
      <c r="Y208" s="739"/>
      <c r="Z208" s="739"/>
      <c r="AA208" s="739"/>
      <c r="AB208" s="739"/>
      <c r="AC208" s="739"/>
      <c r="AD208" s="739"/>
      <c r="AE208" s="739"/>
      <c r="AF208" s="739"/>
      <c r="AG208" s="739"/>
      <c r="AH208" s="739"/>
      <c r="AI208" s="739"/>
      <c r="AJ208" s="739"/>
      <c r="AK208" s="739"/>
      <c r="AL208" s="739"/>
      <c r="AM208" s="739"/>
      <c r="AN208" s="739"/>
      <c r="AO208" s="739"/>
      <c r="AP208" s="739"/>
      <c r="AQ208" s="739"/>
      <c r="AR208" s="739"/>
      <c r="AS208" s="739"/>
      <c r="AT208" s="739"/>
      <c r="AU208" s="739"/>
      <c r="AV208" s="739"/>
      <c r="AW208" s="739"/>
      <c r="AX208" s="739"/>
      <c r="AY208" s="739"/>
      <c r="AZ208" s="739"/>
      <c r="BA208" s="739"/>
      <c r="BB208" s="739"/>
      <c r="BC208" s="739"/>
      <c r="BD208" s="739"/>
      <c r="BE208" s="739"/>
      <c r="BF208" s="739"/>
      <c r="BG208" s="739"/>
      <c r="BH208" s="739"/>
      <c r="BI208" s="739"/>
      <c r="BJ208" s="739"/>
      <c r="BK208" s="739"/>
      <c r="BL208" s="739"/>
    </row>
    <row r="209" spans="7:64" x14ac:dyDescent="0.25">
      <c r="G209" s="739"/>
      <c r="H209" s="739"/>
      <c r="I209" s="739"/>
      <c r="J209" s="739"/>
      <c r="K209" s="739"/>
      <c r="L209" s="739"/>
      <c r="M209" s="739"/>
      <c r="N209" s="739"/>
      <c r="O209" s="739"/>
      <c r="P209" s="739"/>
      <c r="Q209" s="739"/>
      <c r="R209" s="739"/>
      <c r="S209" s="739"/>
      <c r="T209" s="739"/>
      <c r="U209" s="739"/>
      <c r="V209" s="739"/>
      <c r="W209" s="739"/>
      <c r="X209" s="739"/>
      <c r="Y209" s="739"/>
      <c r="Z209" s="739"/>
      <c r="AA209" s="739"/>
      <c r="AB209" s="739"/>
      <c r="AC209" s="739"/>
      <c r="AD209" s="739"/>
      <c r="AE209" s="739"/>
      <c r="AF209" s="739"/>
      <c r="AG209" s="739"/>
      <c r="AH209" s="739"/>
      <c r="AI209" s="739"/>
      <c r="AJ209" s="739"/>
      <c r="AK209" s="739"/>
      <c r="AL209" s="739"/>
      <c r="AM209" s="739"/>
      <c r="AN209" s="739"/>
      <c r="AO209" s="739"/>
      <c r="AP209" s="739"/>
      <c r="AQ209" s="739"/>
      <c r="AR209" s="739"/>
      <c r="AS209" s="739"/>
      <c r="AT209" s="739"/>
      <c r="AU209" s="739"/>
      <c r="AV209" s="739"/>
      <c r="AW209" s="739"/>
      <c r="AX209" s="739"/>
      <c r="AY209" s="739"/>
      <c r="AZ209" s="739"/>
      <c r="BA209" s="739"/>
      <c r="BB209" s="739"/>
      <c r="BC209" s="739"/>
      <c r="BD209" s="739"/>
      <c r="BE209" s="739"/>
      <c r="BF209" s="739"/>
      <c r="BG209" s="739"/>
      <c r="BH209" s="739"/>
      <c r="BI209" s="739"/>
      <c r="BJ209" s="739"/>
      <c r="BK209" s="739"/>
      <c r="BL209" s="739"/>
    </row>
    <row r="210" spans="7:64" x14ac:dyDescent="0.25">
      <c r="G210" s="739"/>
      <c r="H210" s="739"/>
      <c r="I210" s="739"/>
      <c r="J210" s="739"/>
      <c r="K210" s="739"/>
      <c r="L210" s="739"/>
      <c r="M210" s="739"/>
      <c r="N210" s="739"/>
      <c r="O210" s="739"/>
      <c r="P210" s="739"/>
      <c r="Q210" s="739"/>
      <c r="R210" s="739"/>
      <c r="S210" s="739"/>
      <c r="T210" s="739"/>
      <c r="U210" s="739"/>
      <c r="V210" s="739"/>
      <c r="W210" s="739"/>
      <c r="X210" s="739"/>
      <c r="Y210" s="739"/>
      <c r="Z210" s="739"/>
      <c r="AA210" s="739"/>
      <c r="AB210" s="739"/>
      <c r="AC210" s="739"/>
      <c r="AD210" s="739"/>
      <c r="AE210" s="739"/>
      <c r="AF210" s="739"/>
      <c r="AG210" s="739"/>
      <c r="AH210" s="739"/>
      <c r="AI210" s="739"/>
      <c r="AJ210" s="739"/>
      <c r="AK210" s="739"/>
      <c r="AL210" s="739"/>
      <c r="AM210" s="739"/>
      <c r="AN210" s="739"/>
      <c r="AO210" s="739"/>
      <c r="AP210" s="739"/>
      <c r="AQ210" s="739"/>
      <c r="AR210" s="739"/>
      <c r="AS210" s="739"/>
      <c r="AT210" s="739"/>
      <c r="AU210" s="739"/>
      <c r="AV210" s="739"/>
      <c r="AW210" s="739"/>
      <c r="AX210" s="739"/>
      <c r="AY210" s="739"/>
      <c r="AZ210" s="739"/>
      <c r="BA210" s="739"/>
      <c r="BB210" s="739"/>
      <c r="BC210" s="739"/>
      <c r="BD210" s="739"/>
      <c r="BE210" s="739"/>
      <c r="BF210" s="739"/>
      <c r="BG210" s="739"/>
      <c r="BH210" s="739"/>
      <c r="BI210" s="739"/>
      <c r="BJ210" s="739"/>
      <c r="BK210" s="739"/>
      <c r="BL210" s="739"/>
    </row>
    <row r="211" spans="7:64" x14ac:dyDescent="0.25">
      <c r="G211" s="739"/>
      <c r="H211" s="739"/>
      <c r="I211" s="739"/>
      <c r="J211" s="739"/>
      <c r="K211" s="739"/>
      <c r="L211" s="739"/>
      <c r="M211" s="739"/>
      <c r="N211" s="739"/>
      <c r="O211" s="739"/>
      <c r="P211" s="739"/>
      <c r="Q211" s="739"/>
      <c r="R211" s="739"/>
      <c r="S211" s="739"/>
      <c r="T211" s="739"/>
      <c r="U211" s="739"/>
      <c r="V211" s="739"/>
      <c r="W211" s="739"/>
      <c r="X211" s="739"/>
      <c r="Y211" s="739"/>
      <c r="Z211" s="739"/>
      <c r="AA211" s="739"/>
      <c r="AB211" s="739"/>
      <c r="AC211" s="739"/>
      <c r="AD211" s="739"/>
      <c r="AE211" s="739"/>
      <c r="AF211" s="739"/>
      <c r="AG211" s="739"/>
      <c r="AH211" s="739"/>
      <c r="AI211" s="739"/>
      <c r="AJ211" s="739"/>
      <c r="AK211" s="739"/>
      <c r="AL211" s="739"/>
      <c r="AM211" s="739"/>
      <c r="AN211" s="739"/>
      <c r="AO211" s="739"/>
      <c r="AP211" s="739"/>
      <c r="AQ211" s="739"/>
      <c r="AR211" s="739"/>
      <c r="AS211" s="739"/>
      <c r="AT211" s="739"/>
      <c r="AU211" s="739"/>
      <c r="AV211" s="739"/>
      <c r="AW211" s="739"/>
      <c r="AX211" s="739"/>
      <c r="AY211" s="739"/>
      <c r="AZ211" s="739"/>
      <c r="BA211" s="739"/>
      <c r="BB211" s="739"/>
      <c r="BC211" s="739"/>
      <c r="BD211" s="739"/>
      <c r="BE211" s="739"/>
      <c r="BF211" s="739"/>
      <c r="BG211" s="739"/>
      <c r="BH211" s="739"/>
      <c r="BI211" s="739"/>
      <c r="BJ211" s="739"/>
      <c r="BK211" s="739"/>
      <c r="BL211" s="739"/>
    </row>
    <row r="212" spans="7:64" x14ac:dyDescent="0.25">
      <c r="G212" s="739"/>
      <c r="H212" s="739"/>
      <c r="I212" s="739"/>
      <c r="J212" s="739"/>
      <c r="K212" s="739"/>
      <c r="L212" s="739"/>
      <c r="M212" s="739"/>
      <c r="N212" s="739"/>
      <c r="O212" s="739"/>
      <c r="P212" s="739"/>
      <c r="Q212" s="739"/>
      <c r="R212" s="739"/>
      <c r="S212" s="739"/>
      <c r="T212" s="739"/>
      <c r="U212" s="739"/>
      <c r="V212" s="739"/>
      <c r="W212" s="739"/>
      <c r="X212" s="739"/>
      <c r="Y212" s="739"/>
      <c r="Z212" s="739"/>
      <c r="AA212" s="739"/>
      <c r="AB212" s="739"/>
      <c r="AC212" s="739"/>
      <c r="AD212" s="739"/>
      <c r="AE212" s="739"/>
      <c r="AF212" s="739"/>
      <c r="AG212" s="739"/>
      <c r="AH212" s="739"/>
      <c r="AI212" s="739"/>
      <c r="AJ212" s="739"/>
      <c r="AK212" s="739"/>
      <c r="AL212" s="739"/>
      <c r="AM212" s="739"/>
      <c r="AN212" s="739"/>
      <c r="AO212" s="739"/>
      <c r="AP212" s="739"/>
      <c r="AQ212" s="739"/>
      <c r="AR212" s="739"/>
      <c r="AS212" s="739"/>
      <c r="AT212" s="739"/>
      <c r="AU212" s="739"/>
      <c r="AV212" s="739"/>
      <c r="AW212" s="739"/>
      <c r="AX212" s="739"/>
      <c r="AY212" s="739"/>
      <c r="AZ212" s="739"/>
      <c r="BA212" s="739"/>
      <c r="BB212" s="739"/>
      <c r="BC212" s="739"/>
      <c r="BD212" s="739"/>
      <c r="BE212" s="739"/>
      <c r="BF212" s="739"/>
      <c r="BG212" s="739"/>
      <c r="BH212" s="739"/>
      <c r="BI212" s="739"/>
      <c r="BJ212" s="739"/>
      <c r="BK212" s="739"/>
      <c r="BL212" s="739"/>
    </row>
    <row r="213" spans="7:64" x14ac:dyDescent="0.25">
      <c r="G213" s="739"/>
      <c r="H213" s="739"/>
      <c r="I213" s="739"/>
      <c r="J213" s="739"/>
      <c r="K213" s="739"/>
      <c r="L213" s="739"/>
      <c r="M213" s="739"/>
      <c r="N213" s="739"/>
      <c r="O213" s="739"/>
      <c r="P213" s="739"/>
      <c r="Q213" s="739"/>
      <c r="R213" s="739"/>
      <c r="S213" s="739"/>
      <c r="T213" s="739"/>
      <c r="U213" s="739"/>
      <c r="V213" s="739"/>
      <c r="W213" s="739"/>
      <c r="X213" s="739"/>
      <c r="Y213" s="739"/>
      <c r="Z213" s="739"/>
      <c r="AA213" s="739"/>
      <c r="AB213" s="739"/>
      <c r="AC213" s="739"/>
      <c r="AD213" s="739"/>
      <c r="AE213" s="739"/>
      <c r="AF213" s="739"/>
      <c r="AG213" s="739"/>
      <c r="AH213" s="739"/>
      <c r="AI213" s="739"/>
      <c r="AJ213" s="739"/>
      <c r="AK213" s="739"/>
      <c r="AL213" s="739"/>
      <c r="AM213" s="739"/>
      <c r="AN213" s="739"/>
      <c r="AO213" s="739"/>
      <c r="AP213" s="739"/>
      <c r="AQ213" s="739"/>
      <c r="AR213" s="739"/>
      <c r="AS213" s="739"/>
      <c r="AT213" s="739"/>
      <c r="AU213" s="739"/>
      <c r="AV213" s="739"/>
      <c r="AW213" s="739"/>
      <c r="AX213" s="739"/>
      <c r="AY213" s="739"/>
      <c r="AZ213" s="739"/>
      <c r="BA213" s="739"/>
      <c r="BB213" s="739"/>
      <c r="BC213" s="739"/>
      <c r="BD213" s="739"/>
      <c r="BE213" s="739"/>
      <c r="BF213" s="739"/>
      <c r="BG213" s="739"/>
      <c r="BH213" s="739"/>
      <c r="BI213" s="739"/>
      <c r="BJ213" s="739"/>
      <c r="BK213" s="739"/>
      <c r="BL213" s="739"/>
    </row>
    <row r="214" spans="7:64" x14ac:dyDescent="0.25">
      <c r="G214" s="739"/>
      <c r="H214" s="739"/>
      <c r="I214" s="739"/>
      <c r="J214" s="739"/>
      <c r="K214" s="739"/>
      <c r="L214" s="739"/>
      <c r="M214" s="739"/>
      <c r="N214" s="739"/>
      <c r="O214" s="739"/>
      <c r="P214" s="739"/>
      <c r="Q214" s="739"/>
      <c r="R214" s="739"/>
      <c r="S214" s="739"/>
      <c r="T214" s="739"/>
      <c r="U214" s="739"/>
      <c r="V214" s="739"/>
      <c r="W214" s="739"/>
      <c r="X214" s="739"/>
      <c r="Y214" s="739"/>
      <c r="Z214" s="739"/>
      <c r="AA214" s="739"/>
      <c r="AB214" s="739"/>
      <c r="AC214" s="739"/>
      <c r="AD214" s="739"/>
      <c r="AE214" s="739"/>
      <c r="AF214" s="739"/>
      <c r="AG214" s="739"/>
      <c r="AH214" s="739"/>
      <c r="AI214" s="739"/>
      <c r="AJ214" s="739"/>
      <c r="AK214" s="739"/>
      <c r="AL214" s="739"/>
      <c r="AM214" s="739"/>
      <c r="AN214" s="739"/>
      <c r="AO214" s="739"/>
      <c r="AP214" s="739"/>
      <c r="AQ214" s="739"/>
      <c r="AR214" s="739"/>
      <c r="AS214" s="739"/>
      <c r="AT214" s="739"/>
      <c r="AU214" s="739"/>
      <c r="AV214" s="739"/>
      <c r="AW214" s="739"/>
      <c r="AX214" s="739"/>
      <c r="AY214" s="739"/>
      <c r="AZ214" s="739"/>
      <c r="BA214" s="739"/>
      <c r="BB214" s="739"/>
      <c r="BC214" s="739"/>
      <c r="BD214" s="739"/>
      <c r="BE214" s="739"/>
      <c r="BF214" s="739"/>
      <c r="BG214" s="739"/>
      <c r="BH214" s="739"/>
      <c r="BI214" s="739"/>
      <c r="BJ214" s="739"/>
      <c r="BK214" s="739"/>
      <c r="BL214" s="739"/>
    </row>
    <row r="215" spans="7:64" x14ac:dyDescent="0.25">
      <c r="G215" s="739"/>
      <c r="H215" s="739"/>
      <c r="I215" s="739"/>
      <c r="J215" s="739"/>
      <c r="K215" s="739"/>
      <c r="L215" s="739"/>
      <c r="M215" s="739"/>
      <c r="N215" s="739"/>
      <c r="O215" s="739"/>
      <c r="P215" s="739"/>
      <c r="Q215" s="739"/>
      <c r="R215" s="739"/>
      <c r="S215" s="739"/>
      <c r="T215" s="739"/>
      <c r="U215" s="739"/>
      <c r="V215" s="739"/>
      <c r="W215" s="739"/>
      <c r="X215" s="739"/>
      <c r="Y215" s="739"/>
      <c r="Z215" s="739"/>
      <c r="AA215" s="739"/>
      <c r="AB215" s="739"/>
      <c r="AC215" s="739"/>
      <c r="AD215" s="739"/>
      <c r="AE215" s="739"/>
      <c r="AF215" s="739"/>
      <c r="AG215" s="739"/>
      <c r="AH215" s="739"/>
      <c r="AI215" s="739"/>
      <c r="AJ215" s="739"/>
      <c r="AK215" s="739"/>
      <c r="AL215" s="739"/>
      <c r="AM215" s="739"/>
      <c r="AN215" s="739"/>
      <c r="AO215" s="739"/>
      <c r="AP215" s="739"/>
      <c r="AQ215" s="739"/>
      <c r="AR215" s="739"/>
      <c r="AS215" s="739"/>
      <c r="AT215" s="739"/>
      <c r="AU215" s="739"/>
      <c r="AV215" s="739"/>
      <c r="AW215" s="739"/>
      <c r="AX215" s="739"/>
      <c r="AY215" s="739"/>
      <c r="AZ215" s="739"/>
      <c r="BA215" s="739"/>
      <c r="BB215" s="739"/>
      <c r="BC215" s="739"/>
      <c r="BD215" s="739"/>
      <c r="BE215" s="739"/>
      <c r="BF215" s="739"/>
      <c r="BG215" s="739"/>
      <c r="BH215" s="739"/>
      <c r="BI215" s="739"/>
      <c r="BJ215" s="739"/>
      <c r="BK215" s="739"/>
      <c r="BL215" s="739"/>
    </row>
    <row r="216" spans="7:64" x14ac:dyDescent="0.25">
      <c r="G216" s="739"/>
      <c r="H216" s="739"/>
      <c r="I216" s="739"/>
      <c r="J216" s="739"/>
      <c r="K216" s="739"/>
      <c r="L216" s="739"/>
      <c r="M216" s="739"/>
      <c r="N216" s="739"/>
      <c r="O216" s="739"/>
      <c r="P216" s="739"/>
      <c r="Q216" s="739"/>
      <c r="R216" s="739"/>
      <c r="S216" s="739"/>
      <c r="T216" s="739"/>
      <c r="U216" s="739"/>
      <c r="V216" s="739"/>
      <c r="W216" s="739"/>
      <c r="X216" s="739"/>
      <c r="Y216" s="739"/>
      <c r="Z216" s="739"/>
      <c r="AA216" s="739"/>
      <c r="AB216" s="739"/>
      <c r="AC216" s="739"/>
      <c r="AD216" s="739"/>
      <c r="AE216" s="739"/>
      <c r="AF216" s="739"/>
      <c r="AG216" s="739"/>
      <c r="AH216" s="739"/>
      <c r="AI216" s="739"/>
      <c r="AJ216" s="739"/>
      <c r="AK216" s="739"/>
      <c r="AL216" s="739"/>
      <c r="AM216" s="739"/>
      <c r="AN216" s="739"/>
      <c r="AO216" s="739"/>
      <c r="AP216" s="739"/>
      <c r="AQ216" s="739"/>
      <c r="AR216" s="739"/>
      <c r="AS216" s="739"/>
      <c r="AT216" s="739"/>
      <c r="AU216" s="739"/>
      <c r="AV216" s="739"/>
      <c r="AW216" s="739"/>
      <c r="AX216" s="739"/>
      <c r="AY216" s="739"/>
      <c r="AZ216" s="739"/>
      <c r="BA216" s="739"/>
      <c r="BB216" s="739"/>
      <c r="BC216" s="739"/>
      <c r="BD216" s="739"/>
      <c r="BE216" s="739"/>
      <c r="BF216" s="739"/>
      <c r="BG216" s="739"/>
      <c r="BH216" s="739"/>
      <c r="BI216" s="739"/>
      <c r="BJ216" s="739"/>
      <c r="BK216" s="739"/>
      <c r="BL216" s="739"/>
    </row>
    <row r="217" spans="7:64" x14ac:dyDescent="0.25">
      <c r="G217" s="739"/>
      <c r="H217" s="739"/>
      <c r="I217" s="739"/>
      <c r="J217" s="739"/>
      <c r="K217" s="739"/>
      <c r="L217" s="739"/>
      <c r="M217" s="739"/>
      <c r="N217" s="739"/>
      <c r="O217" s="739"/>
      <c r="P217" s="739"/>
      <c r="Q217" s="739"/>
      <c r="R217" s="739"/>
      <c r="S217" s="739"/>
      <c r="T217" s="739"/>
      <c r="U217" s="739"/>
      <c r="V217" s="739"/>
      <c r="W217" s="739"/>
      <c r="X217" s="739"/>
      <c r="Y217" s="739"/>
      <c r="Z217" s="739"/>
      <c r="AA217" s="739"/>
      <c r="AB217" s="739"/>
      <c r="AC217" s="739"/>
      <c r="AD217" s="739"/>
      <c r="AE217" s="739"/>
      <c r="AF217" s="739"/>
      <c r="AG217" s="739"/>
      <c r="AH217" s="739"/>
      <c r="AI217" s="739"/>
      <c r="AJ217" s="739"/>
      <c r="AK217" s="739"/>
      <c r="AL217" s="739"/>
      <c r="AM217" s="739"/>
      <c r="AN217" s="739"/>
      <c r="AO217" s="739"/>
      <c r="AP217" s="739"/>
      <c r="AQ217" s="739"/>
      <c r="AR217" s="739"/>
      <c r="AS217" s="739"/>
      <c r="AT217" s="739"/>
      <c r="AU217" s="739"/>
      <c r="AV217" s="739"/>
      <c r="AW217" s="739"/>
      <c r="AX217" s="739"/>
      <c r="AY217" s="739"/>
      <c r="AZ217" s="739"/>
      <c r="BA217" s="739"/>
      <c r="BB217" s="739"/>
      <c r="BC217" s="739"/>
      <c r="BD217" s="739"/>
      <c r="BE217" s="739"/>
      <c r="BF217" s="739"/>
      <c r="BG217" s="739"/>
      <c r="BH217" s="739"/>
      <c r="BI217" s="739"/>
      <c r="BJ217" s="739"/>
      <c r="BK217" s="739"/>
      <c r="BL217" s="739"/>
    </row>
    <row r="218" spans="7:64" x14ac:dyDescent="0.25">
      <c r="G218" s="739"/>
      <c r="H218" s="739"/>
      <c r="I218" s="739"/>
      <c r="J218" s="739"/>
      <c r="K218" s="739"/>
      <c r="L218" s="739"/>
      <c r="M218" s="739"/>
      <c r="N218" s="739"/>
      <c r="O218" s="739"/>
      <c r="P218" s="739"/>
      <c r="Q218" s="739"/>
      <c r="R218" s="739"/>
      <c r="S218" s="739"/>
      <c r="T218" s="739"/>
      <c r="U218" s="739"/>
      <c r="V218" s="739"/>
      <c r="W218" s="739"/>
      <c r="X218" s="739"/>
      <c r="Y218" s="739"/>
      <c r="Z218" s="739"/>
      <c r="AA218" s="739"/>
      <c r="AB218" s="739"/>
      <c r="AC218" s="739"/>
      <c r="AD218" s="739"/>
      <c r="AE218" s="739"/>
      <c r="AF218" s="739"/>
      <c r="AG218" s="739"/>
      <c r="AH218" s="739"/>
      <c r="AI218" s="739"/>
      <c r="AJ218" s="739"/>
      <c r="AK218" s="739"/>
      <c r="AL218" s="739"/>
      <c r="AM218" s="739"/>
      <c r="AN218" s="739"/>
      <c r="AO218" s="739"/>
      <c r="AP218" s="739"/>
      <c r="AQ218" s="739"/>
      <c r="AR218" s="739"/>
      <c r="AS218" s="739"/>
      <c r="AT218" s="739"/>
      <c r="AU218" s="739"/>
      <c r="AV218" s="739"/>
      <c r="AW218" s="739"/>
      <c r="AX218" s="739"/>
      <c r="AY218" s="739"/>
      <c r="AZ218" s="739"/>
      <c r="BA218" s="739"/>
      <c r="BB218" s="739"/>
      <c r="BC218" s="739"/>
      <c r="BD218" s="739"/>
      <c r="BE218" s="739"/>
      <c r="BF218" s="739"/>
      <c r="BG218" s="739"/>
      <c r="BH218" s="739"/>
      <c r="BI218" s="739"/>
      <c r="BJ218" s="739"/>
      <c r="BK218" s="739"/>
      <c r="BL218" s="739"/>
    </row>
    <row r="219" spans="7:64" x14ac:dyDescent="0.25">
      <c r="G219" s="739"/>
      <c r="H219" s="739"/>
      <c r="I219" s="739"/>
      <c r="J219" s="739"/>
      <c r="K219" s="739"/>
      <c r="L219" s="739"/>
      <c r="M219" s="739"/>
      <c r="N219" s="739"/>
      <c r="O219" s="739"/>
      <c r="P219" s="739"/>
      <c r="Q219" s="739"/>
      <c r="R219" s="739"/>
      <c r="S219" s="739"/>
      <c r="T219" s="739"/>
      <c r="U219" s="739"/>
      <c r="V219" s="739"/>
      <c r="W219" s="739"/>
      <c r="X219" s="739"/>
      <c r="Y219" s="739"/>
      <c r="Z219" s="739"/>
      <c r="AA219" s="739"/>
      <c r="AB219" s="739"/>
      <c r="AC219" s="739"/>
      <c r="AD219" s="739"/>
      <c r="AE219" s="739"/>
      <c r="AF219" s="739"/>
      <c r="AG219" s="739"/>
      <c r="AH219" s="739"/>
      <c r="AI219" s="739"/>
      <c r="AJ219" s="739"/>
      <c r="AK219" s="739"/>
      <c r="AL219" s="739"/>
      <c r="AM219" s="739"/>
      <c r="AN219" s="739"/>
      <c r="AO219" s="739"/>
      <c r="AP219" s="739"/>
      <c r="AQ219" s="739"/>
      <c r="AR219" s="739"/>
      <c r="AS219" s="739"/>
      <c r="AT219" s="739"/>
      <c r="AU219" s="739"/>
      <c r="AV219" s="739"/>
      <c r="AW219" s="739"/>
      <c r="AX219" s="739"/>
      <c r="AY219" s="739"/>
      <c r="AZ219" s="739"/>
      <c r="BA219" s="739"/>
      <c r="BB219" s="739"/>
      <c r="BC219" s="739"/>
      <c r="BD219" s="739"/>
      <c r="BE219" s="739"/>
      <c r="BF219" s="739"/>
      <c r="BG219" s="739"/>
      <c r="BH219" s="739"/>
      <c r="BI219" s="739"/>
      <c r="BJ219" s="739"/>
      <c r="BK219" s="739"/>
      <c r="BL219" s="739"/>
    </row>
    <row r="220" spans="7:64" x14ac:dyDescent="0.25">
      <c r="G220" s="739"/>
      <c r="H220" s="739"/>
      <c r="I220" s="739"/>
      <c r="J220" s="739"/>
      <c r="K220" s="739"/>
      <c r="L220" s="739"/>
      <c r="M220" s="739"/>
      <c r="N220" s="739"/>
      <c r="O220" s="739"/>
      <c r="P220" s="739"/>
      <c r="Q220" s="739"/>
      <c r="R220" s="739"/>
      <c r="S220" s="739"/>
      <c r="T220" s="739"/>
      <c r="U220" s="739"/>
      <c r="V220" s="739"/>
      <c r="W220" s="739"/>
      <c r="X220" s="739"/>
      <c r="Y220" s="739"/>
      <c r="Z220" s="739"/>
      <c r="AA220" s="739"/>
      <c r="AB220" s="739"/>
      <c r="AC220" s="739"/>
      <c r="AD220" s="739"/>
      <c r="AE220" s="739"/>
      <c r="AF220" s="739"/>
      <c r="AG220" s="739"/>
      <c r="AH220" s="739"/>
      <c r="AI220" s="739"/>
      <c r="AJ220" s="739"/>
      <c r="AK220" s="739"/>
      <c r="AL220" s="739"/>
      <c r="AM220" s="739"/>
      <c r="AN220" s="739"/>
      <c r="AO220" s="739"/>
      <c r="AP220" s="739"/>
      <c r="AQ220" s="739"/>
      <c r="AR220" s="739"/>
      <c r="AS220" s="739"/>
      <c r="AT220" s="739"/>
      <c r="AU220" s="739"/>
      <c r="AV220" s="739"/>
      <c r="AW220" s="739"/>
      <c r="AX220" s="739"/>
      <c r="AY220" s="739"/>
      <c r="AZ220" s="739"/>
      <c r="BA220" s="739"/>
      <c r="BB220" s="739"/>
      <c r="BC220" s="739"/>
      <c r="BD220" s="739"/>
      <c r="BE220" s="739"/>
      <c r="BF220" s="739"/>
      <c r="BG220" s="739"/>
      <c r="BH220" s="739"/>
      <c r="BI220" s="739"/>
      <c r="BJ220" s="739"/>
      <c r="BK220" s="739"/>
      <c r="BL220" s="739"/>
    </row>
    <row r="221" spans="7:64" x14ac:dyDescent="0.25">
      <c r="G221" s="739"/>
      <c r="H221" s="739"/>
      <c r="I221" s="739"/>
      <c r="J221" s="739"/>
      <c r="K221" s="739"/>
      <c r="L221" s="739"/>
      <c r="M221" s="739"/>
      <c r="N221" s="739"/>
      <c r="O221" s="739"/>
      <c r="P221" s="739"/>
      <c r="Q221" s="739"/>
      <c r="R221" s="739"/>
      <c r="S221" s="739"/>
      <c r="T221" s="739"/>
      <c r="U221" s="739"/>
      <c r="V221" s="739"/>
      <c r="W221" s="739"/>
      <c r="X221" s="739"/>
      <c r="Y221" s="739"/>
      <c r="Z221" s="739"/>
      <c r="AA221" s="739"/>
      <c r="AB221" s="739"/>
      <c r="AC221" s="739"/>
      <c r="AD221" s="739"/>
      <c r="AE221" s="739"/>
      <c r="AF221" s="739"/>
      <c r="AG221" s="739"/>
      <c r="AH221" s="739"/>
      <c r="AI221" s="739"/>
      <c r="AJ221" s="739"/>
      <c r="AK221" s="739"/>
      <c r="AL221" s="739"/>
      <c r="AM221" s="739"/>
      <c r="AN221" s="739"/>
      <c r="AO221" s="739"/>
      <c r="AP221" s="739"/>
      <c r="AQ221" s="739"/>
      <c r="AR221" s="739"/>
      <c r="AS221" s="739"/>
      <c r="AT221" s="739"/>
      <c r="AU221" s="739"/>
      <c r="AV221" s="739"/>
      <c r="AW221" s="739"/>
      <c r="AX221" s="739"/>
      <c r="AY221" s="739"/>
      <c r="AZ221" s="739"/>
      <c r="BA221" s="739"/>
      <c r="BB221" s="739"/>
      <c r="BC221" s="739"/>
      <c r="BD221" s="739"/>
      <c r="BE221" s="739"/>
      <c r="BF221" s="739"/>
      <c r="BG221" s="739"/>
      <c r="BH221" s="739"/>
      <c r="BI221" s="739"/>
      <c r="BJ221" s="739"/>
      <c r="BK221" s="739"/>
      <c r="BL221" s="739"/>
    </row>
    <row r="222" spans="7:64" x14ac:dyDescent="0.25">
      <c r="G222" s="739"/>
      <c r="H222" s="739"/>
      <c r="I222" s="739"/>
      <c r="J222" s="739"/>
      <c r="K222" s="739"/>
      <c r="L222" s="739"/>
      <c r="M222" s="739"/>
      <c r="N222" s="739"/>
      <c r="O222" s="739"/>
      <c r="P222" s="739"/>
      <c r="Q222" s="739"/>
      <c r="R222" s="739"/>
      <c r="S222" s="739"/>
      <c r="T222" s="739"/>
      <c r="U222" s="739"/>
      <c r="V222" s="739"/>
      <c r="W222" s="739"/>
      <c r="X222" s="739"/>
      <c r="Y222" s="739"/>
      <c r="Z222" s="739"/>
      <c r="AA222" s="739"/>
      <c r="AB222" s="739"/>
      <c r="AC222" s="739"/>
      <c r="AD222" s="739"/>
      <c r="AE222" s="739"/>
      <c r="AF222" s="739"/>
      <c r="AG222" s="739"/>
      <c r="AH222" s="739"/>
      <c r="AI222" s="739"/>
      <c r="AJ222" s="739"/>
      <c r="AK222" s="739"/>
      <c r="AL222" s="739"/>
      <c r="AM222" s="739"/>
      <c r="AN222" s="739"/>
      <c r="AO222" s="739"/>
      <c r="AP222" s="739"/>
      <c r="AQ222" s="739"/>
      <c r="AR222" s="739"/>
      <c r="AS222" s="739"/>
      <c r="AT222" s="739"/>
      <c r="AU222" s="739"/>
      <c r="AV222" s="739"/>
      <c r="AW222" s="739"/>
      <c r="AX222" s="739"/>
      <c r="AY222" s="739"/>
      <c r="AZ222" s="739"/>
      <c r="BA222" s="739"/>
      <c r="BB222" s="739"/>
      <c r="BC222" s="739"/>
      <c r="BD222" s="739"/>
      <c r="BE222" s="739"/>
      <c r="BF222" s="739"/>
      <c r="BG222" s="739"/>
      <c r="BH222" s="739"/>
      <c r="BI222" s="739"/>
      <c r="BJ222" s="739"/>
      <c r="BK222" s="739"/>
      <c r="BL222" s="739"/>
    </row>
    <row r="223" spans="7:64" x14ac:dyDescent="0.25">
      <c r="G223" s="739"/>
      <c r="H223" s="739"/>
      <c r="I223" s="739"/>
      <c r="J223" s="739"/>
      <c r="K223" s="739"/>
      <c r="L223" s="739"/>
      <c r="M223" s="739"/>
      <c r="N223" s="739"/>
      <c r="O223" s="739"/>
      <c r="P223" s="739"/>
      <c r="Q223" s="739"/>
      <c r="R223" s="739"/>
      <c r="S223" s="739"/>
      <c r="T223" s="739"/>
      <c r="U223" s="739"/>
      <c r="V223" s="739"/>
      <c r="W223" s="739"/>
      <c r="X223" s="739"/>
      <c r="Y223" s="739"/>
      <c r="Z223" s="739"/>
      <c r="AA223" s="739"/>
      <c r="AB223" s="739"/>
      <c r="AC223" s="739"/>
      <c r="AD223" s="739"/>
      <c r="AE223" s="739"/>
      <c r="AF223" s="739"/>
      <c r="AG223" s="739"/>
      <c r="AH223" s="739"/>
      <c r="AI223" s="739"/>
      <c r="AJ223" s="739"/>
      <c r="AK223" s="739"/>
      <c r="AL223" s="739"/>
      <c r="AM223" s="739"/>
      <c r="AN223" s="739"/>
      <c r="AO223" s="739"/>
      <c r="AP223" s="739"/>
      <c r="AQ223" s="739"/>
      <c r="AR223" s="739"/>
      <c r="AS223" s="739"/>
      <c r="AT223" s="739"/>
      <c r="AU223" s="739"/>
      <c r="AV223" s="739"/>
      <c r="AW223" s="739"/>
      <c r="AX223" s="739"/>
      <c r="AY223" s="739"/>
      <c r="AZ223" s="739"/>
      <c r="BA223" s="739"/>
      <c r="BB223" s="739"/>
      <c r="BC223" s="739"/>
      <c r="BD223" s="739"/>
      <c r="BE223" s="739"/>
      <c r="BF223" s="739"/>
      <c r="BG223" s="739"/>
      <c r="BH223" s="739"/>
      <c r="BI223" s="739"/>
      <c r="BJ223" s="739"/>
      <c r="BK223" s="739"/>
      <c r="BL223" s="739"/>
    </row>
    <row r="224" spans="7:64" x14ac:dyDescent="0.25">
      <c r="G224" s="739"/>
      <c r="H224" s="739"/>
      <c r="I224" s="739"/>
      <c r="J224" s="739"/>
      <c r="K224" s="739"/>
      <c r="L224" s="739"/>
      <c r="M224" s="739"/>
      <c r="N224" s="739"/>
      <c r="O224" s="739"/>
      <c r="P224" s="739"/>
      <c r="Q224" s="739"/>
      <c r="R224" s="739"/>
      <c r="S224" s="739"/>
      <c r="T224" s="739"/>
      <c r="U224" s="739"/>
      <c r="V224" s="739"/>
      <c r="W224" s="739"/>
      <c r="X224" s="739"/>
      <c r="Y224" s="739"/>
      <c r="Z224" s="739"/>
      <c r="AA224" s="739"/>
      <c r="AB224" s="739"/>
      <c r="AC224" s="739"/>
      <c r="AD224" s="739"/>
      <c r="AE224" s="739"/>
      <c r="AF224" s="739"/>
      <c r="AG224" s="739"/>
      <c r="AH224" s="739"/>
      <c r="AI224" s="739"/>
      <c r="AJ224" s="739"/>
      <c r="AK224" s="739"/>
      <c r="AL224" s="739"/>
      <c r="AM224" s="739"/>
      <c r="AN224" s="739"/>
      <c r="AO224" s="739"/>
      <c r="AP224" s="739"/>
      <c r="AQ224" s="739"/>
      <c r="AR224" s="739"/>
      <c r="AS224" s="739"/>
      <c r="AT224" s="739"/>
      <c r="AU224" s="739"/>
      <c r="AV224" s="739"/>
      <c r="AW224" s="739"/>
      <c r="AX224" s="739"/>
      <c r="AY224" s="739"/>
      <c r="AZ224" s="739"/>
      <c r="BA224" s="739"/>
      <c r="BB224" s="739"/>
      <c r="BC224" s="739"/>
      <c r="BD224" s="739"/>
      <c r="BE224" s="739"/>
      <c r="BF224" s="739"/>
      <c r="BG224" s="739"/>
      <c r="BH224" s="739"/>
      <c r="BI224" s="739"/>
      <c r="BJ224" s="739"/>
      <c r="BK224" s="739"/>
      <c r="BL224" s="739"/>
    </row>
    <row r="225" spans="7:64" x14ac:dyDescent="0.25">
      <c r="G225" s="739"/>
      <c r="H225" s="739"/>
      <c r="I225" s="739"/>
      <c r="J225" s="739"/>
      <c r="K225" s="739"/>
      <c r="L225" s="739"/>
      <c r="M225" s="739"/>
      <c r="N225" s="739"/>
      <c r="O225" s="739"/>
      <c r="P225" s="739"/>
      <c r="Q225" s="739"/>
      <c r="R225" s="739"/>
      <c r="S225" s="739"/>
      <c r="T225" s="739"/>
      <c r="U225" s="739"/>
      <c r="V225" s="739"/>
      <c r="W225" s="739"/>
      <c r="X225" s="739"/>
      <c r="Y225" s="739"/>
      <c r="Z225" s="739"/>
      <c r="AA225" s="739"/>
      <c r="AB225" s="739"/>
      <c r="AC225" s="739"/>
      <c r="AD225" s="739"/>
      <c r="AE225" s="739"/>
      <c r="AF225" s="739"/>
      <c r="AG225" s="739"/>
      <c r="AH225" s="739"/>
      <c r="AI225" s="739"/>
      <c r="AJ225" s="739"/>
      <c r="AK225" s="739"/>
      <c r="AL225" s="739"/>
      <c r="AM225" s="739"/>
      <c r="AN225" s="739"/>
      <c r="AO225" s="739"/>
      <c r="AP225" s="739"/>
      <c r="AQ225" s="739"/>
      <c r="AR225" s="739"/>
      <c r="AS225" s="739"/>
      <c r="AT225" s="739"/>
      <c r="AU225" s="739"/>
      <c r="AV225" s="739"/>
      <c r="AW225" s="739"/>
      <c r="AX225" s="739"/>
      <c r="AY225" s="739"/>
      <c r="AZ225" s="739"/>
      <c r="BA225" s="739"/>
      <c r="BB225" s="739"/>
      <c r="BC225" s="739"/>
      <c r="BD225" s="739"/>
      <c r="BE225" s="739"/>
      <c r="BF225" s="739"/>
      <c r="BG225" s="739"/>
      <c r="BH225" s="739"/>
      <c r="BI225" s="739"/>
      <c r="BJ225" s="739"/>
      <c r="BK225" s="739"/>
      <c r="BL225" s="739"/>
    </row>
    <row r="226" spans="7:64" x14ac:dyDescent="0.25">
      <c r="G226" s="739"/>
      <c r="H226" s="739"/>
      <c r="I226" s="739"/>
      <c r="J226" s="739"/>
      <c r="K226" s="739"/>
      <c r="L226" s="739"/>
      <c r="M226" s="739"/>
      <c r="N226" s="739"/>
      <c r="O226" s="739"/>
      <c r="P226" s="739"/>
      <c r="Q226" s="739"/>
      <c r="R226" s="739"/>
      <c r="S226" s="739"/>
      <c r="T226" s="739"/>
      <c r="U226" s="739"/>
      <c r="V226" s="739"/>
      <c r="W226" s="739"/>
      <c r="X226" s="739"/>
      <c r="Y226" s="739"/>
      <c r="Z226" s="739"/>
      <c r="AA226" s="739"/>
      <c r="AB226" s="739"/>
      <c r="AC226" s="739"/>
      <c r="AD226" s="739"/>
      <c r="AE226" s="739"/>
      <c r="AF226" s="739"/>
      <c r="AG226" s="739"/>
      <c r="AH226" s="739"/>
      <c r="AI226" s="739"/>
      <c r="AJ226" s="739"/>
      <c r="AK226" s="739"/>
      <c r="AL226" s="739"/>
      <c r="AM226" s="739"/>
      <c r="AN226" s="739"/>
      <c r="AO226" s="739"/>
      <c r="AP226" s="739"/>
      <c r="AQ226" s="739"/>
      <c r="AR226" s="739"/>
      <c r="AS226" s="739"/>
      <c r="AT226" s="739"/>
      <c r="AU226" s="739"/>
      <c r="AV226" s="739"/>
      <c r="AW226" s="739"/>
      <c r="AX226" s="739"/>
      <c r="AY226" s="739"/>
      <c r="AZ226" s="739"/>
      <c r="BA226" s="739"/>
      <c r="BB226" s="739"/>
      <c r="BC226" s="739"/>
      <c r="BD226" s="739"/>
      <c r="BE226" s="739"/>
      <c r="BF226" s="739"/>
      <c r="BG226" s="739"/>
      <c r="BH226" s="739"/>
      <c r="BI226" s="739"/>
      <c r="BJ226" s="739"/>
      <c r="BK226" s="739"/>
      <c r="BL226" s="739"/>
    </row>
    <row r="227" spans="7:64" x14ac:dyDescent="0.25">
      <c r="G227" s="739"/>
      <c r="H227" s="739"/>
      <c r="I227" s="739"/>
      <c r="J227" s="739"/>
      <c r="K227" s="739"/>
      <c r="L227" s="739"/>
      <c r="M227" s="739"/>
      <c r="N227" s="739"/>
      <c r="O227" s="739"/>
      <c r="P227" s="739"/>
      <c r="Q227" s="739"/>
      <c r="R227" s="739"/>
      <c r="S227" s="739"/>
      <c r="T227" s="739"/>
      <c r="U227" s="739"/>
      <c r="V227" s="739"/>
      <c r="W227" s="739"/>
      <c r="X227" s="739"/>
      <c r="Y227" s="739"/>
      <c r="Z227" s="739"/>
      <c r="AA227" s="739"/>
      <c r="AB227" s="739"/>
      <c r="AC227" s="739"/>
      <c r="AD227" s="739"/>
      <c r="AE227" s="739"/>
      <c r="AF227" s="739"/>
      <c r="AG227" s="739"/>
      <c r="AH227" s="739"/>
      <c r="AI227" s="739"/>
      <c r="AJ227" s="739"/>
      <c r="AK227" s="739"/>
      <c r="AL227" s="739"/>
      <c r="AM227" s="739"/>
      <c r="AN227" s="739"/>
      <c r="AO227" s="739"/>
      <c r="AP227" s="739"/>
      <c r="AQ227" s="739"/>
      <c r="AR227" s="739"/>
      <c r="AS227" s="739"/>
      <c r="AT227" s="739"/>
      <c r="AU227" s="739"/>
      <c r="AV227" s="739"/>
      <c r="AW227" s="739"/>
      <c r="AX227" s="739"/>
      <c r="AY227" s="739"/>
      <c r="AZ227" s="739"/>
      <c r="BA227" s="739"/>
      <c r="BB227" s="739"/>
      <c r="BC227" s="739"/>
      <c r="BD227" s="739"/>
      <c r="BE227" s="739"/>
      <c r="BF227" s="739"/>
      <c r="BG227" s="739"/>
      <c r="BH227" s="739"/>
      <c r="BI227" s="739"/>
      <c r="BJ227" s="739"/>
      <c r="BK227" s="739"/>
      <c r="BL227" s="739"/>
    </row>
    <row r="228" spans="7:64" x14ac:dyDescent="0.25">
      <c r="G228" s="739"/>
      <c r="H228" s="739"/>
      <c r="I228" s="739"/>
      <c r="J228" s="739"/>
      <c r="K228" s="739"/>
      <c r="L228" s="739"/>
      <c r="M228" s="739"/>
      <c r="N228" s="739"/>
      <c r="O228" s="739"/>
      <c r="P228" s="739"/>
      <c r="Q228" s="739"/>
      <c r="R228" s="739"/>
      <c r="S228" s="739"/>
      <c r="T228" s="739"/>
      <c r="U228" s="739"/>
      <c r="V228" s="739"/>
      <c r="W228" s="739"/>
      <c r="X228" s="739"/>
      <c r="Y228" s="739"/>
      <c r="Z228" s="739"/>
      <c r="AA228" s="739"/>
      <c r="AB228" s="739"/>
      <c r="AC228" s="739"/>
      <c r="AD228" s="739"/>
      <c r="AE228" s="739"/>
      <c r="AF228" s="739"/>
      <c r="AG228" s="739"/>
      <c r="AH228" s="739"/>
      <c r="AI228" s="739"/>
      <c r="AJ228" s="739"/>
      <c r="AK228" s="739"/>
      <c r="AL228" s="739"/>
      <c r="AM228" s="739"/>
      <c r="AN228" s="739"/>
      <c r="AO228" s="739"/>
      <c r="AP228" s="739"/>
      <c r="AQ228" s="739"/>
      <c r="AR228" s="739"/>
      <c r="AS228" s="739"/>
      <c r="AT228" s="739"/>
      <c r="AU228" s="739"/>
      <c r="AV228" s="739"/>
      <c r="AW228" s="739"/>
      <c r="AX228" s="739"/>
      <c r="AY228" s="739"/>
      <c r="AZ228" s="739"/>
      <c r="BA228" s="739"/>
      <c r="BB228" s="739"/>
      <c r="BC228" s="739"/>
      <c r="BD228" s="739"/>
      <c r="BE228" s="739"/>
      <c r="BF228" s="739"/>
      <c r="BG228" s="739"/>
      <c r="BH228" s="739"/>
      <c r="BI228" s="739"/>
      <c r="BJ228" s="739"/>
      <c r="BK228" s="739"/>
      <c r="BL228" s="739"/>
    </row>
    <row r="229" spans="7:64" x14ac:dyDescent="0.25">
      <c r="G229" s="739"/>
      <c r="H229" s="739"/>
      <c r="I229" s="739"/>
      <c r="J229" s="739"/>
      <c r="K229" s="739"/>
      <c r="L229" s="739"/>
      <c r="M229" s="739"/>
      <c r="N229" s="739"/>
      <c r="O229" s="739"/>
      <c r="P229" s="739"/>
      <c r="Q229" s="739"/>
      <c r="R229" s="739"/>
      <c r="S229" s="739"/>
      <c r="T229" s="739"/>
      <c r="U229" s="739"/>
      <c r="V229" s="739"/>
      <c r="W229" s="739"/>
      <c r="X229" s="739"/>
      <c r="Y229" s="739"/>
      <c r="Z229" s="739"/>
      <c r="AA229" s="739"/>
      <c r="AB229" s="739"/>
      <c r="AC229" s="739"/>
      <c r="AD229" s="739"/>
      <c r="AE229" s="739"/>
      <c r="AF229" s="739"/>
      <c r="AG229" s="739"/>
      <c r="AH229" s="739"/>
      <c r="AI229" s="739"/>
      <c r="AJ229" s="739"/>
      <c r="AK229" s="739"/>
      <c r="AL229" s="739"/>
      <c r="AM229" s="739"/>
      <c r="AN229" s="739"/>
      <c r="AO229" s="739"/>
      <c r="AP229" s="739"/>
      <c r="AQ229" s="739"/>
      <c r="AR229" s="739"/>
      <c r="AS229" s="739"/>
      <c r="AT229" s="739"/>
      <c r="AU229" s="739"/>
      <c r="AV229" s="739"/>
      <c r="AW229" s="739"/>
      <c r="AX229" s="739"/>
      <c r="AY229" s="739"/>
      <c r="AZ229" s="739"/>
      <c r="BA229" s="739"/>
      <c r="BB229" s="739"/>
      <c r="BC229" s="739"/>
      <c r="BD229" s="739"/>
      <c r="BE229" s="739"/>
      <c r="BF229" s="739"/>
      <c r="BG229" s="739"/>
      <c r="BH229" s="739"/>
      <c r="BI229" s="739"/>
      <c r="BJ229" s="739"/>
      <c r="BK229" s="739"/>
      <c r="BL229" s="739"/>
    </row>
    <row r="230" spans="7:64" x14ac:dyDescent="0.25">
      <c r="G230" s="739"/>
      <c r="H230" s="739"/>
      <c r="I230" s="739"/>
      <c r="J230" s="739"/>
      <c r="K230" s="739"/>
      <c r="L230" s="739"/>
      <c r="M230" s="739"/>
      <c r="N230" s="739"/>
      <c r="O230" s="739"/>
      <c r="P230" s="739"/>
      <c r="Q230" s="739"/>
      <c r="R230" s="739"/>
      <c r="S230" s="739"/>
      <c r="T230" s="739"/>
      <c r="U230" s="739"/>
      <c r="V230" s="739"/>
      <c r="W230" s="739"/>
      <c r="X230" s="739"/>
      <c r="Y230" s="739"/>
      <c r="Z230" s="739"/>
      <c r="AA230" s="739"/>
      <c r="AB230" s="739"/>
      <c r="AC230" s="739"/>
      <c r="AD230" s="739"/>
      <c r="AE230" s="739"/>
      <c r="AF230" s="739"/>
      <c r="AG230" s="739"/>
      <c r="AH230" s="739"/>
      <c r="AI230" s="739"/>
      <c r="AJ230" s="739"/>
      <c r="AK230" s="739"/>
      <c r="AL230" s="739"/>
      <c r="AM230" s="739"/>
      <c r="AN230" s="739"/>
      <c r="AO230" s="739"/>
      <c r="AP230" s="739"/>
      <c r="AQ230" s="739"/>
      <c r="AR230" s="739"/>
      <c r="AS230" s="739"/>
      <c r="AT230" s="739"/>
      <c r="AU230" s="739"/>
      <c r="AV230" s="739"/>
      <c r="AW230" s="739"/>
      <c r="AX230" s="739"/>
      <c r="AY230" s="739"/>
      <c r="AZ230" s="739"/>
      <c r="BA230" s="739"/>
      <c r="BB230" s="739"/>
      <c r="BC230" s="739"/>
      <c r="BD230" s="739"/>
      <c r="BE230" s="739"/>
      <c r="BF230" s="739"/>
      <c r="BG230" s="739"/>
      <c r="BH230" s="739"/>
      <c r="BI230" s="739"/>
      <c r="BJ230" s="739"/>
      <c r="BK230" s="739"/>
      <c r="BL230" s="739"/>
    </row>
    <row r="231" spans="7:64" x14ac:dyDescent="0.25">
      <c r="G231" s="739"/>
      <c r="H231" s="739"/>
      <c r="I231" s="739"/>
      <c r="J231" s="739"/>
      <c r="K231" s="739"/>
      <c r="L231" s="739"/>
      <c r="M231" s="739"/>
      <c r="N231" s="739"/>
      <c r="O231" s="739"/>
      <c r="P231" s="739"/>
      <c r="Q231" s="739"/>
      <c r="R231" s="739"/>
      <c r="S231" s="739"/>
      <c r="T231" s="739"/>
      <c r="U231" s="739"/>
      <c r="V231" s="739"/>
      <c r="W231" s="739"/>
      <c r="X231" s="739"/>
      <c r="Y231" s="739"/>
      <c r="Z231" s="739"/>
      <c r="AA231" s="739"/>
      <c r="AB231" s="739"/>
      <c r="AC231" s="739"/>
      <c r="AD231" s="739"/>
      <c r="AE231" s="739"/>
      <c r="AF231" s="739"/>
      <c r="AG231" s="739"/>
      <c r="AH231" s="739"/>
      <c r="AI231" s="739"/>
      <c r="AJ231" s="739"/>
      <c r="AK231" s="739"/>
      <c r="AL231" s="739"/>
      <c r="AM231" s="739"/>
      <c r="AN231" s="739"/>
      <c r="AO231" s="739"/>
      <c r="AP231" s="739"/>
      <c r="AQ231" s="739"/>
      <c r="AR231" s="739"/>
      <c r="AS231" s="739"/>
      <c r="AT231" s="739"/>
      <c r="AU231" s="739"/>
      <c r="AV231" s="739"/>
      <c r="AW231" s="739"/>
      <c r="AX231" s="739"/>
      <c r="AY231" s="739"/>
      <c r="AZ231" s="739"/>
      <c r="BA231" s="739"/>
      <c r="BB231" s="739"/>
      <c r="BC231" s="739"/>
      <c r="BD231" s="739"/>
      <c r="BE231" s="739"/>
      <c r="BF231" s="739"/>
      <c r="BG231" s="739"/>
      <c r="BH231" s="739"/>
      <c r="BI231" s="739"/>
      <c r="BJ231" s="739"/>
      <c r="BK231" s="739"/>
      <c r="BL231" s="739"/>
    </row>
    <row r="232" spans="7:64" x14ac:dyDescent="0.25">
      <c r="G232" s="739"/>
      <c r="H232" s="739"/>
      <c r="I232" s="739"/>
      <c r="J232" s="739"/>
      <c r="K232" s="739"/>
      <c r="L232" s="739"/>
      <c r="M232" s="739"/>
      <c r="N232" s="739"/>
      <c r="O232" s="739"/>
      <c r="P232" s="739"/>
      <c r="Q232" s="739"/>
      <c r="R232" s="739"/>
      <c r="S232" s="739"/>
      <c r="T232" s="739"/>
      <c r="U232" s="739"/>
      <c r="V232" s="739"/>
      <c r="W232" s="739"/>
      <c r="X232" s="739"/>
      <c r="Y232" s="739"/>
      <c r="Z232" s="739"/>
      <c r="AA232" s="739"/>
      <c r="AB232" s="739"/>
      <c r="AC232" s="739"/>
      <c r="AD232" s="739"/>
      <c r="AE232" s="739"/>
      <c r="AF232" s="739"/>
      <c r="AG232" s="739"/>
      <c r="AH232" s="739"/>
      <c r="AI232" s="739"/>
      <c r="AJ232" s="739"/>
      <c r="AK232" s="739"/>
      <c r="AL232" s="739"/>
      <c r="AM232" s="739"/>
      <c r="AN232" s="739"/>
      <c r="AO232" s="739"/>
      <c r="AP232" s="739"/>
      <c r="AQ232" s="739"/>
      <c r="AR232" s="739"/>
      <c r="AS232" s="739"/>
      <c r="AT232" s="739"/>
      <c r="AU232" s="739"/>
      <c r="AV232" s="739"/>
      <c r="AW232" s="739"/>
      <c r="AX232" s="739"/>
      <c r="AY232" s="739"/>
      <c r="AZ232" s="739"/>
      <c r="BA232" s="739"/>
      <c r="BB232" s="739"/>
      <c r="BC232" s="739"/>
      <c r="BD232" s="739"/>
      <c r="BE232" s="739"/>
      <c r="BF232" s="739"/>
      <c r="BG232" s="739"/>
      <c r="BH232" s="739"/>
      <c r="BI232" s="739"/>
      <c r="BJ232" s="739"/>
      <c r="BK232" s="739"/>
      <c r="BL232" s="739"/>
    </row>
    <row r="233" spans="7:64" x14ac:dyDescent="0.25">
      <c r="G233" s="739"/>
      <c r="H233" s="739"/>
      <c r="I233" s="739"/>
      <c r="J233" s="739"/>
      <c r="K233" s="739"/>
      <c r="L233" s="739"/>
      <c r="M233" s="739"/>
      <c r="N233" s="739"/>
      <c r="O233" s="739"/>
      <c r="P233" s="739"/>
      <c r="Q233" s="739"/>
      <c r="R233" s="739"/>
      <c r="S233" s="739"/>
      <c r="T233" s="739"/>
      <c r="U233" s="739"/>
      <c r="V233" s="739"/>
      <c r="W233" s="739"/>
      <c r="X233" s="739"/>
      <c r="Y233" s="739"/>
      <c r="Z233" s="739"/>
      <c r="AA233" s="739"/>
      <c r="AB233" s="739"/>
      <c r="AC233" s="739"/>
      <c r="AD233" s="739"/>
      <c r="AE233" s="739"/>
      <c r="AF233" s="739"/>
      <c r="AG233" s="739"/>
      <c r="AH233" s="739"/>
      <c r="AI233" s="739"/>
      <c r="AJ233" s="739"/>
      <c r="AK233" s="739"/>
      <c r="AL233" s="739"/>
      <c r="AM233" s="739"/>
      <c r="AN233" s="739"/>
      <c r="AO233" s="739"/>
      <c r="AP233" s="739"/>
      <c r="AQ233" s="739"/>
      <c r="AR233" s="739"/>
      <c r="AS233" s="739"/>
      <c r="AT233" s="739"/>
      <c r="AU233" s="739"/>
      <c r="AV233" s="739"/>
      <c r="AW233" s="739"/>
      <c r="AX233" s="739"/>
      <c r="AY233" s="739"/>
      <c r="AZ233" s="739"/>
      <c r="BA233" s="739"/>
      <c r="BB233" s="739"/>
      <c r="BC233" s="739"/>
      <c r="BD233" s="739"/>
      <c r="BE233" s="739"/>
      <c r="BF233" s="739"/>
      <c r="BG233" s="739"/>
      <c r="BH233" s="739"/>
      <c r="BI233" s="739"/>
      <c r="BJ233" s="739"/>
      <c r="BK233" s="739"/>
      <c r="BL233" s="739"/>
    </row>
    <row r="234" spans="7:64" x14ac:dyDescent="0.25">
      <c r="G234" s="739"/>
      <c r="H234" s="739"/>
      <c r="I234" s="739"/>
      <c r="J234" s="739"/>
      <c r="K234" s="739"/>
      <c r="L234" s="739"/>
      <c r="M234" s="739"/>
      <c r="N234" s="739"/>
      <c r="O234" s="739"/>
      <c r="P234" s="739"/>
      <c r="Q234" s="739"/>
      <c r="R234" s="739"/>
      <c r="S234" s="739"/>
      <c r="T234" s="739"/>
      <c r="U234" s="739"/>
      <c r="V234" s="739"/>
      <c r="W234" s="739"/>
      <c r="X234" s="739"/>
      <c r="Y234" s="739"/>
      <c r="Z234" s="739"/>
      <c r="AA234" s="739"/>
      <c r="AB234" s="739"/>
      <c r="AC234" s="739"/>
      <c r="AD234" s="739"/>
      <c r="AE234" s="739"/>
      <c r="AF234" s="739"/>
      <c r="AG234" s="739"/>
      <c r="AH234" s="739"/>
      <c r="AI234" s="739"/>
      <c r="AJ234" s="739"/>
      <c r="AK234" s="739"/>
      <c r="AL234" s="739"/>
      <c r="AM234" s="739"/>
      <c r="AN234" s="739"/>
      <c r="AO234" s="739"/>
      <c r="AP234" s="739"/>
      <c r="AQ234" s="739"/>
      <c r="AR234" s="739"/>
      <c r="AS234" s="739"/>
      <c r="AT234" s="739"/>
      <c r="AU234" s="739"/>
      <c r="AV234" s="739"/>
      <c r="AW234" s="739"/>
      <c r="AX234" s="739"/>
      <c r="AY234" s="739"/>
      <c r="AZ234" s="739"/>
      <c r="BA234" s="739"/>
      <c r="BB234" s="739"/>
      <c r="BC234" s="739"/>
      <c r="BD234" s="739"/>
      <c r="BE234" s="739"/>
      <c r="BF234" s="739"/>
      <c r="BG234" s="739"/>
      <c r="BH234" s="739"/>
      <c r="BI234" s="739"/>
      <c r="BJ234" s="739"/>
      <c r="BK234" s="739"/>
      <c r="BL234" s="739"/>
    </row>
    <row r="235" spans="7:64" x14ac:dyDescent="0.25">
      <c r="G235" s="739"/>
      <c r="H235" s="739"/>
      <c r="I235" s="739"/>
      <c r="J235" s="739"/>
      <c r="K235" s="739"/>
      <c r="L235" s="739"/>
      <c r="M235" s="739"/>
      <c r="N235" s="739"/>
      <c r="O235" s="739"/>
      <c r="P235" s="739"/>
      <c r="Q235" s="739"/>
      <c r="R235" s="739"/>
      <c r="S235" s="739"/>
      <c r="T235" s="739"/>
      <c r="U235" s="739"/>
      <c r="V235" s="739"/>
      <c r="W235" s="739"/>
      <c r="X235" s="739"/>
      <c r="Y235" s="739"/>
      <c r="Z235" s="739"/>
      <c r="AA235" s="739"/>
      <c r="AB235" s="739"/>
      <c r="AC235" s="739"/>
      <c r="AD235" s="739"/>
      <c r="AE235" s="739"/>
      <c r="AF235" s="739"/>
      <c r="AG235" s="739"/>
      <c r="AH235" s="739"/>
      <c r="AI235" s="739"/>
      <c r="AJ235" s="739"/>
      <c r="AK235" s="739"/>
      <c r="AL235" s="739"/>
      <c r="AM235" s="739"/>
      <c r="AN235" s="739"/>
      <c r="AO235" s="739"/>
      <c r="AP235" s="739"/>
      <c r="AQ235" s="739"/>
      <c r="AR235" s="739"/>
      <c r="AS235" s="739"/>
      <c r="AT235" s="739"/>
      <c r="AU235" s="739"/>
      <c r="AV235" s="739"/>
      <c r="AW235" s="739"/>
      <c r="AX235" s="739"/>
      <c r="AY235" s="739"/>
      <c r="AZ235" s="739"/>
      <c r="BA235" s="739"/>
      <c r="BB235" s="739"/>
      <c r="BC235" s="739"/>
      <c r="BD235" s="739"/>
      <c r="BE235" s="739"/>
      <c r="BF235" s="739"/>
      <c r="BG235" s="739"/>
      <c r="BH235" s="739"/>
      <c r="BI235" s="739"/>
      <c r="BJ235" s="739"/>
      <c r="BK235" s="739"/>
      <c r="BL235" s="739"/>
    </row>
    <row r="236" spans="7:64" x14ac:dyDescent="0.25">
      <c r="G236" s="739"/>
      <c r="H236" s="739"/>
      <c r="I236" s="739"/>
      <c r="J236" s="739"/>
      <c r="K236" s="739"/>
      <c r="L236" s="739"/>
      <c r="M236" s="739"/>
      <c r="N236" s="739"/>
      <c r="O236" s="739"/>
      <c r="P236" s="739"/>
      <c r="Q236" s="739"/>
      <c r="R236" s="739"/>
      <c r="S236" s="739"/>
      <c r="T236" s="739"/>
      <c r="U236" s="739"/>
      <c r="V236" s="739"/>
      <c r="W236" s="739"/>
      <c r="X236" s="739"/>
      <c r="Y236" s="739"/>
      <c r="Z236" s="739"/>
      <c r="AA236" s="739"/>
      <c r="AB236" s="739"/>
      <c r="AC236" s="739"/>
      <c r="AD236" s="739"/>
      <c r="AE236" s="739"/>
      <c r="AF236" s="739"/>
      <c r="AG236" s="739"/>
      <c r="AH236" s="739"/>
      <c r="AI236" s="739"/>
      <c r="AJ236" s="739"/>
      <c r="AK236" s="739"/>
      <c r="AL236" s="739"/>
      <c r="AM236" s="739"/>
      <c r="AN236" s="739"/>
      <c r="AO236" s="739"/>
      <c r="AP236" s="739"/>
      <c r="AQ236" s="739"/>
      <c r="AR236" s="739"/>
      <c r="AS236" s="739"/>
      <c r="AT236" s="739"/>
      <c r="AU236" s="739"/>
      <c r="AV236" s="739"/>
      <c r="AW236" s="739"/>
      <c r="AX236" s="739"/>
      <c r="AY236" s="739"/>
      <c r="AZ236" s="739"/>
      <c r="BA236" s="739"/>
      <c r="BB236" s="739"/>
      <c r="BC236" s="739"/>
      <c r="BD236" s="739"/>
      <c r="BE236" s="739"/>
      <c r="BF236" s="739"/>
      <c r="BG236" s="739"/>
      <c r="BH236" s="739"/>
      <c r="BI236" s="739"/>
      <c r="BJ236" s="739"/>
      <c r="BK236" s="739"/>
      <c r="BL236" s="739"/>
    </row>
    <row r="237" spans="7:64" x14ac:dyDescent="0.25">
      <c r="G237" s="739"/>
      <c r="H237" s="739"/>
      <c r="I237" s="739"/>
      <c r="J237" s="739"/>
      <c r="K237" s="739"/>
      <c r="L237" s="739"/>
      <c r="M237" s="739"/>
      <c r="N237" s="739"/>
      <c r="O237" s="739"/>
      <c r="P237" s="739"/>
      <c r="Q237" s="739"/>
      <c r="R237" s="739"/>
      <c r="S237" s="739"/>
      <c r="T237" s="739"/>
      <c r="U237" s="739"/>
      <c r="V237" s="739"/>
      <c r="W237" s="739"/>
      <c r="X237" s="739"/>
      <c r="Y237" s="739"/>
      <c r="Z237" s="739"/>
      <c r="AA237" s="739"/>
      <c r="AB237" s="739"/>
      <c r="AC237" s="739"/>
      <c r="AD237" s="739"/>
      <c r="AE237" s="739"/>
      <c r="AF237" s="739"/>
      <c r="AG237" s="739"/>
      <c r="AH237" s="739"/>
      <c r="AI237" s="739"/>
      <c r="AJ237" s="739"/>
      <c r="AK237" s="739"/>
      <c r="AL237" s="739"/>
      <c r="AM237" s="739"/>
      <c r="AN237" s="739"/>
      <c r="AO237" s="739"/>
      <c r="AP237" s="739"/>
      <c r="AQ237" s="739"/>
      <c r="AR237" s="739"/>
      <c r="AS237" s="739"/>
      <c r="AT237" s="739"/>
      <c r="AU237" s="739"/>
      <c r="AV237" s="739"/>
      <c r="AW237" s="739"/>
      <c r="AX237" s="739"/>
      <c r="AY237" s="739"/>
      <c r="AZ237" s="739"/>
      <c r="BA237" s="739"/>
      <c r="BB237" s="739"/>
      <c r="BC237" s="739"/>
      <c r="BD237" s="739"/>
      <c r="BE237" s="739"/>
      <c r="BF237" s="739"/>
      <c r="BG237" s="739"/>
      <c r="BH237" s="739"/>
      <c r="BI237" s="739"/>
      <c r="BJ237" s="739"/>
      <c r="BK237" s="739"/>
      <c r="BL237" s="739"/>
    </row>
    <row r="238" spans="7:64" x14ac:dyDescent="0.25">
      <c r="G238" s="739"/>
      <c r="H238" s="739"/>
      <c r="I238" s="739"/>
      <c r="J238" s="739"/>
      <c r="K238" s="739"/>
      <c r="L238" s="739"/>
      <c r="M238" s="739"/>
      <c r="N238" s="739"/>
      <c r="O238" s="739"/>
      <c r="P238" s="739"/>
      <c r="Q238" s="739"/>
      <c r="R238" s="739"/>
      <c r="S238" s="739"/>
      <c r="T238" s="739"/>
      <c r="U238" s="739"/>
      <c r="V238" s="739"/>
      <c r="W238" s="739"/>
      <c r="X238" s="739"/>
      <c r="Y238" s="739"/>
      <c r="Z238" s="739"/>
      <c r="AA238" s="739"/>
      <c r="AB238" s="739"/>
      <c r="AC238" s="739"/>
      <c r="AD238" s="739"/>
      <c r="AE238" s="739"/>
      <c r="AF238" s="739"/>
      <c r="AG238" s="739"/>
      <c r="AH238" s="739"/>
      <c r="AI238" s="739"/>
      <c r="AJ238" s="739"/>
      <c r="AK238" s="739"/>
      <c r="AL238" s="739"/>
      <c r="AM238" s="739"/>
      <c r="AN238" s="739"/>
      <c r="AO238" s="739"/>
      <c r="AP238" s="739"/>
      <c r="AQ238" s="739"/>
      <c r="AR238" s="739"/>
      <c r="AS238" s="739"/>
      <c r="AT238" s="739"/>
      <c r="AU238" s="739"/>
      <c r="AV238" s="739"/>
      <c r="AW238" s="739"/>
      <c r="AX238" s="739"/>
      <c r="AY238" s="739"/>
      <c r="AZ238" s="739"/>
      <c r="BA238" s="739"/>
      <c r="BB238" s="739"/>
      <c r="BC238" s="739"/>
      <c r="BD238" s="739"/>
      <c r="BE238" s="739"/>
      <c r="BF238" s="739"/>
      <c r="BG238" s="739"/>
      <c r="BH238" s="739"/>
      <c r="BI238" s="739"/>
      <c r="BJ238" s="739"/>
      <c r="BK238" s="739"/>
      <c r="BL238" s="739"/>
    </row>
    <row r="239" spans="7:64" x14ac:dyDescent="0.25">
      <c r="G239" s="739"/>
      <c r="H239" s="739"/>
      <c r="I239" s="739"/>
      <c r="J239" s="739"/>
      <c r="K239" s="739"/>
      <c r="L239" s="739"/>
      <c r="M239" s="739"/>
      <c r="N239" s="739"/>
      <c r="O239" s="739"/>
      <c r="P239" s="739"/>
      <c r="Q239" s="739"/>
      <c r="R239" s="739"/>
      <c r="S239" s="739"/>
      <c r="T239" s="739"/>
      <c r="U239" s="739"/>
      <c r="V239" s="739"/>
      <c r="W239" s="739"/>
      <c r="X239" s="739"/>
      <c r="Y239" s="739"/>
      <c r="Z239" s="739"/>
      <c r="AA239" s="739"/>
      <c r="AB239" s="739"/>
      <c r="AC239" s="739"/>
      <c r="AD239" s="739"/>
      <c r="AE239" s="739"/>
      <c r="AF239" s="739"/>
      <c r="AG239" s="739"/>
      <c r="AH239" s="739"/>
      <c r="AI239" s="739"/>
      <c r="AJ239" s="739"/>
      <c r="AK239" s="739"/>
      <c r="AL239" s="739"/>
      <c r="AM239" s="739"/>
      <c r="AN239" s="739"/>
      <c r="AO239" s="739"/>
      <c r="AP239" s="739"/>
      <c r="AQ239" s="739"/>
      <c r="AR239" s="739"/>
      <c r="AS239" s="739"/>
      <c r="AT239" s="739"/>
      <c r="AU239" s="739"/>
      <c r="AV239" s="739"/>
      <c r="AW239" s="739"/>
      <c r="AX239" s="739"/>
      <c r="AY239" s="739"/>
      <c r="AZ239" s="739"/>
      <c r="BA239" s="739"/>
      <c r="BB239" s="739"/>
      <c r="BC239" s="739"/>
      <c r="BD239" s="739"/>
      <c r="BE239" s="739"/>
      <c r="BF239" s="739"/>
      <c r="BG239" s="739"/>
      <c r="BH239" s="739"/>
      <c r="BI239" s="739"/>
      <c r="BJ239" s="739"/>
      <c r="BK239" s="739"/>
      <c r="BL239" s="739"/>
    </row>
  </sheetData>
  <mergeCells count="7">
    <mergeCell ref="AK8:AX8"/>
    <mergeCell ref="AZ8:BC8"/>
    <mergeCell ref="U59:W59"/>
    <mergeCell ref="B1:AH1"/>
    <mergeCell ref="B2:AH2"/>
    <mergeCell ref="G5:T5"/>
    <mergeCell ref="U5:AH5"/>
  </mergeCells>
  <pageMargins left="0.70866141732283472" right="0.70866141732283472" top="0.74803149606299213" bottom="0.74803149606299213" header="0.31496062992125984" footer="0.31496062992125984"/>
  <pageSetup paperSize="9" scale="77" orientation="landscape" verticalDpi="0" r:id="rId1"/>
  <colBreaks count="1" manualBreakCount="1">
    <brk id="35" max="4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10"/>
  <sheetViews>
    <sheetView view="pageBreakPreview" topLeftCell="A92" zoomScaleNormal="100" zoomScaleSheetLayoutView="100" workbookViewId="0">
      <selection activeCell="T117" sqref="T117"/>
    </sheetView>
  </sheetViews>
  <sheetFormatPr defaultColWidth="8.85546875" defaultRowHeight="12.75" x14ac:dyDescent="0.2"/>
  <cols>
    <col min="1" max="1" width="1.7109375" style="509" customWidth="1"/>
    <col min="2" max="2" width="3" style="509" customWidth="1"/>
    <col min="3" max="4" width="1.85546875" style="509" customWidth="1"/>
    <col min="5" max="5" width="55.85546875" style="509" customWidth="1"/>
    <col min="6" max="6" width="4.7109375" style="598" customWidth="1"/>
    <col min="7" max="7" width="16.28515625" style="509" customWidth="1"/>
    <col min="8" max="8" width="15.7109375" style="509" hidden="1" customWidth="1"/>
    <col min="9" max="9" width="16.28515625" style="509" hidden="1" customWidth="1"/>
    <col min="10" max="10" width="14" style="509" hidden="1" customWidth="1"/>
    <col min="11" max="11" width="15.42578125" style="509" hidden="1" customWidth="1"/>
    <col min="12" max="14" width="15.7109375" style="509" hidden="1" customWidth="1"/>
    <col min="15" max="16" width="15.85546875" style="509" hidden="1" customWidth="1"/>
    <col min="17" max="17" width="15.7109375" style="509" hidden="1" customWidth="1"/>
    <col min="18" max="18" width="15.5703125" style="509" hidden="1" customWidth="1"/>
    <col min="19" max="19" width="16.7109375" style="509" customWidth="1"/>
    <col min="20" max="21" width="16.28515625" style="509" customWidth="1"/>
    <col min="22" max="22" width="15.7109375" style="509" hidden="1" customWidth="1"/>
    <col min="23" max="23" width="16.28515625" style="509" hidden="1" customWidth="1"/>
    <col min="24" max="24" width="16" style="509" hidden="1" customWidth="1"/>
    <col min="25" max="25" width="14.5703125" style="509" hidden="1" customWidth="1"/>
    <col min="26" max="28" width="15.7109375" style="509" hidden="1" customWidth="1"/>
    <col min="29" max="29" width="16.42578125" style="509" hidden="1" customWidth="1"/>
    <col min="30" max="30" width="16.28515625" style="509" hidden="1" customWidth="1"/>
    <col min="31" max="31" width="16.140625" style="509" hidden="1" customWidth="1"/>
    <col min="32" max="32" width="13.85546875" style="509" hidden="1" customWidth="1"/>
    <col min="33" max="33" width="13.7109375" style="509" customWidth="1"/>
    <col min="34" max="34" width="16.28515625" style="509" customWidth="1"/>
    <col min="35" max="35" width="3" style="509" customWidth="1"/>
    <col min="36" max="36" width="1.7109375" style="509" customWidth="1"/>
    <col min="37" max="37" width="16.42578125" style="509" hidden="1" customWidth="1"/>
    <col min="38" max="38" width="12.5703125" style="509" hidden="1" customWidth="1"/>
    <col min="39" max="39" width="9.85546875" style="509" customWidth="1"/>
    <col min="40" max="40" width="12.85546875" style="509" hidden="1" customWidth="1"/>
    <col min="41" max="41" width="12.5703125" style="509" bestFit="1" customWidth="1"/>
    <col min="42" max="42" width="8.85546875" style="509" hidden="1" customWidth="1"/>
    <col min="43" max="45" width="8.85546875" style="509" customWidth="1"/>
    <col min="46" max="256" width="8.85546875" style="509"/>
    <col min="257" max="257" width="1.7109375" style="509" customWidth="1"/>
    <col min="258" max="258" width="3" style="509" customWidth="1"/>
    <col min="259" max="260" width="1.85546875" style="509" customWidth="1"/>
    <col min="261" max="261" width="55.85546875" style="509" customWidth="1"/>
    <col min="262" max="262" width="4.7109375" style="509" customWidth="1"/>
    <col min="263" max="263" width="16.28515625" style="509" customWidth="1"/>
    <col min="264" max="274" width="0" style="509" hidden="1" customWidth="1"/>
    <col min="275" max="275" width="16.7109375" style="509" customWidth="1"/>
    <col min="276" max="277" width="16.28515625" style="509" customWidth="1"/>
    <col min="278" max="288" width="0" style="509" hidden="1" customWidth="1"/>
    <col min="289" max="289" width="13.7109375" style="509" customWidth="1"/>
    <col min="290" max="290" width="16.28515625" style="509" customWidth="1"/>
    <col min="291" max="291" width="3" style="509" customWidth="1"/>
    <col min="292" max="292" width="1.7109375" style="509" customWidth="1"/>
    <col min="293" max="294" width="0" style="509" hidden="1" customWidth="1"/>
    <col min="295" max="295" width="9.85546875" style="509" customWidth="1"/>
    <col min="296" max="296" width="0" style="509" hidden="1" customWidth="1"/>
    <col min="297" max="297" width="12.5703125" style="509" bestFit="1" customWidth="1"/>
    <col min="298" max="298" width="0" style="509" hidden="1" customWidth="1"/>
    <col min="299" max="301" width="8.85546875" style="509" customWidth="1"/>
    <col min="302" max="512" width="8.85546875" style="509"/>
    <col min="513" max="513" width="1.7109375" style="509" customWidth="1"/>
    <col min="514" max="514" width="3" style="509" customWidth="1"/>
    <col min="515" max="516" width="1.85546875" style="509" customWidth="1"/>
    <col min="517" max="517" width="55.85546875" style="509" customWidth="1"/>
    <col min="518" max="518" width="4.7109375" style="509" customWidth="1"/>
    <col min="519" max="519" width="16.28515625" style="509" customWidth="1"/>
    <col min="520" max="530" width="0" style="509" hidden="1" customWidth="1"/>
    <col min="531" max="531" width="16.7109375" style="509" customWidth="1"/>
    <col min="532" max="533" width="16.28515625" style="509" customWidth="1"/>
    <col min="534" max="544" width="0" style="509" hidden="1" customWidth="1"/>
    <col min="545" max="545" width="13.7109375" style="509" customWidth="1"/>
    <col min="546" max="546" width="16.28515625" style="509" customWidth="1"/>
    <col min="547" max="547" width="3" style="509" customWidth="1"/>
    <col min="548" max="548" width="1.7109375" style="509" customWidth="1"/>
    <col min="549" max="550" width="0" style="509" hidden="1" customWidth="1"/>
    <col min="551" max="551" width="9.85546875" style="509" customWidth="1"/>
    <col min="552" max="552" width="0" style="509" hidden="1" customWidth="1"/>
    <col min="553" max="553" width="12.5703125" style="509" bestFit="1" customWidth="1"/>
    <col min="554" max="554" width="0" style="509" hidden="1" customWidth="1"/>
    <col min="555" max="557" width="8.85546875" style="509" customWidth="1"/>
    <col min="558" max="768" width="8.85546875" style="509"/>
    <col min="769" max="769" width="1.7109375" style="509" customWidth="1"/>
    <col min="770" max="770" width="3" style="509" customWidth="1"/>
    <col min="771" max="772" width="1.85546875" style="509" customWidth="1"/>
    <col min="773" max="773" width="55.85546875" style="509" customWidth="1"/>
    <col min="774" max="774" width="4.7109375" style="509" customWidth="1"/>
    <col min="775" max="775" width="16.28515625" style="509" customWidth="1"/>
    <col min="776" max="786" width="0" style="509" hidden="1" customWidth="1"/>
    <col min="787" max="787" width="16.7109375" style="509" customWidth="1"/>
    <col min="788" max="789" width="16.28515625" style="509" customWidth="1"/>
    <col min="790" max="800" width="0" style="509" hidden="1" customWidth="1"/>
    <col min="801" max="801" width="13.7109375" style="509" customWidth="1"/>
    <col min="802" max="802" width="16.28515625" style="509" customWidth="1"/>
    <col min="803" max="803" width="3" style="509" customWidth="1"/>
    <col min="804" max="804" width="1.7109375" style="509" customWidth="1"/>
    <col min="805" max="806" width="0" style="509" hidden="1" customWidth="1"/>
    <col min="807" max="807" width="9.85546875" style="509" customWidth="1"/>
    <col min="808" max="808" width="0" style="509" hidden="1" customWidth="1"/>
    <col min="809" max="809" width="12.5703125" style="509" bestFit="1" customWidth="1"/>
    <col min="810" max="810" width="0" style="509" hidden="1" customWidth="1"/>
    <col min="811" max="813" width="8.85546875" style="509" customWidth="1"/>
    <col min="814" max="1024" width="8.85546875" style="509"/>
    <col min="1025" max="1025" width="1.7109375" style="509" customWidth="1"/>
    <col min="1026" max="1026" width="3" style="509" customWidth="1"/>
    <col min="1027" max="1028" width="1.85546875" style="509" customWidth="1"/>
    <col min="1029" max="1029" width="55.85546875" style="509" customWidth="1"/>
    <col min="1030" max="1030" width="4.7109375" style="509" customWidth="1"/>
    <col min="1031" max="1031" width="16.28515625" style="509" customWidth="1"/>
    <col min="1032" max="1042" width="0" style="509" hidden="1" customWidth="1"/>
    <col min="1043" max="1043" width="16.7109375" style="509" customWidth="1"/>
    <col min="1044" max="1045" width="16.28515625" style="509" customWidth="1"/>
    <col min="1046" max="1056" width="0" style="509" hidden="1" customWidth="1"/>
    <col min="1057" max="1057" width="13.7109375" style="509" customWidth="1"/>
    <col min="1058" max="1058" width="16.28515625" style="509" customWidth="1"/>
    <col min="1059" max="1059" width="3" style="509" customWidth="1"/>
    <col min="1060" max="1060" width="1.7109375" style="509" customWidth="1"/>
    <col min="1061" max="1062" width="0" style="509" hidden="1" customWidth="1"/>
    <col min="1063" max="1063" width="9.85546875" style="509" customWidth="1"/>
    <col min="1064" max="1064" width="0" style="509" hidden="1" customWidth="1"/>
    <col min="1065" max="1065" width="12.5703125" style="509" bestFit="1" customWidth="1"/>
    <col min="1066" max="1066" width="0" style="509" hidden="1" customWidth="1"/>
    <col min="1067" max="1069" width="8.85546875" style="509" customWidth="1"/>
    <col min="1070" max="1280" width="8.85546875" style="509"/>
    <col min="1281" max="1281" width="1.7109375" style="509" customWidth="1"/>
    <col min="1282" max="1282" width="3" style="509" customWidth="1"/>
    <col min="1283" max="1284" width="1.85546875" style="509" customWidth="1"/>
    <col min="1285" max="1285" width="55.85546875" style="509" customWidth="1"/>
    <col min="1286" max="1286" width="4.7109375" style="509" customWidth="1"/>
    <col min="1287" max="1287" width="16.28515625" style="509" customWidth="1"/>
    <col min="1288" max="1298" width="0" style="509" hidden="1" customWidth="1"/>
    <col min="1299" max="1299" width="16.7109375" style="509" customWidth="1"/>
    <col min="1300" max="1301" width="16.28515625" style="509" customWidth="1"/>
    <col min="1302" max="1312" width="0" style="509" hidden="1" customWidth="1"/>
    <col min="1313" max="1313" width="13.7109375" style="509" customWidth="1"/>
    <col min="1314" max="1314" width="16.28515625" style="509" customWidth="1"/>
    <col min="1315" max="1315" width="3" style="509" customWidth="1"/>
    <col min="1316" max="1316" width="1.7109375" style="509" customWidth="1"/>
    <col min="1317" max="1318" width="0" style="509" hidden="1" customWidth="1"/>
    <col min="1319" max="1319" width="9.85546875" style="509" customWidth="1"/>
    <col min="1320" max="1320" width="0" style="509" hidden="1" customWidth="1"/>
    <col min="1321" max="1321" width="12.5703125" style="509" bestFit="1" customWidth="1"/>
    <col min="1322" max="1322" width="0" style="509" hidden="1" customWidth="1"/>
    <col min="1323" max="1325" width="8.85546875" style="509" customWidth="1"/>
    <col min="1326" max="1536" width="8.85546875" style="509"/>
    <col min="1537" max="1537" width="1.7109375" style="509" customWidth="1"/>
    <col min="1538" max="1538" width="3" style="509" customWidth="1"/>
    <col min="1539" max="1540" width="1.85546875" style="509" customWidth="1"/>
    <col min="1541" max="1541" width="55.85546875" style="509" customWidth="1"/>
    <col min="1542" max="1542" width="4.7109375" style="509" customWidth="1"/>
    <col min="1543" max="1543" width="16.28515625" style="509" customWidth="1"/>
    <col min="1544" max="1554" width="0" style="509" hidden="1" customWidth="1"/>
    <col min="1555" max="1555" width="16.7109375" style="509" customWidth="1"/>
    <col min="1556" max="1557" width="16.28515625" style="509" customWidth="1"/>
    <col min="1558" max="1568" width="0" style="509" hidden="1" customWidth="1"/>
    <col min="1569" max="1569" width="13.7109375" style="509" customWidth="1"/>
    <col min="1570" max="1570" width="16.28515625" style="509" customWidth="1"/>
    <col min="1571" max="1571" width="3" style="509" customWidth="1"/>
    <col min="1572" max="1572" width="1.7109375" style="509" customWidth="1"/>
    <col min="1573" max="1574" width="0" style="509" hidden="1" customWidth="1"/>
    <col min="1575" max="1575" width="9.85546875" style="509" customWidth="1"/>
    <col min="1576" max="1576" width="0" style="509" hidden="1" customWidth="1"/>
    <col min="1577" max="1577" width="12.5703125" style="509" bestFit="1" customWidth="1"/>
    <col min="1578" max="1578" width="0" style="509" hidden="1" customWidth="1"/>
    <col min="1579" max="1581" width="8.85546875" style="509" customWidth="1"/>
    <col min="1582" max="1792" width="8.85546875" style="509"/>
    <col min="1793" max="1793" width="1.7109375" style="509" customWidth="1"/>
    <col min="1794" max="1794" width="3" style="509" customWidth="1"/>
    <col min="1795" max="1796" width="1.85546875" style="509" customWidth="1"/>
    <col min="1797" max="1797" width="55.85546875" style="509" customWidth="1"/>
    <col min="1798" max="1798" width="4.7109375" style="509" customWidth="1"/>
    <col min="1799" max="1799" width="16.28515625" style="509" customWidth="1"/>
    <col min="1800" max="1810" width="0" style="509" hidden="1" customWidth="1"/>
    <col min="1811" max="1811" width="16.7109375" style="509" customWidth="1"/>
    <col min="1812" max="1813" width="16.28515625" style="509" customWidth="1"/>
    <col min="1814" max="1824" width="0" style="509" hidden="1" customWidth="1"/>
    <col min="1825" max="1825" width="13.7109375" style="509" customWidth="1"/>
    <col min="1826" max="1826" width="16.28515625" style="509" customWidth="1"/>
    <col min="1827" max="1827" width="3" style="509" customWidth="1"/>
    <col min="1828" max="1828" width="1.7109375" style="509" customWidth="1"/>
    <col min="1829" max="1830" width="0" style="509" hidden="1" customWidth="1"/>
    <col min="1831" max="1831" width="9.85546875" style="509" customWidth="1"/>
    <col min="1832" max="1832" width="0" style="509" hidden="1" customWidth="1"/>
    <col min="1833" max="1833" width="12.5703125" style="509" bestFit="1" customWidth="1"/>
    <col min="1834" max="1834" width="0" style="509" hidden="1" customWidth="1"/>
    <col min="1835" max="1837" width="8.85546875" style="509" customWidth="1"/>
    <col min="1838" max="2048" width="8.85546875" style="509"/>
    <col min="2049" max="2049" width="1.7109375" style="509" customWidth="1"/>
    <col min="2050" max="2050" width="3" style="509" customWidth="1"/>
    <col min="2051" max="2052" width="1.85546875" style="509" customWidth="1"/>
    <col min="2053" max="2053" width="55.85546875" style="509" customWidth="1"/>
    <col min="2054" max="2054" width="4.7109375" style="509" customWidth="1"/>
    <col min="2055" max="2055" width="16.28515625" style="509" customWidth="1"/>
    <col min="2056" max="2066" width="0" style="509" hidden="1" customWidth="1"/>
    <col min="2067" max="2067" width="16.7109375" style="509" customWidth="1"/>
    <col min="2068" max="2069" width="16.28515625" style="509" customWidth="1"/>
    <col min="2070" max="2080" width="0" style="509" hidden="1" customWidth="1"/>
    <col min="2081" max="2081" width="13.7109375" style="509" customWidth="1"/>
    <col min="2082" max="2082" width="16.28515625" style="509" customWidth="1"/>
    <col min="2083" max="2083" width="3" style="509" customWidth="1"/>
    <col min="2084" max="2084" width="1.7109375" style="509" customWidth="1"/>
    <col min="2085" max="2086" width="0" style="509" hidden="1" customWidth="1"/>
    <col min="2087" max="2087" width="9.85546875" style="509" customWidth="1"/>
    <col min="2088" max="2088" width="0" style="509" hidden="1" customWidth="1"/>
    <col min="2089" max="2089" width="12.5703125" style="509" bestFit="1" customWidth="1"/>
    <col min="2090" max="2090" width="0" style="509" hidden="1" customWidth="1"/>
    <col min="2091" max="2093" width="8.85546875" style="509" customWidth="1"/>
    <col min="2094" max="2304" width="8.85546875" style="509"/>
    <col min="2305" max="2305" width="1.7109375" style="509" customWidth="1"/>
    <col min="2306" max="2306" width="3" style="509" customWidth="1"/>
    <col min="2307" max="2308" width="1.85546875" style="509" customWidth="1"/>
    <col min="2309" max="2309" width="55.85546875" style="509" customWidth="1"/>
    <col min="2310" max="2310" width="4.7109375" style="509" customWidth="1"/>
    <col min="2311" max="2311" width="16.28515625" style="509" customWidth="1"/>
    <col min="2312" max="2322" width="0" style="509" hidden="1" customWidth="1"/>
    <col min="2323" max="2323" width="16.7109375" style="509" customWidth="1"/>
    <col min="2324" max="2325" width="16.28515625" style="509" customWidth="1"/>
    <col min="2326" max="2336" width="0" style="509" hidden="1" customWidth="1"/>
    <col min="2337" max="2337" width="13.7109375" style="509" customWidth="1"/>
    <col min="2338" max="2338" width="16.28515625" style="509" customWidth="1"/>
    <col min="2339" max="2339" width="3" style="509" customWidth="1"/>
    <col min="2340" max="2340" width="1.7109375" style="509" customWidth="1"/>
    <col min="2341" max="2342" width="0" style="509" hidden="1" customWidth="1"/>
    <col min="2343" max="2343" width="9.85546875" style="509" customWidth="1"/>
    <col min="2344" max="2344" width="0" style="509" hidden="1" customWidth="1"/>
    <col min="2345" max="2345" width="12.5703125" style="509" bestFit="1" customWidth="1"/>
    <col min="2346" max="2346" width="0" style="509" hidden="1" customWidth="1"/>
    <col min="2347" max="2349" width="8.85546875" style="509" customWidth="1"/>
    <col min="2350" max="2560" width="8.85546875" style="509"/>
    <col min="2561" max="2561" width="1.7109375" style="509" customWidth="1"/>
    <col min="2562" max="2562" width="3" style="509" customWidth="1"/>
    <col min="2563" max="2564" width="1.85546875" style="509" customWidth="1"/>
    <col min="2565" max="2565" width="55.85546875" style="509" customWidth="1"/>
    <col min="2566" max="2566" width="4.7109375" style="509" customWidth="1"/>
    <col min="2567" max="2567" width="16.28515625" style="509" customWidth="1"/>
    <col min="2568" max="2578" width="0" style="509" hidden="1" customWidth="1"/>
    <col min="2579" max="2579" width="16.7109375" style="509" customWidth="1"/>
    <col min="2580" max="2581" width="16.28515625" style="509" customWidth="1"/>
    <col min="2582" max="2592" width="0" style="509" hidden="1" customWidth="1"/>
    <col min="2593" max="2593" width="13.7109375" style="509" customWidth="1"/>
    <col min="2594" max="2594" width="16.28515625" style="509" customWidth="1"/>
    <col min="2595" max="2595" width="3" style="509" customWidth="1"/>
    <col min="2596" max="2596" width="1.7109375" style="509" customWidth="1"/>
    <col min="2597" max="2598" width="0" style="509" hidden="1" customWidth="1"/>
    <col min="2599" max="2599" width="9.85546875" style="509" customWidth="1"/>
    <col min="2600" max="2600" width="0" style="509" hidden="1" customWidth="1"/>
    <col min="2601" max="2601" width="12.5703125" style="509" bestFit="1" customWidth="1"/>
    <col min="2602" max="2602" width="0" style="509" hidden="1" customWidth="1"/>
    <col min="2603" max="2605" width="8.85546875" style="509" customWidth="1"/>
    <col min="2606" max="2816" width="8.85546875" style="509"/>
    <col min="2817" max="2817" width="1.7109375" style="509" customWidth="1"/>
    <col min="2818" max="2818" width="3" style="509" customWidth="1"/>
    <col min="2819" max="2820" width="1.85546875" style="509" customWidth="1"/>
    <col min="2821" max="2821" width="55.85546875" style="509" customWidth="1"/>
    <col min="2822" max="2822" width="4.7109375" style="509" customWidth="1"/>
    <col min="2823" max="2823" width="16.28515625" style="509" customWidth="1"/>
    <col min="2824" max="2834" width="0" style="509" hidden="1" customWidth="1"/>
    <col min="2835" max="2835" width="16.7109375" style="509" customWidth="1"/>
    <col min="2836" max="2837" width="16.28515625" style="509" customWidth="1"/>
    <col min="2838" max="2848" width="0" style="509" hidden="1" customWidth="1"/>
    <col min="2849" max="2849" width="13.7109375" style="509" customWidth="1"/>
    <col min="2850" max="2850" width="16.28515625" style="509" customWidth="1"/>
    <col min="2851" max="2851" width="3" style="509" customWidth="1"/>
    <col min="2852" max="2852" width="1.7109375" style="509" customWidth="1"/>
    <col min="2853" max="2854" width="0" style="509" hidden="1" customWidth="1"/>
    <col min="2855" max="2855" width="9.85546875" style="509" customWidth="1"/>
    <col min="2856" max="2856" width="0" style="509" hidden="1" customWidth="1"/>
    <col min="2857" max="2857" width="12.5703125" style="509" bestFit="1" customWidth="1"/>
    <col min="2858" max="2858" width="0" style="509" hidden="1" customWidth="1"/>
    <col min="2859" max="2861" width="8.85546875" style="509" customWidth="1"/>
    <col min="2862" max="3072" width="8.85546875" style="509"/>
    <col min="3073" max="3073" width="1.7109375" style="509" customWidth="1"/>
    <col min="3074" max="3074" width="3" style="509" customWidth="1"/>
    <col min="3075" max="3076" width="1.85546875" style="509" customWidth="1"/>
    <col min="3077" max="3077" width="55.85546875" style="509" customWidth="1"/>
    <col min="3078" max="3078" width="4.7109375" style="509" customWidth="1"/>
    <col min="3079" max="3079" width="16.28515625" style="509" customWidth="1"/>
    <col min="3080" max="3090" width="0" style="509" hidden="1" customWidth="1"/>
    <col min="3091" max="3091" width="16.7109375" style="509" customWidth="1"/>
    <col min="3092" max="3093" width="16.28515625" style="509" customWidth="1"/>
    <col min="3094" max="3104" width="0" style="509" hidden="1" customWidth="1"/>
    <col min="3105" max="3105" width="13.7109375" style="509" customWidth="1"/>
    <col min="3106" max="3106" width="16.28515625" style="509" customWidth="1"/>
    <col min="3107" max="3107" width="3" style="509" customWidth="1"/>
    <col min="3108" max="3108" width="1.7109375" style="509" customWidth="1"/>
    <col min="3109" max="3110" width="0" style="509" hidden="1" customWidth="1"/>
    <col min="3111" max="3111" width="9.85546875" style="509" customWidth="1"/>
    <col min="3112" max="3112" width="0" style="509" hidden="1" customWidth="1"/>
    <col min="3113" max="3113" width="12.5703125" style="509" bestFit="1" customWidth="1"/>
    <col min="3114" max="3114" width="0" style="509" hidden="1" customWidth="1"/>
    <col min="3115" max="3117" width="8.85546875" style="509" customWidth="1"/>
    <col min="3118" max="3328" width="8.85546875" style="509"/>
    <col min="3329" max="3329" width="1.7109375" style="509" customWidth="1"/>
    <col min="3330" max="3330" width="3" style="509" customWidth="1"/>
    <col min="3331" max="3332" width="1.85546875" style="509" customWidth="1"/>
    <col min="3333" max="3333" width="55.85546875" style="509" customWidth="1"/>
    <col min="3334" max="3334" width="4.7109375" style="509" customWidth="1"/>
    <col min="3335" max="3335" width="16.28515625" style="509" customWidth="1"/>
    <col min="3336" max="3346" width="0" style="509" hidden="1" customWidth="1"/>
    <col min="3347" max="3347" width="16.7109375" style="509" customWidth="1"/>
    <col min="3348" max="3349" width="16.28515625" style="509" customWidth="1"/>
    <col min="3350" max="3360" width="0" style="509" hidden="1" customWidth="1"/>
    <col min="3361" max="3361" width="13.7109375" style="509" customWidth="1"/>
    <col min="3362" max="3362" width="16.28515625" style="509" customWidth="1"/>
    <col min="3363" max="3363" width="3" style="509" customWidth="1"/>
    <col min="3364" max="3364" width="1.7109375" style="509" customWidth="1"/>
    <col min="3365" max="3366" width="0" style="509" hidden="1" customWidth="1"/>
    <col min="3367" max="3367" width="9.85546875" style="509" customWidth="1"/>
    <col min="3368" max="3368" width="0" style="509" hidden="1" customWidth="1"/>
    <col min="3369" max="3369" width="12.5703125" style="509" bestFit="1" customWidth="1"/>
    <col min="3370" max="3370" width="0" style="509" hidden="1" customWidth="1"/>
    <col min="3371" max="3373" width="8.85546875" style="509" customWidth="1"/>
    <col min="3374" max="3584" width="8.85546875" style="509"/>
    <col min="3585" max="3585" width="1.7109375" style="509" customWidth="1"/>
    <col min="3586" max="3586" width="3" style="509" customWidth="1"/>
    <col min="3587" max="3588" width="1.85546875" style="509" customWidth="1"/>
    <col min="3589" max="3589" width="55.85546875" style="509" customWidth="1"/>
    <col min="3590" max="3590" width="4.7109375" style="509" customWidth="1"/>
    <col min="3591" max="3591" width="16.28515625" style="509" customWidth="1"/>
    <col min="3592" max="3602" width="0" style="509" hidden="1" customWidth="1"/>
    <col min="3603" max="3603" width="16.7109375" style="509" customWidth="1"/>
    <col min="3604" max="3605" width="16.28515625" style="509" customWidth="1"/>
    <col min="3606" max="3616" width="0" style="509" hidden="1" customWidth="1"/>
    <col min="3617" max="3617" width="13.7109375" style="509" customWidth="1"/>
    <col min="3618" max="3618" width="16.28515625" style="509" customWidth="1"/>
    <col min="3619" max="3619" width="3" style="509" customWidth="1"/>
    <col min="3620" max="3620" width="1.7109375" style="509" customWidth="1"/>
    <col min="3621" max="3622" width="0" style="509" hidden="1" customWidth="1"/>
    <col min="3623" max="3623" width="9.85546875" style="509" customWidth="1"/>
    <col min="3624" max="3624" width="0" style="509" hidden="1" customWidth="1"/>
    <col min="3625" max="3625" width="12.5703125" style="509" bestFit="1" customWidth="1"/>
    <col min="3626" max="3626" width="0" style="509" hidden="1" customWidth="1"/>
    <col min="3627" max="3629" width="8.85546875" style="509" customWidth="1"/>
    <col min="3630" max="3840" width="8.85546875" style="509"/>
    <col min="3841" max="3841" width="1.7109375" style="509" customWidth="1"/>
    <col min="3842" max="3842" width="3" style="509" customWidth="1"/>
    <col min="3843" max="3844" width="1.85546875" style="509" customWidth="1"/>
    <col min="3845" max="3845" width="55.85546875" style="509" customWidth="1"/>
    <col min="3846" max="3846" width="4.7109375" style="509" customWidth="1"/>
    <col min="3847" max="3847" width="16.28515625" style="509" customWidth="1"/>
    <col min="3848" max="3858" width="0" style="509" hidden="1" customWidth="1"/>
    <col min="3859" max="3859" width="16.7109375" style="509" customWidth="1"/>
    <col min="3860" max="3861" width="16.28515625" style="509" customWidth="1"/>
    <col min="3862" max="3872" width="0" style="509" hidden="1" customWidth="1"/>
    <col min="3873" max="3873" width="13.7109375" style="509" customWidth="1"/>
    <col min="3874" max="3874" width="16.28515625" style="509" customWidth="1"/>
    <col min="3875" max="3875" width="3" style="509" customWidth="1"/>
    <col min="3876" max="3876" width="1.7109375" style="509" customWidth="1"/>
    <col min="3877" max="3878" width="0" style="509" hidden="1" customWidth="1"/>
    <col min="3879" max="3879" width="9.85546875" style="509" customWidth="1"/>
    <col min="3880" max="3880" width="0" style="509" hidden="1" customWidth="1"/>
    <col min="3881" max="3881" width="12.5703125" style="509" bestFit="1" customWidth="1"/>
    <col min="3882" max="3882" width="0" style="509" hidden="1" customWidth="1"/>
    <col min="3883" max="3885" width="8.85546875" style="509" customWidth="1"/>
    <col min="3886" max="4096" width="8.85546875" style="509"/>
    <col min="4097" max="4097" width="1.7109375" style="509" customWidth="1"/>
    <col min="4098" max="4098" width="3" style="509" customWidth="1"/>
    <col min="4099" max="4100" width="1.85546875" style="509" customWidth="1"/>
    <col min="4101" max="4101" width="55.85546875" style="509" customWidth="1"/>
    <col min="4102" max="4102" width="4.7109375" style="509" customWidth="1"/>
    <col min="4103" max="4103" width="16.28515625" style="509" customWidth="1"/>
    <col min="4104" max="4114" width="0" style="509" hidden="1" customWidth="1"/>
    <col min="4115" max="4115" width="16.7109375" style="509" customWidth="1"/>
    <col min="4116" max="4117" width="16.28515625" style="509" customWidth="1"/>
    <col min="4118" max="4128" width="0" style="509" hidden="1" customWidth="1"/>
    <col min="4129" max="4129" width="13.7109375" style="509" customWidth="1"/>
    <col min="4130" max="4130" width="16.28515625" style="509" customWidth="1"/>
    <col min="4131" max="4131" width="3" style="509" customWidth="1"/>
    <col min="4132" max="4132" width="1.7109375" style="509" customWidth="1"/>
    <col min="4133" max="4134" width="0" style="509" hidden="1" customWidth="1"/>
    <col min="4135" max="4135" width="9.85546875" style="509" customWidth="1"/>
    <col min="4136" max="4136" width="0" style="509" hidden="1" customWidth="1"/>
    <col min="4137" max="4137" width="12.5703125" style="509" bestFit="1" customWidth="1"/>
    <col min="4138" max="4138" width="0" style="509" hidden="1" customWidth="1"/>
    <col min="4139" max="4141" width="8.85546875" style="509" customWidth="1"/>
    <col min="4142" max="4352" width="8.85546875" style="509"/>
    <col min="4353" max="4353" width="1.7109375" style="509" customWidth="1"/>
    <col min="4354" max="4354" width="3" style="509" customWidth="1"/>
    <col min="4355" max="4356" width="1.85546875" style="509" customWidth="1"/>
    <col min="4357" max="4357" width="55.85546875" style="509" customWidth="1"/>
    <col min="4358" max="4358" width="4.7109375" style="509" customWidth="1"/>
    <col min="4359" max="4359" width="16.28515625" style="509" customWidth="1"/>
    <col min="4360" max="4370" width="0" style="509" hidden="1" customWidth="1"/>
    <col min="4371" max="4371" width="16.7109375" style="509" customWidth="1"/>
    <col min="4372" max="4373" width="16.28515625" style="509" customWidth="1"/>
    <col min="4374" max="4384" width="0" style="509" hidden="1" customWidth="1"/>
    <col min="4385" max="4385" width="13.7109375" style="509" customWidth="1"/>
    <col min="4386" max="4386" width="16.28515625" style="509" customWidth="1"/>
    <col min="4387" max="4387" width="3" style="509" customWidth="1"/>
    <col min="4388" max="4388" width="1.7109375" style="509" customWidth="1"/>
    <col min="4389" max="4390" width="0" style="509" hidden="1" customWidth="1"/>
    <col min="4391" max="4391" width="9.85546875" style="509" customWidth="1"/>
    <col min="4392" max="4392" width="0" style="509" hidden="1" customWidth="1"/>
    <col min="4393" max="4393" width="12.5703125" style="509" bestFit="1" customWidth="1"/>
    <col min="4394" max="4394" width="0" style="509" hidden="1" customWidth="1"/>
    <col min="4395" max="4397" width="8.85546875" style="509" customWidth="1"/>
    <col min="4398" max="4608" width="8.85546875" style="509"/>
    <col min="4609" max="4609" width="1.7109375" style="509" customWidth="1"/>
    <col min="4610" max="4610" width="3" style="509" customWidth="1"/>
    <col min="4611" max="4612" width="1.85546875" style="509" customWidth="1"/>
    <col min="4613" max="4613" width="55.85546875" style="509" customWidth="1"/>
    <col min="4614" max="4614" width="4.7109375" style="509" customWidth="1"/>
    <col min="4615" max="4615" width="16.28515625" style="509" customWidth="1"/>
    <col min="4616" max="4626" width="0" style="509" hidden="1" customWidth="1"/>
    <col min="4627" max="4627" width="16.7109375" style="509" customWidth="1"/>
    <col min="4628" max="4629" width="16.28515625" style="509" customWidth="1"/>
    <col min="4630" max="4640" width="0" style="509" hidden="1" customWidth="1"/>
    <col min="4641" max="4641" width="13.7109375" style="509" customWidth="1"/>
    <col min="4642" max="4642" width="16.28515625" style="509" customWidth="1"/>
    <col min="4643" max="4643" width="3" style="509" customWidth="1"/>
    <col min="4644" max="4644" width="1.7109375" style="509" customWidth="1"/>
    <col min="4645" max="4646" width="0" style="509" hidden="1" customWidth="1"/>
    <col min="4647" max="4647" width="9.85546875" style="509" customWidth="1"/>
    <col min="4648" max="4648" width="0" style="509" hidden="1" customWidth="1"/>
    <col min="4649" max="4649" width="12.5703125" style="509" bestFit="1" customWidth="1"/>
    <col min="4650" max="4650" width="0" style="509" hidden="1" customWidth="1"/>
    <col min="4651" max="4653" width="8.85546875" style="509" customWidth="1"/>
    <col min="4654" max="4864" width="8.85546875" style="509"/>
    <col min="4865" max="4865" width="1.7109375" style="509" customWidth="1"/>
    <col min="4866" max="4866" width="3" style="509" customWidth="1"/>
    <col min="4867" max="4868" width="1.85546875" style="509" customWidth="1"/>
    <col min="4869" max="4869" width="55.85546875" style="509" customWidth="1"/>
    <col min="4870" max="4870" width="4.7109375" style="509" customWidth="1"/>
    <col min="4871" max="4871" width="16.28515625" style="509" customWidth="1"/>
    <col min="4872" max="4882" width="0" style="509" hidden="1" customWidth="1"/>
    <col min="4883" max="4883" width="16.7109375" style="509" customWidth="1"/>
    <col min="4884" max="4885" width="16.28515625" style="509" customWidth="1"/>
    <col min="4886" max="4896" width="0" style="509" hidden="1" customWidth="1"/>
    <col min="4897" max="4897" width="13.7109375" style="509" customWidth="1"/>
    <col min="4898" max="4898" width="16.28515625" style="509" customWidth="1"/>
    <col min="4899" max="4899" width="3" style="509" customWidth="1"/>
    <col min="4900" max="4900" width="1.7109375" style="509" customWidth="1"/>
    <col min="4901" max="4902" width="0" style="509" hidden="1" customWidth="1"/>
    <col min="4903" max="4903" width="9.85546875" style="509" customWidth="1"/>
    <col min="4904" max="4904" width="0" style="509" hidden="1" customWidth="1"/>
    <col min="4905" max="4905" width="12.5703125" style="509" bestFit="1" customWidth="1"/>
    <col min="4906" max="4906" width="0" style="509" hidden="1" customWidth="1"/>
    <col min="4907" max="4909" width="8.85546875" style="509" customWidth="1"/>
    <col min="4910" max="5120" width="8.85546875" style="509"/>
    <col min="5121" max="5121" width="1.7109375" style="509" customWidth="1"/>
    <col min="5122" max="5122" width="3" style="509" customWidth="1"/>
    <col min="5123" max="5124" width="1.85546875" style="509" customWidth="1"/>
    <col min="5125" max="5125" width="55.85546875" style="509" customWidth="1"/>
    <col min="5126" max="5126" width="4.7109375" style="509" customWidth="1"/>
    <col min="5127" max="5127" width="16.28515625" style="509" customWidth="1"/>
    <col min="5128" max="5138" width="0" style="509" hidden="1" customWidth="1"/>
    <col min="5139" max="5139" width="16.7109375" style="509" customWidth="1"/>
    <col min="5140" max="5141" width="16.28515625" style="509" customWidth="1"/>
    <col min="5142" max="5152" width="0" style="509" hidden="1" customWidth="1"/>
    <col min="5153" max="5153" width="13.7109375" style="509" customWidth="1"/>
    <col min="5154" max="5154" width="16.28515625" style="509" customWidth="1"/>
    <col min="5155" max="5155" width="3" style="509" customWidth="1"/>
    <col min="5156" max="5156" width="1.7109375" style="509" customWidth="1"/>
    <col min="5157" max="5158" width="0" style="509" hidden="1" customWidth="1"/>
    <col min="5159" max="5159" width="9.85546875" style="509" customWidth="1"/>
    <col min="5160" max="5160" width="0" style="509" hidden="1" customWidth="1"/>
    <col min="5161" max="5161" width="12.5703125" style="509" bestFit="1" customWidth="1"/>
    <col min="5162" max="5162" width="0" style="509" hidden="1" customWidth="1"/>
    <col min="5163" max="5165" width="8.85546875" style="509" customWidth="1"/>
    <col min="5166" max="5376" width="8.85546875" style="509"/>
    <col min="5377" max="5377" width="1.7109375" style="509" customWidth="1"/>
    <col min="5378" max="5378" width="3" style="509" customWidth="1"/>
    <col min="5379" max="5380" width="1.85546875" style="509" customWidth="1"/>
    <col min="5381" max="5381" width="55.85546875" style="509" customWidth="1"/>
    <col min="5382" max="5382" width="4.7109375" style="509" customWidth="1"/>
    <col min="5383" max="5383" width="16.28515625" style="509" customWidth="1"/>
    <col min="5384" max="5394" width="0" style="509" hidden="1" customWidth="1"/>
    <col min="5395" max="5395" width="16.7109375" style="509" customWidth="1"/>
    <col min="5396" max="5397" width="16.28515625" style="509" customWidth="1"/>
    <col min="5398" max="5408" width="0" style="509" hidden="1" customWidth="1"/>
    <col min="5409" max="5409" width="13.7109375" style="509" customWidth="1"/>
    <col min="5410" max="5410" width="16.28515625" style="509" customWidth="1"/>
    <col min="5411" max="5411" width="3" style="509" customWidth="1"/>
    <col min="5412" max="5412" width="1.7109375" style="509" customWidth="1"/>
    <col min="5413" max="5414" width="0" style="509" hidden="1" customWidth="1"/>
    <col min="5415" max="5415" width="9.85546875" style="509" customWidth="1"/>
    <col min="5416" max="5416" width="0" style="509" hidden="1" customWidth="1"/>
    <col min="5417" max="5417" width="12.5703125" style="509" bestFit="1" customWidth="1"/>
    <col min="5418" max="5418" width="0" style="509" hidden="1" customWidth="1"/>
    <col min="5419" max="5421" width="8.85546875" style="509" customWidth="1"/>
    <col min="5422" max="5632" width="8.85546875" style="509"/>
    <col min="5633" max="5633" width="1.7109375" style="509" customWidth="1"/>
    <col min="5634" max="5634" width="3" style="509" customWidth="1"/>
    <col min="5635" max="5636" width="1.85546875" style="509" customWidth="1"/>
    <col min="5637" max="5637" width="55.85546875" style="509" customWidth="1"/>
    <col min="5638" max="5638" width="4.7109375" style="509" customWidth="1"/>
    <col min="5639" max="5639" width="16.28515625" style="509" customWidth="1"/>
    <col min="5640" max="5650" width="0" style="509" hidden="1" customWidth="1"/>
    <col min="5651" max="5651" width="16.7109375" style="509" customWidth="1"/>
    <col min="5652" max="5653" width="16.28515625" style="509" customWidth="1"/>
    <col min="5654" max="5664" width="0" style="509" hidden="1" customWidth="1"/>
    <col min="5665" max="5665" width="13.7109375" style="509" customWidth="1"/>
    <col min="5666" max="5666" width="16.28515625" style="509" customWidth="1"/>
    <col min="5667" max="5667" width="3" style="509" customWidth="1"/>
    <col min="5668" max="5668" width="1.7109375" style="509" customWidth="1"/>
    <col min="5669" max="5670" width="0" style="509" hidden="1" customWidth="1"/>
    <col min="5671" max="5671" width="9.85546875" style="509" customWidth="1"/>
    <col min="5672" max="5672" width="0" style="509" hidden="1" customWidth="1"/>
    <col min="5673" max="5673" width="12.5703125" style="509" bestFit="1" customWidth="1"/>
    <col min="5674" max="5674" width="0" style="509" hidden="1" customWidth="1"/>
    <col min="5675" max="5677" width="8.85546875" style="509" customWidth="1"/>
    <col min="5678" max="5888" width="8.85546875" style="509"/>
    <col min="5889" max="5889" width="1.7109375" style="509" customWidth="1"/>
    <col min="5890" max="5890" width="3" style="509" customWidth="1"/>
    <col min="5891" max="5892" width="1.85546875" style="509" customWidth="1"/>
    <col min="5893" max="5893" width="55.85546875" style="509" customWidth="1"/>
    <col min="5894" max="5894" width="4.7109375" style="509" customWidth="1"/>
    <col min="5895" max="5895" width="16.28515625" style="509" customWidth="1"/>
    <col min="5896" max="5906" width="0" style="509" hidden="1" customWidth="1"/>
    <col min="5907" max="5907" width="16.7109375" style="509" customWidth="1"/>
    <col min="5908" max="5909" width="16.28515625" style="509" customWidth="1"/>
    <col min="5910" max="5920" width="0" style="509" hidden="1" customWidth="1"/>
    <col min="5921" max="5921" width="13.7109375" style="509" customWidth="1"/>
    <col min="5922" max="5922" width="16.28515625" style="509" customWidth="1"/>
    <col min="5923" max="5923" width="3" style="509" customWidth="1"/>
    <col min="5924" max="5924" width="1.7109375" style="509" customWidth="1"/>
    <col min="5925" max="5926" width="0" style="509" hidden="1" customWidth="1"/>
    <col min="5927" max="5927" width="9.85546875" style="509" customWidth="1"/>
    <col min="5928" max="5928" width="0" style="509" hidden="1" customWidth="1"/>
    <col min="5929" max="5929" width="12.5703125" style="509" bestFit="1" customWidth="1"/>
    <col min="5930" max="5930" width="0" style="509" hidden="1" customWidth="1"/>
    <col min="5931" max="5933" width="8.85546875" style="509" customWidth="1"/>
    <col min="5934" max="6144" width="8.85546875" style="509"/>
    <col min="6145" max="6145" width="1.7109375" style="509" customWidth="1"/>
    <col min="6146" max="6146" width="3" style="509" customWidth="1"/>
    <col min="6147" max="6148" width="1.85546875" style="509" customWidth="1"/>
    <col min="6149" max="6149" width="55.85546875" style="509" customWidth="1"/>
    <col min="6150" max="6150" width="4.7109375" style="509" customWidth="1"/>
    <col min="6151" max="6151" width="16.28515625" style="509" customWidth="1"/>
    <col min="6152" max="6162" width="0" style="509" hidden="1" customWidth="1"/>
    <col min="6163" max="6163" width="16.7109375" style="509" customWidth="1"/>
    <col min="6164" max="6165" width="16.28515625" style="509" customWidth="1"/>
    <col min="6166" max="6176" width="0" style="509" hidden="1" customWidth="1"/>
    <col min="6177" max="6177" width="13.7109375" style="509" customWidth="1"/>
    <col min="6178" max="6178" width="16.28515625" style="509" customWidth="1"/>
    <col min="6179" max="6179" width="3" style="509" customWidth="1"/>
    <col min="6180" max="6180" width="1.7109375" style="509" customWidth="1"/>
    <col min="6181" max="6182" width="0" style="509" hidden="1" customWidth="1"/>
    <col min="6183" max="6183" width="9.85546875" style="509" customWidth="1"/>
    <col min="6184" max="6184" width="0" style="509" hidden="1" customWidth="1"/>
    <col min="6185" max="6185" width="12.5703125" style="509" bestFit="1" customWidth="1"/>
    <col min="6186" max="6186" width="0" style="509" hidden="1" customWidth="1"/>
    <col min="6187" max="6189" width="8.85546875" style="509" customWidth="1"/>
    <col min="6190" max="6400" width="8.85546875" style="509"/>
    <col min="6401" max="6401" width="1.7109375" style="509" customWidth="1"/>
    <col min="6402" max="6402" width="3" style="509" customWidth="1"/>
    <col min="6403" max="6404" width="1.85546875" style="509" customWidth="1"/>
    <col min="6405" max="6405" width="55.85546875" style="509" customWidth="1"/>
    <col min="6406" max="6406" width="4.7109375" style="509" customWidth="1"/>
    <col min="6407" max="6407" width="16.28515625" style="509" customWidth="1"/>
    <col min="6408" max="6418" width="0" style="509" hidden="1" customWidth="1"/>
    <col min="6419" max="6419" width="16.7109375" style="509" customWidth="1"/>
    <col min="6420" max="6421" width="16.28515625" style="509" customWidth="1"/>
    <col min="6422" max="6432" width="0" style="509" hidden="1" customWidth="1"/>
    <col min="6433" max="6433" width="13.7109375" style="509" customWidth="1"/>
    <col min="6434" max="6434" width="16.28515625" style="509" customWidth="1"/>
    <col min="6435" max="6435" width="3" style="509" customWidth="1"/>
    <col min="6436" max="6436" width="1.7109375" style="509" customWidth="1"/>
    <col min="6437" max="6438" width="0" style="509" hidden="1" customWidth="1"/>
    <col min="6439" max="6439" width="9.85546875" style="509" customWidth="1"/>
    <col min="6440" max="6440" width="0" style="509" hidden="1" customWidth="1"/>
    <col min="6441" max="6441" width="12.5703125" style="509" bestFit="1" customWidth="1"/>
    <col min="6442" max="6442" width="0" style="509" hidden="1" customWidth="1"/>
    <col min="6443" max="6445" width="8.85546875" style="509" customWidth="1"/>
    <col min="6446" max="6656" width="8.85546875" style="509"/>
    <col min="6657" max="6657" width="1.7109375" style="509" customWidth="1"/>
    <col min="6658" max="6658" width="3" style="509" customWidth="1"/>
    <col min="6659" max="6660" width="1.85546875" style="509" customWidth="1"/>
    <col min="6661" max="6661" width="55.85546875" style="509" customWidth="1"/>
    <col min="6662" max="6662" width="4.7109375" style="509" customWidth="1"/>
    <col min="6663" max="6663" width="16.28515625" style="509" customWidth="1"/>
    <col min="6664" max="6674" width="0" style="509" hidden="1" customWidth="1"/>
    <col min="6675" max="6675" width="16.7109375" style="509" customWidth="1"/>
    <col min="6676" max="6677" width="16.28515625" style="509" customWidth="1"/>
    <col min="6678" max="6688" width="0" style="509" hidden="1" customWidth="1"/>
    <col min="6689" max="6689" width="13.7109375" style="509" customWidth="1"/>
    <col min="6690" max="6690" width="16.28515625" style="509" customWidth="1"/>
    <col min="6691" max="6691" width="3" style="509" customWidth="1"/>
    <col min="6692" max="6692" width="1.7109375" style="509" customWidth="1"/>
    <col min="6693" max="6694" width="0" style="509" hidden="1" customWidth="1"/>
    <col min="6695" max="6695" width="9.85546875" style="509" customWidth="1"/>
    <col min="6696" max="6696" width="0" style="509" hidden="1" customWidth="1"/>
    <col min="6697" max="6697" width="12.5703125" style="509" bestFit="1" customWidth="1"/>
    <col min="6698" max="6698" width="0" style="509" hidden="1" customWidth="1"/>
    <col min="6699" max="6701" width="8.85546875" style="509" customWidth="1"/>
    <col min="6702" max="6912" width="8.85546875" style="509"/>
    <col min="6913" max="6913" width="1.7109375" style="509" customWidth="1"/>
    <col min="6914" max="6914" width="3" style="509" customWidth="1"/>
    <col min="6915" max="6916" width="1.85546875" style="509" customWidth="1"/>
    <col min="6917" max="6917" width="55.85546875" style="509" customWidth="1"/>
    <col min="6918" max="6918" width="4.7109375" style="509" customWidth="1"/>
    <col min="6919" max="6919" width="16.28515625" style="509" customWidth="1"/>
    <col min="6920" max="6930" width="0" style="509" hidden="1" customWidth="1"/>
    <col min="6931" max="6931" width="16.7109375" style="509" customWidth="1"/>
    <col min="6932" max="6933" width="16.28515625" style="509" customWidth="1"/>
    <col min="6934" max="6944" width="0" style="509" hidden="1" customWidth="1"/>
    <col min="6945" max="6945" width="13.7109375" style="509" customWidth="1"/>
    <col min="6946" max="6946" width="16.28515625" style="509" customWidth="1"/>
    <col min="6947" max="6947" width="3" style="509" customWidth="1"/>
    <col min="6948" max="6948" width="1.7109375" style="509" customWidth="1"/>
    <col min="6949" max="6950" width="0" style="509" hidden="1" customWidth="1"/>
    <col min="6951" max="6951" width="9.85546875" style="509" customWidth="1"/>
    <col min="6952" max="6952" width="0" style="509" hidden="1" customWidth="1"/>
    <col min="6953" max="6953" width="12.5703125" style="509" bestFit="1" customWidth="1"/>
    <col min="6954" max="6954" width="0" style="509" hidden="1" customWidth="1"/>
    <col min="6955" max="6957" width="8.85546875" style="509" customWidth="1"/>
    <col min="6958" max="7168" width="8.85546875" style="509"/>
    <col min="7169" max="7169" width="1.7109375" style="509" customWidth="1"/>
    <col min="7170" max="7170" width="3" style="509" customWidth="1"/>
    <col min="7171" max="7172" width="1.85546875" style="509" customWidth="1"/>
    <col min="7173" max="7173" width="55.85546875" style="509" customWidth="1"/>
    <col min="7174" max="7174" width="4.7109375" style="509" customWidth="1"/>
    <col min="7175" max="7175" width="16.28515625" style="509" customWidth="1"/>
    <col min="7176" max="7186" width="0" style="509" hidden="1" customWidth="1"/>
    <col min="7187" max="7187" width="16.7109375" style="509" customWidth="1"/>
    <col min="7188" max="7189" width="16.28515625" style="509" customWidth="1"/>
    <col min="7190" max="7200" width="0" style="509" hidden="1" customWidth="1"/>
    <col min="7201" max="7201" width="13.7109375" style="509" customWidth="1"/>
    <col min="7202" max="7202" width="16.28515625" style="509" customWidth="1"/>
    <col min="7203" max="7203" width="3" style="509" customWidth="1"/>
    <col min="7204" max="7204" width="1.7109375" style="509" customWidth="1"/>
    <col min="7205" max="7206" width="0" style="509" hidden="1" customWidth="1"/>
    <col min="7207" max="7207" width="9.85546875" style="509" customWidth="1"/>
    <col min="7208" max="7208" width="0" style="509" hidden="1" customWidth="1"/>
    <col min="7209" max="7209" width="12.5703125" style="509" bestFit="1" customWidth="1"/>
    <col min="7210" max="7210" width="0" style="509" hidden="1" customWidth="1"/>
    <col min="7211" max="7213" width="8.85546875" style="509" customWidth="1"/>
    <col min="7214" max="7424" width="8.85546875" style="509"/>
    <col min="7425" max="7425" width="1.7109375" style="509" customWidth="1"/>
    <col min="7426" max="7426" width="3" style="509" customWidth="1"/>
    <col min="7427" max="7428" width="1.85546875" style="509" customWidth="1"/>
    <col min="7429" max="7429" width="55.85546875" style="509" customWidth="1"/>
    <col min="7430" max="7430" width="4.7109375" style="509" customWidth="1"/>
    <col min="7431" max="7431" width="16.28515625" style="509" customWidth="1"/>
    <col min="7432" max="7442" width="0" style="509" hidden="1" customWidth="1"/>
    <col min="7443" max="7443" width="16.7109375" style="509" customWidth="1"/>
    <col min="7444" max="7445" width="16.28515625" style="509" customWidth="1"/>
    <col min="7446" max="7456" width="0" style="509" hidden="1" customWidth="1"/>
    <col min="7457" max="7457" width="13.7109375" style="509" customWidth="1"/>
    <col min="7458" max="7458" width="16.28515625" style="509" customWidth="1"/>
    <col min="7459" max="7459" width="3" style="509" customWidth="1"/>
    <col min="7460" max="7460" width="1.7109375" style="509" customWidth="1"/>
    <col min="7461" max="7462" width="0" style="509" hidden="1" customWidth="1"/>
    <col min="7463" max="7463" width="9.85546875" style="509" customWidth="1"/>
    <col min="7464" max="7464" width="0" style="509" hidden="1" customWidth="1"/>
    <col min="7465" max="7465" width="12.5703125" style="509" bestFit="1" customWidth="1"/>
    <col min="7466" max="7466" width="0" style="509" hidden="1" customWidth="1"/>
    <col min="7467" max="7469" width="8.85546875" style="509" customWidth="1"/>
    <col min="7470" max="7680" width="8.85546875" style="509"/>
    <col min="7681" max="7681" width="1.7109375" style="509" customWidth="1"/>
    <col min="7682" max="7682" width="3" style="509" customWidth="1"/>
    <col min="7683" max="7684" width="1.85546875" style="509" customWidth="1"/>
    <col min="7685" max="7685" width="55.85546875" style="509" customWidth="1"/>
    <col min="7686" max="7686" width="4.7109375" style="509" customWidth="1"/>
    <col min="7687" max="7687" width="16.28515625" style="509" customWidth="1"/>
    <col min="7688" max="7698" width="0" style="509" hidden="1" customWidth="1"/>
    <col min="7699" max="7699" width="16.7109375" style="509" customWidth="1"/>
    <col min="7700" max="7701" width="16.28515625" style="509" customWidth="1"/>
    <col min="7702" max="7712" width="0" style="509" hidden="1" customWidth="1"/>
    <col min="7713" max="7713" width="13.7109375" style="509" customWidth="1"/>
    <col min="7714" max="7714" width="16.28515625" style="509" customWidth="1"/>
    <col min="7715" max="7715" width="3" style="509" customWidth="1"/>
    <col min="7716" max="7716" width="1.7109375" style="509" customWidth="1"/>
    <col min="7717" max="7718" width="0" style="509" hidden="1" customWidth="1"/>
    <col min="7719" max="7719" width="9.85546875" style="509" customWidth="1"/>
    <col min="7720" max="7720" width="0" style="509" hidden="1" customWidth="1"/>
    <col min="7721" max="7721" width="12.5703125" style="509" bestFit="1" customWidth="1"/>
    <col min="7722" max="7722" width="0" style="509" hidden="1" customWidth="1"/>
    <col min="7723" max="7725" width="8.85546875" style="509" customWidth="1"/>
    <col min="7726" max="7936" width="8.85546875" style="509"/>
    <col min="7937" max="7937" width="1.7109375" style="509" customWidth="1"/>
    <col min="7938" max="7938" width="3" style="509" customWidth="1"/>
    <col min="7939" max="7940" width="1.85546875" style="509" customWidth="1"/>
    <col min="7941" max="7941" width="55.85546875" style="509" customWidth="1"/>
    <col min="7942" max="7942" width="4.7109375" style="509" customWidth="1"/>
    <col min="7943" max="7943" width="16.28515625" style="509" customWidth="1"/>
    <col min="7944" max="7954" width="0" style="509" hidden="1" customWidth="1"/>
    <col min="7955" max="7955" width="16.7109375" style="509" customWidth="1"/>
    <col min="7956" max="7957" width="16.28515625" style="509" customWidth="1"/>
    <col min="7958" max="7968" width="0" style="509" hidden="1" customWidth="1"/>
    <col min="7969" max="7969" width="13.7109375" style="509" customWidth="1"/>
    <col min="7970" max="7970" width="16.28515625" style="509" customWidth="1"/>
    <col min="7971" max="7971" width="3" style="509" customWidth="1"/>
    <col min="7972" max="7972" width="1.7109375" style="509" customWidth="1"/>
    <col min="7973" max="7974" width="0" style="509" hidden="1" customWidth="1"/>
    <col min="7975" max="7975" width="9.85546875" style="509" customWidth="1"/>
    <col min="7976" max="7976" width="0" style="509" hidden="1" customWidth="1"/>
    <col min="7977" max="7977" width="12.5703125" style="509" bestFit="1" customWidth="1"/>
    <col min="7978" max="7978" width="0" style="509" hidden="1" customWidth="1"/>
    <col min="7979" max="7981" width="8.85546875" style="509" customWidth="1"/>
    <col min="7982" max="8192" width="8.85546875" style="509"/>
    <col min="8193" max="8193" width="1.7109375" style="509" customWidth="1"/>
    <col min="8194" max="8194" width="3" style="509" customWidth="1"/>
    <col min="8195" max="8196" width="1.85546875" style="509" customWidth="1"/>
    <col min="8197" max="8197" width="55.85546875" style="509" customWidth="1"/>
    <col min="8198" max="8198" width="4.7109375" style="509" customWidth="1"/>
    <col min="8199" max="8199" width="16.28515625" style="509" customWidth="1"/>
    <col min="8200" max="8210" width="0" style="509" hidden="1" customWidth="1"/>
    <col min="8211" max="8211" width="16.7109375" style="509" customWidth="1"/>
    <col min="8212" max="8213" width="16.28515625" style="509" customWidth="1"/>
    <col min="8214" max="8224" width="0" style="509" hidden="1" customWidth="1"/>
    <col min="8225" max="8225" width="13.7109375" style="509" customWidth="1"/>
    <col min="8226" max="8226" width="16.28515625" style="509" customWidth="1"/>
    <col min="8227" max="8227" width="3" style="509" customWidth="1"/>
    <col min="8228" max="8228" width="1.7109375" style="509" customWidth="1"/>
    <col min="8229" max="8230" width="0" style="509" hidden="1" customWidth="1"/>
    <col min="8231" max="8231" width="9.85546875" style="509" customWidth="1"/>
    <col min="8232" max="8232" width="0" style="509" hidden="1" customWidth="1"/>
    <col min="8233" max="8233" width="12.5703125" style="509" bestFit="1" customWidth="1"/>
    <col min="8234" max="8234" width="0" style="509" hidden="1" customWidth="1"/>
    <col min="8235" max="8237" width="8.85546875" style="509" customWidth="1"/>
    <col min="8238" max="8448" width="8.85546875" style="509"/>
    <col min="8449" max="8449" width="1.7109375" style="509" customWidth="1"/>
    <col min="8450" max="8450" width="3" style="509" customWidth="1"/>
    <col min="8451" max="8452" width="1.85546875" style="509" customWidth="1"/>
    <col min="8453" max="8453" width="55.85546875" style="509" customWidth="1"/>
    <col min="8454" max="8454" width="4.7109375" style="509" customWidth="1"/>
    <col min="8455" max="8455" width="16.28515625" style="509" customWidth="1"/>
    <col min="8456" max="8466" width="0" style="509" hidden="1" customWidth="1"/>
    <col min="8467" max="8467" width="16.7109375" style="509" customWidth="1"/>
    <col min="8468" max="8469" width="16.28515625" style="509" customWidth="1"/>
    <col min="8470" max="8480" width="0" style="509" hidden="1" customWidth="1"/>
    <col min="8481" max="8481" width="13.7109375" style="509" customWidth="1"/>
    <col min="8482" max="8482" width="16.28515625" style="509" customWidth="1"/>
    <col min="8483" max="8483" width="3" style="509" customWidth="1"/>
    <col min="8484" max="8484" width="1.7109375" style="509" customWidth="1"/>
    <col min="8485" max="8486" width="0" style="509" hidden="1" customWidth="1"/>
    <col min="8487" max="8487" width="9.85546875" style="509" customWidth="1"/>
    <col min="8488" max="8488" width="0" style="509" hidden="1" customWidth="1"/>
    <col min="8489" max="8489" width="12.5703125" style="509" bestFit="1" customWidth="1"/>
    <col min="8490" max="8490" width="0" style="509" hidden="1" customWidth="1"/>
    <col min="8491" max="8493" width="8.85546875" style="509" customWidth="1"/>
    <col min="8494" max="8704" width="8.85546875" style="509"/>
    <col min="8705" max="8705" width="1.7109375" style="509" customWidth="1"/>
    <col min="8706" max="8706" width="3" style="509" customWidth="1"/>
    <col min="8707" max="8708" width="1.85546875" style="509" customWidth="1"/>
    <col min="8709" max="8709" width="55.85546875" style="509" customWidth="1"/>
    <col min="8710" max="8710" width="4.7109375" style="509" customWidth="1"/>
    <col min="8711" max="8711" width="16.28515625" style="509" customWidth="1"/>
    <col min="8712" max="8722" width="0" style="509" hidden="1" customWidth="1"/>
    <col min="8723" max="8723" width="16.7109375" style="509" customWidth="1"/>
    <col min="8724" max="8725" width="16.28515625" style="509" customWidth="1"/>
    <col min="8726" max="8736" width="0" style="509" hidden="1" customWidth="1"/>
    <col min="8737" max="8737" width="13.7109375" style="509" customWidth="1"/>
    <col min="8738" max="8738" width="16.28515625" style="509" customWidth="1"/>
    <col min="8739" max="8739" width="3" style="509" customWidth="1"/>
    <col min="8740" max="8740" width="1.7109375" style="509" customWidth="1"/>
    <col min="8741" max="8742" width="0" style="509" hidden="1" customWidth="1"/>
    <col min="8743" max="8743" width="9.85546875" style="509" customWidth="1"/>
    <col min="8744" max="8744" width="0" style="509" hidden="1" customWidth="1"/>
    <col min="8745" max="8745" width="12.5703125" style="509" bestFit="1" customWidth="1"/>
    <col min="8746" max="8746" width="0" style="509" hidden="1" customWidth="1"/>
    <col min="8747" max="8749" width="8.85546875" style="509" customWidth="1"/>
    <col min="8750" max="8960" width="8.85546875" style="509"/>
    <col min="8961" max="8961" width="1.7109375" style="509" customWidth="1"/>
    <col min="8962" max="8962" width="3" style="509" customWidth="1"/>
    <col min="8963" max="8964" width="1.85546875" style="509" customWidth="1"/>
    <col min="8965" max="8965" width="55.85546875" style="509" customWidth="1"/>
    <col min="8966" max="8966" width="4.7109375" style="509" customWidth="1"/>
    <col min="8967" max="8967" width="16.28515625" style="509" customWidth="1"/>
    <col min="8968" max="8978" width="0" style="509" hidden="1" customWidth="1"/>
    <col min="8979" max="8979" width="16.7109375" style="509" customWidth="1"/>
    <col min="8980" max="8981" width="16.28515625" style="509" customWidth="1"/>
    <col min="8982" max="8992" width="0" style="509" hidden="1" customWidth="1"/>
    <col min="8993" max="8993" width="13.7109375" style="509" customWidth="1"/>
    <col min="8994" max="8994" width="16.28515625" style="509" customWidth="1"/>
    <col min="8995" max="8995" width="3" style="509" customWidth="1"/>
    <col min="8996" max="8996" width="1.7109375" style="509" customWidth="1"/>
    <col min="8997" max="8998" width="0" style="509" hidden="1" customWidth="1"/>
    <col min="8999" max="8999" width="9.85546875" style="509" customWidth="1"/>
    <col min="9000" max="9000" width="0" style="509" hidden="1" customWidth="1"/>
    <col min="9001" max="9001" width="12.5703125" style="509" bestFit="1" customWidth="1"/>
    <col min="9002" max="9002" width="0" style="509" hidden="1" customWidth="1"/>
    <col min="9003" max="9005" width="8.85546875" style="509" customWidth="1"/>
    <col min="9006" max="9216" width="8.85546875" style="509"/>
    <col min="9217" max="9217" width="1.7109375" style="509" customWidth="1"/>
    <col min="9218" max="9218" width="3" style="509" customWidth="1"/>
    <col min="9219" max="9220" width="1.85546875" style="509" customWidth="1"/>
    <col min="9221" max="9221" width="55.85546875" style="509" customWidth="1"/>
    <col min="9222" max="9222" width="4.7109375" style="509" customWidth="1"/>
    <col min="9223" max="9223" width="16.28515625" style="509" customWidth="1"/>
    <col min="9224" max="9234" width="0" style="509" hidden="1" customWidth="1"/>
    <col min="9235" max="9235" width="16.7109375" style="509" customWidth="1"/>
    <col min="9236" max="9237" width="16.28515625" style="509" customWidth="1"/>
    <col min="9238" max="9248" width="0" style="509" hidden="1" customWidth="1"/>
    <col min="9249" max="9249" width="13.7109375" style="509" customWidth="1"/>
    <col min="9250" max="9250" width="16.28515625" style="509" customWidth="1"/>
    <col min="9251" max="9251" width="3" style="509" customWidth="1"/>
    <col min="9252" max="9252" width="1.7109375" style="509" customWidth="1"/>
    <col min="9253" max="9254" width="0" style="509" hidden="1" customWidth="1"/>
    <col min="9255" max="9255" width="9.85546875" style="509" customWidth="1"/>
    <col min="9256" max="9256" width="0" style="509" hidden="1" customWidth="1"/>
    <col min="9257" max="9257" width="12.5703125" style="509" bestFit="1" customWidth="1"/>
    <col min="9258" max="9258" width="0" style="509" hidden="1" customWidth="1"/>
    <col min="9259" max="9261" width="8.85546875" style="509" customWidth="1"/>
    <col min="9262" max="9472" width="8.85546875" style="509"/>
    <col min="9473" max="9473" width="1.7109375" style="509" customWidth="1"/>
    <col min="9474" max="9474" width="3" style="509" customWidth="1"/>
    <col min="9475" max="9476" width="1.85546875" style="509" customWidth="1"/>
    <col min="9477" max="9477" width="55.85546875" style="509" customWidth="1"/>
    <col min="9478" max="9478" width="4.7109375" style="509" customWidth="1"/>
    <col min="9479" max="9479" width="16.28515625" style="509" customWidth="1"/>
    <col min="9480" max="9490" width="0" style="509" hidden="1" customWidth="1"/>
    <col min="9491" max="9491" width="16.7109375" style="509" customWidth="1"/>
    <col min="9492" max="9493" width="16.28515625" style="509" customWidth="1"/>
    <col min="9494" max="9504" width="0" style="509" hidden="1" customWidth="1"/>
    <col min="9505" max="9505" width="13.7109375" style="509" customWidth="1"/>
    <col min="9506" max="9506" width="16.28515625" style="509" customWidth="1"/>
    <col min="9507" max="9507" width="3" style="509" customWidth="1"/>
    <col min="9508" max="9508" width="1.7109375" style="509" customWidth="1"/>
    <col min="9509" max="9510" width="0" style="509" hidden="1" customWidth="1"/>
    <col min="9511" max="9511" width="9.85546875" style="509" customWidth="1"/>
    <col min="9512" max="9512" width="0" style="509" hidden="1" customWidth="1"/>
    <col min="9513" max="9513" width="12.5703125" style="509" bestFit="1" customWidth="1"/>
    <col min="9514" max="9514" width="0" style="509" hidden="1" customWidth="1"/>
    <col min="9515" max="9517" width="8.85546875" style="509" customWidth="1"/>
    <col min="9518" max="9728" width="8.85546875" style="509"/>
    <col min="9729" max="9729" width="1.7109375" style="509" customWidth="1"/>
    <col min="9730" max="9730" width="3" style="509" customWidth="1"/>
    <col min="9731" max="9732" width="1.85546875" style="509" customWidth="1"/>
    <col min="9733" max="9733" width="55.85546875" style="509" customWidth="1"/>
    <col min="9734" max="9734" width="4.7109375" style="509" customWidth="1"/>
    <col min="9735" max="9735" width="16.28515625" style="509" customWidth="1"/>
    <col min="9736" max="9746" width="0" style="509" hidden="1" customWidth="1"/>
    <col min="9747" max="9747" width="16.7109375" style="509" customWidth="1"/>
    <col min="9748" max="9749" width="16.28515625" style="509" customWidth="1"/>
    <col min="9750" max="9760" width="0" style="509" hidden="1" customWidth="1"/>
    <col min="9761" max="9761" width="13.7109375" style="509" customWidth="1"/>
    <col min="9762" max="9762" width="16.28515625" style="509" customWidth="1"/>
    <col min="9763" max="9763" width="3" style="509" customWidth="1"/>
    <col min="9764" max="9764" width="1.7109375" style="509" customWidth="1"/>
    <col min="9765" max="9766" width="0" style="509" hidden="1" customWidth="1"/>
    <col min="9767" max="9767" width="9.85546875" style="509" customWidth="1"/>
    <col min="9768" max="9768" width="0" style="509" hidden="1" customWidth="1"/>
    <col min="9769" max="9769" width="12.5703125" style="509" bestFit="1" customWidth="1"/>
    <col min="9770" max="9770" width="0" style="509" hidden="1" customWidth="1"/>
    <col min="9771" max="9773" width="8.85546875" style="509" customWidth="1"/>
    <col min="9774" max="9984" width="8.85546875" style="509"/>
    <col min="9985" max="9985" width="1.7109375" style="509" customWidth="1"/>
    <col min="9986" max="9986" width="3" style="509" customWidth="1"/>
    <col min="9987" max="9988" width="1.85546875" style="509" customWidth="1"/>
    <col min="9989" max="9989" width="55.85546875" style="509" customWidth="1"/>
    <col min="9990" max="9990" width="4.7109375" style="509" customWidth="1"/>
    <col min="9991" max="9991" width="16.28515625" style="509" customWidth="1"/>
    <col min="9992" max="10002" width="0" style="509" hidden="1" customWidth="1"/>
    <col min="10003" max="10003" width="16.7109375" style="509" customWidth="1"/>
    <col min="10004" max="10005" width="16.28515625" style="509" customWidth="1"/>
    <col min="10006" max="10016" width="0" style="509" hidden="1" customWidth="1"/>
    <col min="10017" max="10017" width="13.7109375" style="509" customWidth="1"/>
    <col min="10018" max="10018" width="16.28515625" style="509" customWidth="1"/>
    <col min="10019" max="10019" width="3" style="509" customWidth="1"/>
    <col min="10020" max="10020" width="1.7109375" style="509" customWidth="1"/>
    <col min="10021" max="10022" width="0" style="509" hidden="1" customWidth="1"/>
    <col min="10023" max="10023" width="9.85546875" style="509" customWidth="1"/>
    <col min="10024" max="10024" width="0" style="509" hidden="1" customWidth="1"/>
    <col min="10025" max="10025" width="12.5703125" style="509" bestFit="1" customWidth="1"/>
    <col min="10026" max="10026" width="0" style="509" hidden="1" customWidth="1"/>
    <col min="10027" max="10029" width="8.85546875" style="509" customWidth="1"/>
    <col min="10030" max="10240" width="8.85546875" style="509"/>
    <col min="10241" max="10241" width="1.7109375" style="509" customWidth="1"/>
    <col min="10242" max="10242" width="3" style="509" customWidth="1"/>
    <col min="10243" max="10244" width="1.85546875" style="509" customWidth="1"/>
    <col min="10245" max="10245" width="55.85546875" style="509" customWidth="1"/>
    <col min="10246" max="10246" width="4.7109375" style="509" customWidth="1"/>
    <col min="10247" max="10247" width="16.28515625" style="509" customWidth="1"/>
    <col min="10248" max="10258" width="0" style="509" hidden="1" customWidth="1"/>
    <col min="10259" max="10259" width="16.7109375" style="509" customWidth="1"/>
    <col min="10260" max="10261" width="16.28515625" style="509" customWidth="1"/>
    <col min="10262" max="10272" width="0" style="509" hidden="1" customWidth="1"/>
    <col min="10273" max="10273" width="13.7109375" style="509" customWidth="1"/>
    <col min="10274" max="10274" width="16.28515625" style="509" customWidth="1"/>
    <col min="10275" max="10275" width="3" style="509" customWidth="1"/>
    <col min="10276" max="10276" width="1.7109375" style="509" customWidth="1"/>
    <col min="10277" max="10278" width="0" style="509" hidden="1" customWidth="1"/>
    <col min="10279" max="10279" width="9.85546875" style="509" customWidth="1"/>
    <col min="10280" max="10280" width="0" style="509" hidden="1" customWidth="1"/>
    <col min="10281" max="10281" width="12.5703125" style="509" bestFit="1" customWidth="1"/>
    <col min="10282" max="10282" width="0" style="509" hidden="1" customWidth="1"/>
    <col min="10283" max="10285" width="8.85546875" style="509" customWidth="1"/>
    <col min="10286" max="10496" width="8.85546875" style="509"/>
    <col min="10497" max="10497" width="1.7109375" style="509" customWidth="1"/>
    <col min="10498" max="10498" width="3" style="509" customWidth="1"/>
    <col min="10499" max="10500" width="1.85546875" style="509" customWidth="1"/>
    <col min="10501" max="10501" width="55.85546875" style="509" customWidth="1"/>
    <col min="10502" max="10502" width="4.7109375" style="509" customWidth="1"/>
    <col min="10503" max="10503" width="16.28515625" style="509" customWidth="1"/>
    <col min="10504" max="10514" width="0" style="509" hidden="1" customWidth="1"/>
    <col min="10515" max="10515" width="16.7109375" style="509" customWidth="1"/>
    <col min="10516" max="10517" width="16.28515625" style="509" customWidth="1"/>
    <col min="10518" max="10528" width="0" style="509" hidden="1" customWidth="1"/>
    <col min="10529" max="10529" width="13.7109375" style="509" customWidth="1"/>
    <col min="10530" max="10530" width="16.28515625" style="509" customWidth="1"/>
    <col min="10531" max="10531" width="3" style="509" customWidth="1"/>
    <col min="10532" max="10532" width="1.7109375" style="509" customWidth="1"/>
    <col min="10533" max="10534" width="0" style="509" hidden="1" customWidth="1"/>
    <col min="10535" max="10535" width="9.85546875" style="509" customWidth="1"/>
    <col min="10536" max="10536" width="0" style="509" hidden="1" customWidth="1"/>
    <col min="10537" max="10537" width="12.5703125" style="509" bestFit="1" customWidth="1"/>
    <col min="10538" max="10538" width="0" style="509" hidden="1" customWidth="1"/>
    <col min="10539" max="10541" width="8.85546875" style="509" customWidth="1"/>
    <col min="10542" max="10752" width="8.85546875" style="509"/>
    <col min="10753" max="10753" width="1.7109375" style="509" customWidth="1"/>
    <col min="10754" max="10754" width="3" style="509" customWidth="1"/>
    <col min="10755" max="10756" width="1.85546875" style="509" customWidth="1"/>
    <col min="10757" max="10757" width="55.85546875" style="509" customWidth="1"/>
    <col min="10758" max="10758" width="4.7109375" style="509" customWidth="1"/>
    <col min="10759" max="10759" width="16.28515625" style="509" customWidth="1"/>
    <col min="10760" max="10770" width="0" style="509" hidden="1" customWidth="1"/>
    <col min="10771" max="10771" width="16.7109375" style="509" customWidth="1"/>
    <col min="10772" max="10773" width="16.28515625" style="509" customWidth="1"/>
    <col min="10774" max="10784" width="0" style="509" hidden="1" customWidth="1"/>
    <col min="10785" max="10785" width="13.7109375" style="509" customWidth="1"/>
    <col min="10786" max="10786" width="16.28515625" style="509" customWidth="1"/>
    <col min="10787" max="10787" width="3" style="509" customWidth="1"/>
    <col min="10788" max="10788" width="1.7109375" style="509" customWidth="1"/>
    <col min="10789" max="10790" width="0" style="509" hidden="1" customWidth="1"/>
    <col min="10791" max="10791" width="9.85546875" style="509" customWidth="1"/>
    <col min="10792" max="10792" width="0" style="509" hidden="1" customWidth="1"/>
    <col min="10793" max="10793" width="12.5703125" style="509" bestFit="1" customWidth="1"/>
    <col min="10794" max="10794" width="0" style="509" hidden="1" customWidth="1"/>
    <col min="10795" max="10797" width="8.85546875" style="509" customWidth="1"/>
    <col min="10798" max="11008" width="8.85546875" style="509"/>
    <col min="11009" max="11009" width="1.7109375" style="509" customWidth="1"/>
    <col min="11010" max="11010" width="3" style="509" customWidth="1"/>
    <col min="11011" max="11012" width="1.85546875" style="509" customWidth="1"/>
    <col min="11013" max="11013" width="55.85546875" style="509" customWidth="1"/>
    <col min="11014" max="11014" width="4.7109375" style="509" customWidth="1"/>
    <col min="11015" max="11015" width="16.28515625" style="509" customWidth="1"/>
    <col min="11016" max="11026" width="0" style="509" hidden="1" customWidth="1"/>
    <col min="11027" max="11027" width="16.7109375" style="509" customWidth="1"/>
    <col min="11028" max="11029" width="16.28515625" style="509" customWidth="1"/>
    <col min="11030" max="11040" width="0" style="509" hidden="1" customWidth="1"/>
    <col min="11041" max="11041" width="13.7109375" style="509" customWidth="1"/>
    <col min="11042" max="11042" width="16.28515625" style="509" customWidth="1"/>
    <col min="11043" max="11043" width="3" style="509" customWidth="1"/>
    <col min="11044" max="11044" width="1.7109375" style="509" customWidth="1"/>
    <col min="11045" max="11046" width="0" style="509" hidden="1" customWidth="1"/>
    <col min="11047" max="11047" width="9.85546875" style="509" customWidth="1"/>
    <col min="11048" max="11048" width="0" style="509" hidden="1" customWidth="1"/>
    <col min="11049" max="11049" width="12.5703125" style="509" bestFit="1" customWidth="1"/>
    <col min="11050" max="11050" width="0" style="509" hidden="1" customWidth="1"/>
    <col min="11051" max="11053" width="8.85546875" style="509" customWidth="1"/>
    <col min="11054" max="11264" width="8.85546875" style="509"/>
    <col min="11265" max="11265" width="1.7109375" style="509" customWidth="1"/>
    <col min="11266" max="11266" width="3" style="509" customWidth="1"/>
    <col min="11267" max="11268" width="1.85546875" style="509" customWidth="1"/>
    <col min="11269" max="11269" width="55.85546875" style="509" customWidth="1"/>
    <col min="11270" max="11270" width="4.7109375" style="509" customWidth="1"/>
    <col min="11271" max="11271" width="16.28515625" style="509" customWidth="1"/>
    <col min="11272" max="11282" width="0" style="509" hidden="1" customWidth="1"/>
    <col min="11283" max="11283" width="16.7109375" style="509" customWidth="1"/>
    <col min="11284" max="11285" width="16.28515625" style="509" customWidth="1"/>
    <col min="11286" max="11296" width="0" style="509" hidden="1" customWidth="1"/>
    <col min="11297" max="11297" width="13.7109375" style="509" customWidth="1"/>
    <col min="11298" max="11298" width="16.28515625" style="509" customWidth="1"/>
    <col min="11299" max="11299" width="3" style="509" customWidth="1"/>
    <col min="11300" max="11300" width="1.7109375" style="509" customWidth="1"/>
    <col min="11301" max="11302" width="0" style="509" hidden="1" customWidth="1"/>
    <col min="11303" max="11303" width="9.85546875" style="509" customWidth="1"/>
    <col min="11304" max="11304" width="0" style="509" hidden="1" customWidth="1"/>
    <col min="11305" max="11305" width="12.5703125" style="509" bestFit="1" customWidth="1"/>
    <col min="11306" max="11306" width="0" style="509" hidden="1" customWidth="1"/>
    <col min="11307" max="11309" width="8.85546875" style="509" customWidth="1"/>
    <col min="11310" max="11520" width="8.85546875" style="509"/>
    <col min="11521" max="11521" width="1.7109375" style="509" customWidth="1"/>
    <col min="11522" max="11522" width="3" style="509" customWidth="1"/>
    <col min="11523" max="11524" width="1.85546875" style="509" customWidth="1"/>
    <col min="11525" max="11525" width="55.85546875" style="509" customWidth="1"/>
    <col min="11526" max="11526" width="4.7109375" style="509" customWidth="1"/>
    <col min="11527" max="11527" width="16.28515625" style="509" customWidth="1"/>
    <col min="11528" max="11538" width="0" style="509" hidden="1" customWidth="1"/>
    <col min="11539" max="11539" width="16.7109375" style="509" customWidth="1"/>
    <col min="11540" max="11541" width="16.28515625" style="509" customWidth="1"/>
    <col min="11542" max="11552" width="0" style="509" hidden="1" customWidth="1"/>
    <col min="11553" max="11553" width="13.7109375" style="509" customWidth="1"/>
    <col min="11554" max="11554" width="16.28515625" style="509" customWidth="1"/>
    <col min="11555" max="11555" width="3" style="509" customWidth="1"/>
    <col min="11556" max="11556" width="1.7109375" style="509" customWidth="1"/>
    <col min="11557" max="11558" width="0" style="509" hidden="1" customWidth="1"/>
    <col min="11559" max="11559" width="9.85546875" style="509" customWidth="1"/>
    <col min="11560" max="11560" width="0" style="509" hidden="1" customWidth="1"/>
    <col min="11561" max="11561" width="12.5703125" style="509" bestFit="1" customWidth="1"/>
    <col min="11562" max="11562" width="0" style="509" hidden="1" customWidth="1"/>
    <col min="11563" max="11565" width="8.85546875" style="509" customWidth="1"/>
    <col min="11566" max="11776" width="8.85546875" style="509"/>
    <col min="11777" max="11777" width="1.7109375" style="509" customWidth="1"/>
    <col min="11778" max="11778" width="3" style="509" customWidth="1"/>
    <col min="11779" max="11780" width="1.85546875" style="509" customWidth="1"/>
    <col min="11781" max="11781" width="55.85546875" style="509" customWidth="1"/>
    <col min="11782" max="11782" width="4.7109375" style="509" customWidth="1"/>
    <col min="11783" max="11783" width="16.28515625" style="509" customWidth="1"/>
    <col min="11784" max="11794" width="0" style="509" hidden="1" customWidth="1"/>
    <col min="11795" max="11795" width="16.7109375" style="509" customWidth="1"/>
    <col min="11796" max="11797" width="16.28515625" style="509" customWidth="1"/>
    <col min="11798" max="11808" width="0" style="509" hidden="1" customWidth="1"/>
    <col min="11809" max="11809" width="13.7109375" style="509" customWidth="1"/>
    <col min="11810" max="11810" width="16.28515625" style="509" customWidth="1"/>
    <col min="11811" max="11811" width="3" style="509" customWidth="1"/>
    <col min="11812" max="11812" width="1.7109375" style="509" customWidth="1"/>
    <col min="11813" max="11814" width="0" style="509" hidden="1" customWidth="1"/>
    <col min="11815" max="11815" width="9.85546875" style="509" customWidth="1"/>
    <col min="11816" max="11816" width="0" style="509" hidden="1" customWidth="1"/>
    <col min="11817" max="11817" width="12.5703125" style="509" bestFit="1" customWidth="1"/>
    <col min="11818" max="11818" width="0" style="509" hidden="1" customWidth="1"/>
    <col min="11819" max="11821" width="8.85546875" style="509" customWidth="1"/>
    <col min="11822" max="12032" width="8.85546875" style="509"/>
    <col min="12033" max="12033" width="1.7109375" style="509" customWidth="1"/>
    <col min="12034" max="12034" width="3" style="509" customWidth="1"/>
    <col min="12035" max="12036" width="1.85546875" style="509" customWidth="1"/>
    <col min="12037" max="12037" width="55.85546875" style="509" customWidth="1"/>
    <col min="12038" max="12038" width="4.7109375" style="509" customWidth="1"/>
    <col min="12039" max="12039" width="16.28515625" style="509" customWidth="1"/>
    <col min="12040" max="12050" width="0" style="509" hidden="1" customWidth="1"/>
    <col min="12051" max="12051" width="16.7109375" style="509" customWidth="1"/>
    <col min="12052" max="12053" width="16.28515625" style="509" customWidth="1"/>
    <col min="12054" max="12064" width="0" style="509" hidden="1" customWidth="1"/>
    <col min="12065" max="12065" width="13.7109375" style="509" customWidth="1"/>
    <col min="12066" max="12066" width="16.28515625" style="509" customWidth="1"/>
    <col min="12067" max="12067" width="3" style="509" customWidth="1"/>
    <col min="12068" max="12068" width="1.7109375" style="509" customWidth="1"/>
    <col min="12069" max="12070" width="0" style="509" hidden="1" customWidth="1"/>
    <col min="12071" max="12071" width="9.85546875" style="509" customWidth="1"/>
    <col min="12072" max="12072" width="0" style="509" hidden="1" customWidth="1"/>
    <col min="12073" max="12073" width="12.5703125" style="509" bestFit="1" customWidth="1"/>
    <col min="12074" max="12074" width="0" style="509" hidden="1" customWidth="1"/>
    <col min="12075" max="12077" width="8.85546875" style="509" customWidth="1"/>
    <col min="12078" max="12288" width="8.85546875" style="509"/>
    <col min="12289" max="12289" width="1.7109375" style="509" customWidth="1"/>
    <col min="12290" max="12290" width="3" style="509" customWidth="1"/>
    <col min="12291" max="12292" width="1.85546875" style="509" customWidth="1"/>
    <col min="12293" max="12293" width="55.85546875" style="509" customWidth="1"/>
    <col min="12294" max="12294" width="4.7109375" style="509" customWidth="1"/>
    <col min="12295" max="12295" width="16.28515625" style="509" customWidth="1"/>
    <col min="12296" max="12306" width="0" style="509" hidden="1" customWidth="1"/>
    <col min="12307" max="12307" width="16.7109375" style="509" customWidth="1"/>
    <col min="12308" max="12309" width="16.28515625" style="509" customWidth="1"/>
    <col min="12310" max="12320" width="0" style="509" hidden="1" customWidth="1"/>
    <col min="12321" max="12321" width="13.7109375" style="509" customWidth="1"/>
    <col min="12322" max="12322" width="16.28515625" style="509" customWidth="1"/>
    <col min="12323" max="12323" width="3" style="509" customWidth="1"/>
    <col min="12324" max="12324" width="1.7109375" style="509" customWidth="1"/>
    <col min="12325" max="12326" width="0" style="509" hidden="1" customWidth="1"/>
    <col min="12327" max="12327" width="9.85546875" style="509" customWidth="1"/>
    <col min="12328" max="12328" width="0" style="509" hidden="1" customWidth="1"/>
    <col min="12329" max="12329" width="12.5703125" style="509" bestFit="1" customWidth="1"/>
    <col min="12330" max="12330" width="0" style="509" hidden="1" customWidth="1"/>
    <col min="12331" max="12333" width="8.85546875" style="509" customWidth="1"/>
    <col min="12334" max="12544" width="8.85546875" style="509"/>
    <col min="12545" max="12545" width="1.7109375" style="509" customWidth="1"/>
    <col min="12546" max="12546" width="3" style="509" customWidth="1"/>
    <col min="12547" max="12548" width="1.85546875" style="509" customWidth="1"/>
    <col min="12549" max="12549" width="55.85546875" style="509" customWidth="1"/>
    <col min="12550" max="12550" width="4.7109375" style="509" customWidth="1"/>
    <col min="12551" max="12551" width="16.28515625" style="509" customWidth="1"/>
    <col min="12552" max="12562" width="0" style="509" hidden="1" customWidth="1"/>
    <col min="12563" max="12563" width="16.7109375" style="509" customWidth="1"/>
    <col min="12564" max="12565" width="16.28515625" style="509" customWidth="1"/>
    <col min="12566" max="12576" width="0" style="509" hidden="1" customWidth="1"/>
    <col min="12577" max="12577" width="13.7109375" style="509" customWidth="1"/>
    <col min="12578" max="12578" width="16.28515625" style="509" customWidth="1"/>
    <col min="12579" max="12579" width="3" style="509" customWidth="1"/>
    <col min="12580" max="12580" width="1.7109375" style="509" customWidth="1"/>
    <col min="12581" max="12582" width="0" style="509" hidden="1" customWidth="1"/>
    <col min="12583" max="12583" width="9.85546875" style="509" customWidth="1"/>
    <col min="12584" max="12584" width="0" style="509" hidden="1" customWidth="1"/>
    <col min="12585" max="12585" width="12.5703125" style="509" bestFit="1" customWidth="1"/>
    <col min="12586" max="12586" width="0" style="509" hidden="1" customWidth="1"/>
    <col min="12587" max="12589" width="8.85546875" style="509" customWidth="1"/>
    <col min="12590" max="12800" width="8.85546875" style="509"/>
    <col min="12801" max="12801" width="1.7109375" style="509" customWidth="1"/>
    <col min="12802" max="12802" width="3" style="509" customWidth="1"/>
    <col min="12803" max="12804" width="1.85546875" style="509" customWidth="1"/>
    <col min="12805" max="12805" width="55.85546875" style="509" customWidth="1"/>
    <col min="12806" max="12806" width="4.7109375" style="509" customWidth="1"/>
    <col min="12807" max="12807" width="16.28515625" style="509" customWidth="1"/>
    <col min="12808" max="12818" width="0" style="509" hidden="1" customWidth="1"/>
    <col min="12819" max="12819" width="16.7109375" style="509" customWidth="1"/>
    <col min="12820" max="12821" width="16.28515625" style="509" customWidth="1"/>
    <col min="12822" max="12832" width="0" style="509" hidden="1" customWidth="1"/>
    <col min="12833" max="12833" width="13.7109375" style="509" customWidth="1"/>
    <col min="12834" max="12834" width="16.28515625" style="509" customWidth="1"/>
    <col min="12835" max="12835" width="3" style="509" customWidth="1"/>
    <col min="12836" max="12836" width="1.7109375" style="509" customWidth="1"/>
    <col min="12837" max="12838" width="0" style="509" hidden="1" customWidth="1"/>
    <col min="12839" max="12839" width="9.85546875" style="509" customWidth="1"/>
    <col min="12840" max="12840" width="0" style="509" hidden="1" customWidth="1"/>
    <col min="12841" max="12841" width="12.5703125" style="509" bestFit="1" customWidth="1"/>
    <col min="12842" max="12842" width="0" style="509" hidden="1" customWidth="1"/>
    <col min="12843" max="12845" width="8.85546875" style="509" customWidth="1"/>
    <col min="12846" max="13056" width="8.85546875" style="509"/>
    <col min="13057" max="13057" width="1.7109375" style="509" customWidth="1"/>
    <col min="13058" max="13058" width="3" style="509" customWidth="1"/>
    <col min="13059" max="13060" width="1.85546875" style="509" customWidth="1"/>
    <col min="13061" max="13061" width="55.85546875" style="509" customWidth="1"/>
    <col min="13062" max="13062" width="4.7109375" style="509" customWidth="1"/>
    <col min="13063" max="13063" width="16.28515625" style="509" customWidth="1"/>
    <col min="13064" max="13074" width="0" style="509" hidden="1" customWidth="1"/>
    <col min="13075" max="13075" width="16.7109375" style="509" customWidth="1"/>
    <col min="13076" max="13077" width="16.28515625" style="509" customWidth="1"/>
    <col min="13078" max="13088" width="0" style="509" hidden="1" customWidth="1"/>
    <col min="13089" max="13089" width="13.7109375" style="509" customWidth="1"/>
    <col min="13090" max="13090" width="16.28515625" style="509" customWidth="1"/>
    <col min="13091" max="13091" width="3" style="509" customWidth="1"/>
    <col min="13092" max="13092" width="1.7109375" style="509" customWidth="1"/>
    <col min="13093" max="13094" width="0" style="509" hidden="1" customWidth="1"/>
    <col min="13095" max="13095" width="9.85546875" style="509" customWidth="1"/>
    <col min="13096" max="13096" width="0" style="509" hidden="1" customWidth="1"/>
    <col min="13097" max="13097" width="12.5703125" style="509" bestFit="1" customWidth="1"/>
    <col min="13098" max="13098" width="0" style="509" hidden="1" customWidth="1"/>
    <col min="13099" max="13101" width="8.85546875" style="509" customWidth="1"/>
    <col min="13102" max="13312" width="8.85546875" style="509"/>
    <col min="13313" max="13313" width="1.7109375" style="509" customWidth="1"/>
    <col min="13314" max="13314" width="3" style="509" customWidth="1"/>
    <col min="13315" max="13316" width="1.85546875" style="509" customWidth="1"/>
    <col min="13317" max="13317" width="55.85546875" style="509" customWidth="1"/>
    <col min="13318" max="13318" width="4.7109375" style="509" customWidth="1"/>
    <col min="13319" max="13319" width="16.28515625" style="509" customWidth="1"/>
    <col min="13320" max="13330" width="0" style="509" hidden="1" customWidth="1"/>
    <col min="13331" max="13331" width="16.7109375" style="509" customWidth="1"/>
    <col min="13332" max="13333" width="16.28515625" style="509" customWidth="1"/>
    <col min="13334" max="13344" width="0" style="509" hidden="1" customWidth="1"/>
    <col min="13345" max="13345" width="13.7109375" style="509" customWidth="1"/>
    <col min="13346" max="13346" width="16.28515625" style="509" customWidth="1"/>
    <col min="13347" max="13347" width="3" style="509" customWidth="1"/>
    <col min="13348" max="13348" width="1.7109375" style="509" customWidth="1"/>
    <col min="13349" max="13350" width="0" style="509" hidden="1" customWidth="1"/>
    <col min="13351" max="13351" width="9.85546875" style="509" customWidth="1"/>
    <col min="13352" max="13352" width="0" style="509" hidden="1" customWidth="1"/>
    <col min="13353" max="13353" width="12.5703125" style="509" bestFit="1" customWidth="1"/>
    <col min="13354" max="13354" width="0" style="509" hidden="1" customWidth="1"/>
    <col min="13355" max="13357" width="8.85546875" style="509" customWidth="1"/>
    <col min="13358" max="13568" width="8.85546875" style="509"/>
    <col min="13569" max="13569" width="1.7109375" style="509" customWidth="1"/>
    <col min="13570" max="13570" width="3" style="509" customWidth="1"/>
    <col min="13571" max="13572" width="1.85546875" style="509" customWidth="1"/>
    <col min="13573" max="13573" width="55.85546875" style="509" customWidth="1"/>
    <col min="13574" max="13574" width="4.7109375" style="509" customWidth="1"/>
    <col min="13575" max="13575" width="16.28515625" style="509" customWidth="1"/>
    <col min="13576" max="13586" width="0" style="509" hidden="1" customWidth="1"/>
    <col min="13587" max="13587" width="16.7109375" style="509" customWidth="1"/>
    <col min="13588" max="13589" width="16.28515625" style="509" customWidth="1"/>
    <col min="13590" max="13600" width="0" style="509" hidden="1" customWidth="1"/>
    <col min="13601" max="13601" width="13.7109375" style="509" customWidth="1"/>
    <col min="13602" max="13602" width="16.28515625" style="509" customWidth="1"/>
    <col min="13603" max="13603" width="3" style="509" customWidth="1"/>
    <col min="13604" max="13604" width="1.7109375" style="509" customWidth="1"/>
    <col min="13605" max="13606" width="0" style="509" hidden="1" customWidth="1"/>
    <col min="13607" max="13607" width="9.85546875" style="509" customWidth="1"/>
    <col min="13608" max="13608" width="0" style="509" hidden="1" customWidth="1"/>
    <col min="13609" max="13609" width="12.5703125" style="509" bestFit="1" customWidth="1"/>
    <col min="13610" max="13610" width="0" style="509" hidden="1" customWidth="1"/>
    <col min="13611" max="13613" width="8.85546875" style="509" customWidth="1"/>
    <col min="13614" max="13824" width="8.85546875" style="509"/>
    <col min="13825" max="13825" width="1.7109375" style="509" customWidth="1"/>
    <col min="13826" max="13826" width="3" style="509" customWidth="1"/>
    <col min="13827" max="13828" width="1.85546875" style="509" customWidth="1"/>
    <col min="13829" max="13829" width="55.85546875" style="509" customWidth="1"/>
    <col min="13830" max="13830" width="4.7109375" style="509" customWidth="1"/>
    <col min="13831" max="13831" width="16.28515625" style="509" customWidth="1"/>
    <col min="13832" max="13842" width="0" style="509" hidden="1" customWidth="1"/>
    <col min="13843" max="13843" width="16.7109375" style="509" customWidth="1"/>
    <col min="13844" max="13845" width="16.28515625" style="509" customWidth="1"/>
    <col min="13846" max="13856" width="0" style="509" hidden="1" customWidth="1"/>
    <col min="13857" max="13857" width="13.7109375" style="509" customWidth="1"/>
    <col min="13858" max="13858" width="16.28515625" style="509" customWidth="1"/>
    <col min="13859" max="13859" width="3" style="509" customWidth="1"/>
    <col min="13860" max="13860" width="1.7109375" style="509" customWidth="1"/>
    <col min="13861" max="13862" width="0" style="509" hidden="1" customWidth="1"/>
    <col min="13863" max="13863" width="9.85546875" style="509" customWidth="1"/>
    <col min="13864" max="13864" width="0" style="509" hidden="1" customWidth="1"/>
    <col min="13865" max="13865" width="12.5703125" style="509" bestFit="1" customWidth="1"/>
    <col min="13866" max="13866" width="0" style="509" hidden="1" customWidth="1"/>
    <col min="13867" max="13869" width="8.85546875" style="509" customWidth="1"/>
    <col min="13870" max="14080" width="8.85546875" style="509"/>
    <col min="14081" max="14081" width="1.7109375" style="509" customWidth="1"/>
    <col min="14082" max="14082" width="3" style="509" customWidth="1"/>
    <col min="14083" max="14084" width="1.85546875" style="509" customWidth="1"/>
    <col min="14085" max="14085" width="55.85546875" style="509" customWidth="1"/>
    <col min="14086" max="14086" width="4.7109375" style="509" customWidth="1"/>
    <col min="14087" max="14087" width="16.28515625" style="509" customWidth="1"/>
    <col min="14088" max="14098" width="0" style="509" hidden="1" customWidth="1"/>
    <col min="14099" max="14099" width="16.7109375" style="509" customWidth="1"/>
    <col min="14100" max="14101" width="16.28515625" style="509" customWidth="1"/>
    <col min="14102" max="14112" width="0" style="509" hidden="1" customWidth="1"/>
    <col min="14113" max="14113" width="13.7109375" style="509" customWidth="1"/>
    <col min="14114" max="14114" width="16.28515625" style="509" customWidth="1"/>
    <col min="14115" max="14115" width="3" style="509" customWidth="1"/>
    <col min="14116" max="14116" width="1.7109375" style="509" customWidth="1"/>
    <col min="14117" max="14118" width="0" style="509" hidden="1" customWidth="1"/>
    <col min="14119" max="14119" width="9.85546875" style="509" customWidth="1"/>
    <col min="14120" max="14120" width="0" style="509" hidden="1" customWidth="1"/>
    <col min="14121" max="14121" width="12.5703125" style="509" bestFit="1" customWidth="1"/>
    <col min="14122" max="14122" width="0" style="509" hidden="1" customWidth="1"/>
    <col min="14123" max="14125" width="8.85546875" style="509" customWidth="1"/>
    <col min="14126" max="14336" width="8.85546875" style="509"/>
    <col min="14337" max="14337" width="1.7109375" style="509" customWidth="1"/>
    <col min="14338" max="14338" width="3" style="509" customWidth="1"/>
    <col min="14339" max="14340" width="1.85546875" style="509" customWidth="1"/>
    <col min="14341" max="14341" width="55.85546875" style="509" customWidth="1"/>
    <col min="14342" max="14342" width="4.7109375" style="509" customWidth="1"/>
    <col min="14343" max="14343" width="16.28515625" style="509" customWidth="1"/>
    <col min="14344" max="14354" width="0" style="509" hidden="1" customWidth="1"/>
    <col min="14355" max="14355" width="16.7109375" style="509" customWidth="1"/>
    <col min="14356" max="14357" width="16.28515625" style="509" customWidth="1"/>
    <col min="14358" max="14368" width="0" style="509" hidden="1" customWidth="1"/>
    <col min="14369" max="14369" width="13.7109375" style="509" customWidth="1"/>
    <col min="14370" max="14370" width="16.28515625" style="509" customWidth="1"/>
    <col min="14371" max="14371" width="3" style="509" customWidth="1"/>
    <col min="14372" max="14372" width="1.7109375" style="509" customWidth="1"/>
    <col min="14373" max="14374" width="0" style="509" hidden="1" customWidth="1"/>
    <col min="14375" max="14375" width="9.85546875" style="509" customWidth="1"/>
    <col min="14376" max="14376" width="0" style="509" hidden="1" customWidth="1"/>
    <col min="14377" max="14377" width="12.5703125" style="509" bestFit="1" customWidth="1"/>
    <col min="14378" max="14378" width="0" style="509" hidden="1" customWidth="1"/>
    <col min="14379" max="14381" width="8.85546875" style="509" customWidth="1"/>
    <col min="14382" max="14592" width="8.85546875" style="509"/>
    <col min="14593" max="14593" width="1.7109375" style="509" customWidth="1"/>
    <col min="14594" max="14594" width="3" style="509" customWidth="1"/>
    <col min="14595" max="14596" width="1.85546875" style="509" customWidth="1"/>
    <col min="14597" max="14597" width="55.85546875" style="509" customWidth="1"/>
    <col min="14598" max="14598" width="4.7109375" style="509" customWidth="1"/>
    <col min="14599" max="14599" width="16.28515625" style="509" customWidth="1"/>
    <col min="14600" max="14610" width="0" style="509" hidden="1" customWidth="1"/>
    <col min="14611" max="14611" width="16.7109375" style="509" customWidth="1"/>
    <col min="14612" max="14613" width="16.28515625" style="509" customWidth="1"/>
    <col min="14614" max="14624" width="0" style="509" hidden="1" customWidth="1"/>
    <col min="14625" max="14625" width="13.7109375" style="509" customWidth="1"/>
    <col min="14626" max="14626" width="16.28515625" style="509" customWidth="1"/>
    <col min="14627" max="14627" width="3" style="509" customWidth="1"/>
    <col min="14628" max="14628" width="1.7109375" style="509" customWidth="1"/>
    <col min="14629" max="14630" width="0" style="509" hidden="1" customWidth="1"/>
    <col min="14631" max="14631" width="9.85546875" style="509" customWidth="1"/>
    <col min="14632" max="14632" width="0" style="509" hidden="1" customWidth="1"/>
    <col min="14633" max="14633" width="12.5703125" style="509" bestFit="1" customWidth="1"/>
    <col min="14634" max="14634" width="0" style="509" hidden="1" customWidth="1"/>
    <col min="14635" max="14637" width="8.85546875" style="509" customWidth="1"/>
    <col min="14638" max="14848" width="8.85546875" style="509"/>
    <col min="14849" max="14849" width="1.7109375" style="509" customWidth="1"/>
    <col min="14850" max="14850" width="3" style="509" customWidth="1"/>
    <col min="14851" max="14852" width="1.85546875" style="509" customWidth="1"/>
    <col min="14853" max="14853" width="55.85546875" style="509" customWidth="1"/>
    <col min="14854" max="14854" width="4.7109375" style="509" customWidth="1"/>
    <col min="14855" max="14855" width="16.28515625" style="509" customWidth="1"/>
    <col min="14856" max="14866" width="0" style="509" hidden="1" customWidth="1"/>
    <col min="14867" max="14867" width="16.7109375" style="509" customWidth="1"/>
    <col min="14868" max="14869" width="16.28515625" style="509" customWidth="1"/>
    <col min="14870" max="14880" width="0" style="509" hidden="1" customWidth="1"/>
    <col min="14881" max="14881" width="13.7109375" style="509" customWidth="1"/>
    <col min="14882" max="14882" width="16.28515625" style="509" customWidth="1"/>
    <col min="14883" max="14883" width="3" style="509" customWidth="1"/>
    <col min="14884" max="14884" width="1.7109375" style="509" customWidth="1"/>
    <col min="14885" max="14886" width="0" style="509" hidden="1" customWidth="1"/>
    <col min="14887" max="14887" width="9.85546875" style="509" customWidth="1"/>
    <col min="14888" max="14888" width="0" style="509" hidden="1" customWidth="1"/>
    <col min="14889" max="14889" width="12.5703125" style="509" bestFit="1" customWidth="1"/>
    <col min="14890" max="14890" width="0" style="509" hidden="1" customWidth="1"/>
    <col min="14891" max="14893" width="8.85546875" style="509" customWidth="1"/>
    <col min="14894" max="15104" width="8.85546875" style="509"/>
    <col min="15105" max="15105" width="1.7109375" style="509" customWidth="1"/>
    <col min="15106" max="15106" width="3" style="509" customWidth="1"/>
    <col min="15107" max="15108" width="1.85546875" style="509" customWidth="1"/>
    <col min="15109" max="15109" width="55.85546875" style="509" customWidth="1"/>
    <col min="15110" max="15110" width="4.7109375" style="509" customWidth="1"/>
    <col min="15111" max="15111" width="16.28515625" style="509" customWidth="1"/>
    <col min="15112" max="15122" width="0" style="509" hidden="1" customWidth="1"/>
    <col min="15123" max="15123" width="16.7109375" style="509" customWidth="1"/>
    <col min="15124" max="15125" width="16.28515625" style="509" customWidth="1"/>
    <col min="15126" max="15136" width="0" style="509" hidden="1" customWidth="1"/>
    <col min="15137" max="15137" width="13.7109375" style="509" customWidth="1"/>
    <col min="15138" max="15138" width="16.28515625" style="509" customWidth="1"/>
    <col min="15139" max="15139" width="3" style="509" customWidth="1"/>
    <col min="15140" max="15140" width="1.7109375" style="509" customWidth="1"/>
    <col min="15141" max="15142" width="0" style="509" hidden="1" customWidth="1"/>
    <col min="15143" max="15143" width="9.85546875" style="509" customWidth="1"/>
    <col min="15144" max="15144" width="0" style="509" hidden="1" customWidth="1"/>
    <col min="15145" max="15145" width="12.5703125" style="509" bestFit="1" customWidth="1"/>
    <col min="15146" max="15146" width="0" style="509" hidden="1" customWidth="1"/>
    <col min="15147" max="15149" width="8.85546875" style="509" customWidth="1"/>
    <col min="15150" max="15360" width="8.85546875" style="509"/>
    <col min="15361" max="15361" width="1.7109375" style="509" customWidth="1"/>
    <col min="15362" max="15362" width="3" style="509" customWidth="1"/>
    <col min="15363" max="15364" width="1.85546875" style="509" customWidth="1"/>
    <col min="15365" max="15365" width="55.85546875" style="509" customWidth="1"/>
    <col min="15366" max="15366" width="4.7109375" style="509" customWidth="1"/>
    <col min="15367" max="15367" width="16.28515625" style="509" customWidth="1"/>
    <col min="15368" max="15378" width="0" style="509" hidden="1" customWidth="1"/>
    <col min="15379" max="15379" width="16.7109375" style="509" customWidth="1"/>
    <col min="15380" max="15381" width="16.28515625" style="509" customWidth="1"/>
    <col min="15382" max="15392" width="0" style="509" hidden="1" customWidth="1"/>
    <col min="15393" max="15393" width="13.7109375" style="509" customWidth="1"/>
    <col min="15394" max="15394" width="16.28515625" style="509" customWidth="1"/>
    <col min="15395" max="15395" width="3" style="509" customWidth="1"/>
    <col min="15396" max="15396" width="1.7109375" style="509" customWidth="1"/>
    <col min="15397" max="15398" width="0" style="509" hidden="1" customWidth="1"/>
    <col min="15399" max="15399" width="9.85546875" style="509" customWidth="1"/>
    <col min="15400" max="15400" width="0" style="509" hidden="1" customWidth="1"/>
    <col min="15401" max="15401" width="12.5703125" style="509" bestFit="1" customWidth="1"/>
    <col min="15402" max="15402" width="0" style="509" hidden="1" customWidth="1"/>
    <col min="15403" max="15405" width="8.85546875" style="509" customWidth="1"/>
    <col min="15406" max="15616" width="8.85546875" style="509"/>
    <col min="15617" max="15617" width="1.7109375" style="509" customWidth="1"/>
    <col min="15618" max="15618" width="3" style="509" customWidth="1"/>
    <col min="15619" max="15620" width="1.85546875" style="509" customWidth="1"/>
    <col min="15621" max="15621" width="55.85546875" style="509" customWidth="1"/>
    <col min="15622" max="15622" width="4.7109375" style="509" customWidth="1"/>
    <col min="15623" max="15623" width="16.28515625" style="509" customWidth="1"/>
    <col min="15624" max="15634" width="0" style="509" hidden="1" customWidth="1"/>
    <col min="15635" max="15635" width="16.7109375" style="509" customWidth="1"/>
    <col min="15636" max="15637" width="16.28515625" style="509" customWidth="1"/>
    <col min="15638" max="15648" width="0" style="509" hidden="1" customWidth="1"/>
    <col min="15649" max="15649" width="13.7109375" style="509" customWidth="1"/>
    <col min="15650" max="15650" width="16.28515625" style="509" customWidth="1"/>
    <col min="15651" max="15651" width="3" style="509" customWidth="1"/>
    <col min="15652" max="15652" width="1.7109375" style="509" customWidth="1"/>
    <col min="15653" max="15654" width="0" style="509" hidden="1" customWidth="1"/>
    <col min="15655" max="15655" width="9.85546875" style="509" customWidth="1"/>
    <col min="15656" max="15656" width="0" style="509" hidden="1" customWidth="1"/>
    <col min="15657" max="15657" width="12.5703125" style="509" bestFit="1" customWidth="1"/>
    <col min="15658" max="15658" width="0" style="509" hidden="1" customWidth="1"/>
    <col min="15659" max="15661" width="8.85546875" style="509" customWidth="1"/>
    <col min="15662" max="15872" width="8.85546875" style="509"/>
    <col min="15873" max="15873" width="1.7109375" style="509" customWidth="1"/>
    <col min="15874" max="15874" width="3" style="509" customWidth="1"/>
    <col min="15875" max="15876" width="1.85546875" style="509" customWidth="1"/>
    <col min="15877" max="15877" width="55.85546875" style="509" customWidth="1"/>
    <col min="15878" max="15878" width="4.7109375" style="509" customWidth="1"/>
    <col min="15879" max="15879" width="16.28515625" style="509" customWidth="1"/>
    <col min="15880" max="15890" width="0" style="509" hidden="1" customWidth="1"/>
    <col min="15891" max="15891" width="16.7109375" style="509" customWidth="1"/>
    <col min="15892" max="15893" width="16.28515625" style="509" customWidth="1"/>
    <col min="15894" max="15904" width="0" style="509" hidden="1" customWidth="1"/>
    <col min="15905" max="15905" width="13.7109375" style="509" customWidth="1"/>
    <col min="15906" max="15906" width="16.28515625" style="509" customWidth="1"/>
    <col min="15907" max="15907" width="3" style="509" customWidth="1"/>
    <col min="15908" max="15908" width="1.7109375" style="509" customWidth="1"/>
    <col min="15909" max="15910" width="0" style="509" hidden="1" customWidth="1"/>
    <col min="15911" max="15911" width="9.85546875" style="509" customWidth="1"/>
    <col min="15912" max="15912" width="0" style="509" hidden="1" customWidth="1"/>
    <col min="15913" max="15913" width="12.5703125" style="509" bestFit="1" customWidth="1"/>
    <col min="15914" max="15914" width="0" style="509" hidden="1" customWidth="1"/>
    <col min="15915" max="15917" width="8.85546875" style="509" customWidth="1"/>
    <col min="15918" max="16128" width="8.85546875" style="509"/>
    <col min="16129" max="16129" width="1.7109375" style="509" customWidth="1"/>
    <col min="16130" max="16130" width="3" style="509" customWidth="1"/>
    <col min="16131" max="16132" width="1.85546875" style="509" customWidth="1"/>
    <col min="16133" max="16133" width="55.85546875" style="509" customWidth="1"/>
    <col min="16134" max="16134" width="4.7109375" style="509" customWidth="1"/>
    <col min="16135" max="16135" width="16.28515625" style="509" customWidth="1"/>
    <col min="16136" max="16146" width="0" style="509" hidden="1" customWidth="1"/>
    <col min="16147" max="16147" width="16.7109375" style="509" customWidth="1"/>
    <col min="16148" max="16149" width="16.28515625" style="509" customWidth="1"/>
    <col min="16150" max="16160" width="0" style="509" hidden="1" customWidth="1"/>
    <col min="16161" max="16161" width="13.7109375" style="509" customWidth="1"/>
    <col min="16162" max="16162" width="16.28515625" style="509" customWidth="1"/>
    <col min="16163" max="16163" width="3" style="509" customWidth="1"/>
    <col min="16164" max="16164" width="1.7109375" style="509" customWidth="1"/>
    <col min="16165" max="16166" width="0" style="509" hidden="1" customWidth="1"/>
    <col min="16167" max="16167" width="9.85546875" style="509" customWidth="1"/>
    <col min="16168" max="16168" width="0" style="509" hidden="1" customWidth="1"/>
    <col min="16169" max="16169" width="12.5703125" style="509" bestFit="1" customWidth="1"/>
    <col min="16170" max="16170" width="0" style="509" hidden="1" customWidth="1"/>
    <col min="16171" max="16173" width="8.85546875" style="509" customWidth="1"/>
    <col min="16174" max="16384" width="8.85546875" style="509"/>
  </cols>
  <sheetData>
    <row r="1" spans="1:41" x14ac:dyDescent="0.2">
      <c r="B1" s="510"/>
      <c r="C1" s="510"/>
      <c r="D1" s="510"/>
      <c r="E1" s="511"/>
      <c r="F1" s="512"/>
      <c r="G1" s="510"/>
      <c r="H1" s="510"/>
      <c r="I1" s="510"/>
      <c r="J1" s="510"/>
      <c r="K1" s="510"/>
      <c r="L1" s="510"/>
      <c r="M1" s="510"/>
      <c r="N1" s="270"/>
      <c r="O1" s="270"/>
      <c r="P1" s="510"/>
      <c r="Q1" s="270"/>
      <c r="R1" s="256"/>
      <c r="S1" s="510"/>
      <c r="T1" s="513"/>
      <c r="U1" s="510"/>
      <c r="V1" s="510"/>
      <c r="W1" s="510"/>
      <c r="X1" s="510"/>
      <c r="Y1" s="510"/>
      <c r="Z1" s="510"/>
      <c r="AA1" s="510"/>
      <c r="AB1" s="510"/>
      <c r="AC1" s="510"/>
      <c r="AD1" s="510"/>
      <c r="AE1" s="510"/>
      <c r="AF1" s="510"/>
      <c r="AG1" s="510"/>
      <c r="AH1" s="510"/>
      <c r="AI1" s="510"/>
    </row>
    <row r="2" spans="1:41" x14ac:dyDescent="0.2">
      <c r="A2" s="510"/>
      <c r="B2" s="510"/>
      <c r="C2" s="510"/>
      <c r="D2" s="510"/>
      <c r="E2" s="510"/>
      <c r="F2" s="514"/>
      <c r="G2" s="510"/>
      <c r="H2" s="510"/>
      <c r="I2" s="510"/>
      <c r="J2" s="510"/>
      <c r="K2" s="270"/>
      <c r="L2" s="256"/>
      <c r="M2" s="256"/>
      <c r="N2" s="270"/>
      <c r="O2" s="515"/>
      <c r="P2" s="510"/>
      <c r="Q2" s="270"/>
      <c r="R2" s="510"/>
      <c r="S2" s="510"/>
      <c r="T2" s="516"/>
      <c r="U2" s="510"/>
      <c r="V2" s="510"/>
      <c r="W2" s="510"/>
      <c r="X2" s="510"/>
      <c r="Y2" s="510"/>
      <c r="Z2" s="510"/>
      <c r="AA2" s="510"/>
      <c r="AB2" s="510"/>
      <c r="AC2" s="510"/>
      <c r="AD2" s="510"/>
      <c r="AE2" s="510"/>
      <c r="AF2" s="510"/>
      <c r="AG2" s="510"/>
      <c r="AH2" s="510"/>
      <c r="AI2" s="510"/>
      <c r="AJ2" s="510"/>
    </row>
    <row r="3" spans="1:41" x14ac:dyDescent="0.2">
      <c r="A3" s="510"/>
      <c r="B3" s="510"/>
      <c r="C3" s="510"/>
      <c r="D3" s="510"/>
      <c r="E3" s="510"/>
      <c r="F3" s="514"/>
      <c r="G3" s="510"/>
      <c r="H3" s="510"/>
      <c r="I3" s="510"/>
      <c r="J3" s="510"/>
      <c r="K3" s="517"/>
      <c r="L3" s="256"/>
      <c r="M3" s="120"/>
      <c r="N3" s="270"/>
      <c r="O3" s="256"/>
      <c r="P3" s="256"/>
      <c r="Q3" s="256"/>
      <c r="R3" s="256"/>
      <c r="S3" s="256"/>
      <c r="T3" s="256"/>
      <c r="U3" s="510"/>
      <c r="V3" s="510"/>
      <c r="W3" s="510"/>
      <c r="X3" s="510"/>
      <c r="Y3" s="510"/>
      <c r="Z3" s="510"/>
      <c r="AA3" s="510"/>
      <c r="AB3" s="510"/>
      <c r="AC3" s="510"/>
      <c r="AD3" s="510"/>
      <c r="AE3" s="510"/>
      <c r="AF3" s="510"/>
      <c r="AG3" s="510"/>
      <c r="AH3" s="510"/>
      <c r="AI3" s="510"/>
      <c r="AJ3" s="510"/>
    </row>
    <row r="4" spans="1:41" x14ac:dyDescent="0.2">
      <c r="A4" s="510"/>
      <c r="B4" s="510"/>
      <c r="D4" s="510"/>
      <c r="E4" s="510"/>
      <c r="F4" s="514"/>
      <c r="G4" s="510"/>
      <c r="H4" s="510"/>
      <c r="I4" s="510"/>
      <c r="J4" s="510"/>
      <c r="K4" s="510"/>
      <c r="L4" s="510"/>
      <c r="M4" s="510"/>
      <c r="N4" s="510"/>
      <c r="O4" s="510"/>
      <c r="P4" s="510"/>
      <c r="Q4" s="510"/>
      <c r="R4" s="510"/>
      <c r="S4" s="510"/>
      <c r="T4" s="511"/>
      <c r="U4" s="510"/>
      <c r="V4" s="510"/>
      <c r="W4" s="510"/>
      <c r="X4" s="510"/>
      <c r="Y4" s="510"/>
      <c r="Z4" s="510"/>
      <c r="AA4" s="510"/>
      <c r="AB4" s="510"/>
      <c r="AC4" s="510"/>
      <c r="AD4" s="510"/>
      <c r="AE4" s="510"/>
      <c r="AF4" s="510"/>
      <c r="AG4" s="510"/>
      <c r="AH4" s="510"/>
      <c r="AI4" s="510"/>
      <c r="AJ4" s="510"/>
    </row>
    <row r="5" spans="1:41" ht="15.75" x14ac:dyDescent="0.25">
      <c r="A5" s="510"/>
      <c r="B5" s="510"/>
      <c r="C5" s="518" t="s">
        <v>508</v>
      </c>
      <c r="D5" s="510"/>
      <c r="E5" s="510"/>
      <c r="F5" s="514"/>
      <c r="G5" s="510"/>
      <c r="H5" s="510"/>
      <c r="I5" s="510"/>
      <c r="J5" s="510"/>
      <c r="K5" s="510"/>
      <c r="L5" s="510"/>
      <c r="M5" s="510"/>
      <c r="N5" s="510"/>
      <c r="O5" s="510"/>
      <c r="P5" s="510"/>
      <c r="Q5" s="510"/>
      <c r="R5" s="510"/>
      <c r="S5" s="510"/>
      <c r="T5" s="510"/>
      <c r="U5" s="510"/>
      <c r="V5" s="510"/>
      <c r="W5" s="510"/>
      <c r="X5" s="510"/>
      <c r="Y5" s="510"/>
      <c r="Z5" s="510"/>
      <c r="AA5" s="510"/>
      <c r="AB5" s="510"/>
      <c r="AC5" s="510"/>
      <c r="AD5" s="510"/>
      <c r="AE5" s="510"/>
      <c r="AF5" s="510"/>
      <c r="AG5" s="510"/>
      <c r="AH5" s="510"/>
      <c r="AI5" s="510"/>
      <c r="AJ5" s="510"/>
      <c r="AK5" s="519"/>
    </row>
    <row r="6" spans="1:41" x14ac:dyDescent="0.2">
      <c r="A6" s="510"/>
      <c r="B6" s="520"/>
      <c r="C6" s="521"/>
      <c r="D6" s="522"/>
      <c r="E6" s="522"/>
      <c r="F6" s="523"/>
      <c r="G6" s="792" t="s">
        <v>0</v>
      </c>
      <c r="H6" s="793"/>
      <c r="I6" s="793"/>
      <c r="J6" s="793"/>
      <c r="K6" s="793"/>
      <c r="L6" s="793"/>
      <c r="M6" s="793"/>
      <c r="N6" s="793"/>
      <c r="O6" s="793"/>
      <c r="P6" s="793"/>
      <c r="Q6" s="793"/>
      <c r="R6" s="793"/>
      <c r="S6" s="793"/>
      <c r="T6" s="794"/>
      <c r="U6" s="792" t="s">
        <v>1</v>
      </c>
      <c r="V6" s="793"/>
      <c r="W6" s="793"/>
      <c r="X6" s="793"/>
      <c r="Y6" s="793"/>
      <c r="Z6" s="793"/>
      <c r="AA6" s="793"/>
      <c r="AB6" s="793"/>
      <c r="AC6" s="793"/>
      <c r="AD6" s="793"/>
      <c r="AE6" s="793"/>
      <c r="AF6" s="793"/>
      <c r="AG6" s="793"/>
      <c r="AH6" s="795"/>
      <c r="AI6" s="524"/>
      <c r="AJ6" s="510"/>
    </row>
    <row r="7" spans="1:41" ht="15.75" customHeight="1" x14ac:dyDescent="0.2">
      <c r="A7" s="510"/>
      <c r="B7" s="520"/>
      <c r="C7" s="525"/>
      <c r="D7" s="526"/>
      <c r="E7" s="526"/>
      <c r="F7" s="527"/>
      <c r="G7" s="528" t="s">
        <v>2</v>
      </c>
      <c r="H7" s="529" t="s">
        <v>3</v>
      </c>
      <c r="I7" s="529" t="s">
        <v>4</v>
      </c>
      <c r="J7" s="529" t="s">
        <v>5</v>
      </c>
      <c r="K7" s="529" t="s">
        <v>6</v>
      </c>
      <c r="L7" s="528" t="s">
        <v>7</v>
      </c>
      <c r="M7" s="528" t="s">
        <v>8</v>
      </c>
      <c r="N7" s="529" t="s">
        <v>9</v>
      </c>
      <c r="O7" s="528" t="s">
        <v>10</v>
      </c>
      <c r="P7" s="529" t="s">
        <v>11</v>
      </c>
      <c r="Q7" s="528" t="s">
        <v>12</v>
      </c>
      <c r="R7" s="529" t="s">
        <v>13</v>
      </c>
      <c r="S7" s="528" t="s">
        <v>14</v>
      </c>
      <c r="T7" s="528" t="s">
        <v>15</v>
      </c>
      <c r="U7" s="528" t="s">
        <v>509</v>
      </c>
      <c r="V7" s="530" t="s">
        <v>3</v>
      </c>
      <c r="W7" s="529" t="s">
        <v>4</v>
      </c>
      <c r="X7" s="529" t="s">
        <v>5</v>
      </c>
      <c r="Y7" s="529" t="s">
        <v>6</v>
      </c>
      <c r="Z7" s="528" t="s">
        <v>7</v>
      </c>
      <c r="AA7" s="528" t="s">
        <v>8</v>
      </c>
      <c r="AB7" s="529" t="s">
        <v>9</v>
      </c>
      <c r="AC7" s="528" t="s">
        <v>10</v>
      </c>
      <c r="AD7" s="529" t="s">
        <v>11</v>
      </c>
      <c r="AE7" s="528" t="s">
        <v>12</v>
      </c>
      <c r="AF7" s="529" t="s">
        <v>13</v>
      </c>
      <c r="AG7" s="528" t="s">
        <v>14</v>
      </c>
      <c r="AH7" s="531" t="s">
        <v>15</v>
      </c>
      <c r="AI7" s="524"/>
      <c r="AJ7" s="510"/>
      <c r="AK7" s="120"/>
    </row>
    <row r="8" spans="1:41" x14ac:dyDescent="0.2">
      <c r="A8" s="510"/>
      <c r="B8" s="520"/>
      <c r="C8" s="532" t="s">
        <v>17</v>
      </c>
      <c r="D8" s="533"/>
      <c r="E8" s="533"/>
      <c r="F8" s="534"/>
      <c r="G8" s="535" t="s">
        <v>19</v>
      </c>
      <c r="H8" s="536"/>
      <c r="I8" s="537"/>
      <c r="J8" s="537"/>
      <c r="K8" s="537"/>
      <c r="L8" s="537"/>
      <c r="M8" s="537"/>
      <c r="N8" s="537"/>
      <c r="O8" s="537"/>
      <c r="P8" s="537"/>
      <c r="Q8" s="537"/>
      <c r="R8" s="537"/>
      <c r="S8" s="537"/>
      <c r="T8" s="537"/>
      <c r="U8" s="536" t="s">
        <v>34</v>
      </c>
      <c r="V8" s="538"/>
      <c r="W8" s="537"/>
      <c r="X8" s="537"/>
      <c r="Y8" s="537"/>
      <c r="Z8" s="539"/>
      <c r="AA8" s="537"/>
      <c r="AB8" s="537"/>
      <c r="AC8" s="537"/>
      <c r="AD8" s="537"/>
      <c r="AE8" s="537"/>
      <c r="AF8" s="537"/>
      <c r="AG8" s="537"/>
      <c r="AH8" s="540"/>
      <c r="AI8" s="524"/>
      <c r="AJ8" s="510"/>
      <c r="AK8" s="541"/>
    </row>
    <row r="9" spans="1:41" x14ac:dyDescent="0.2">
      <c r="A9" s="510"/>
      <c r="B9" s="520"/>
      <c r="C9" s="524"/>
      <c r="D9" s="510"/>
      <c r="E9" s="510"/>
      <c r="F9" s="514"/>
      <c r="G9" s="542"/>
      <c r="H9" s="543"/>
      <c r="I9" s="543"/>
      <c r="J9" s="543"/>
      <c r="K9" s="543"/>
      <c r="L9" s="543"/>
      <c r="M9" s="543"/>
      <c r="N9" s="543"/>
      <c r="O9" s="543"/>
      <c r="P9" s="543"/>
      <c r="Q9" s="543"/>
      <c r="R9" s="543"/>
      <c r="S9" s="543"/>
      <c r="T9" s="543"/>
      <c r="U9" s="542"/>
      <c r="V9" s="542"/>
      <c r="W9" s="543"/>
      <c r="X9" s="543"/>
      <c r="Y9" s="543"/>
      <c r="Z9" s="542"/>
      <c r="AA9" s="543"/>
      <c r="AB9" s="543"/>
      <c r="AC9" s="543"/>
      <c r="AD9" s="543"/>
      <c r="AE9" s="543"/>
      <c r="AF9" s="543"/>
      <c r="AG9" s="543"/>
      <c r="AH9" s="544"/>
      <c r="AI9" s="524"/>
      <c r="AJ9" s="510"/>
      <c r="AK9" s="541"/>
    </row>
    <row r="10" spans="1:41" x14ac:dyDescent="0.2">
      <c r="A10" s="510"/>
      <c r="B10" s="520"/>
      <c r="C10" s="525" t="s">
        <v>510</v>
      </c>
      <c r="D10" s="526"/>
      <c r="E10" s="526"/>
      <c r="F10" s="545" t="s">
        <v>511</v>
      </c>
      <c r="G10" s="546">
        <f>+'[1]Statement 1'!$H$114</f>
        <v>1200785660.997653</v>
      </c>
      <c r="H10" s="546">
        <f>60646659+[68]original!$G$6</f>
        <v>61883148</v>
      </c>
      <c r="I10" s="546">
        <f>65162652+[69]original!$H$6</f>
        <v>67969792</v>
      </c>
      <c r="J10" s="546">
        <f>104858542+[70]original!$I$6</f>
        <v>108178496</v>
      </c>
      <c r="K10" s="546">
        <f>60475649+[71]original!$J$6</f>
        <v>64025972</v>
      </c>
      <c r="L10" s="546">
        <f>99919009+[72]original!$K$6</f>
        <v>103080516</v>
      </c>
      <c r="M10" s="546">
        <f>105747295+[73]original!$L$6</f>
        <v>107688872</v>
      </c>
      <c r="N10" s="546">
        <f>81330957+[74]original!$M$6</f>
        <v>83912369</v>
      </c>
      <c r="O10" s="546">
        <f>97229138+[75]original!$N$6</f>
        <v>98129696</v>
      </c>
      <c r="P10" s="546">
        <f>177385123+[76]original!$O$6</f>
        <v>180084076</v>
      </c>
      <c r="Q10" s="546">
        <f>82923943+[77]original!$P$6</f>
        <v>84284663</v>
      </c>
      <c r="R10" s="546">
        <f>132667037+[78]original!$Q$6</f>
        <v>133241261</v>
      </c>
      <c r="S10" s="546">
        <f>145339454+[79]original!$R$6</f>
        <v>146976515</v>
      </c>
      <c r="T10" s="546">
        <f>SUM(H10:S10)</f>
        <v>1239455376</v>
      </c>
      <c r="U10" s="546">
        <f>+'[9]Statement 1'!$V$148</f>
        <v>1345204000.9348805</v>
      </c>
      <c r="V10" s="546">
        <f>72369777+[80]original!$G$6</f>
        <v>73561295</v>
      </c>
      <c r="W10" s="546">
        <f>91960891+[80]original!$H$6</f>
        <v>97483269</v>
      </c>
      <c r="X10" s="546">
        <f>146983292+[80]original!$I$6</f>
        <v>147176620</v>
      </c>
      <c r="Y10" s="546">
        <f>74358637+[80]original!$J$6</f>
        <v>74595465</v>
      </c>
      <c r="Z10" s="546">
        <f>117746720+[80]original!$K$6</f>
        <v>118283601</v>
      </c>
      <c r="AA10" s="546">
        <f>117996432+[80]original!$L$6</f>
        <v>118306077</v>
      </c>
      <c r="AB10" s="546">
        <f>83965060+[80]original!$M$6</f>
        <v>84114639</v>
      </c>
      <c r="AC10" s="546">
        <f>95537530+[80]original!$N$6</f>
        <v>95927507</v>
      </c>
      <c r="AD10" s="546">
        <f>160586770+[80]original!$O$6</f>
        <v>160730055</v>
      </c>
      <c r="AE10" s="546">
        <f>90700237+[80]original!$P$6</f>
        <v>91007790</v>
      </c>
      <c r="AF10" s="546">
        <f>144219625+[80]original!$Q$6</f>
        <v>144778040</v>
      </c>
      <c r="AG10" s="546">
        <f>136203303-225606+[80]original!$R$6</f>
        <v>139239643</v>
      </c>
      <c r="AH10" s="547">
        <f>SUM(V10:AG10)</f>
        <v>1345204001</v>
      </c>
      <c r="AI10" s="548"/>
      <c r="AJ10" s="514"/>
      <c r="AK10" s="541">
        <f>AH10-U10</f>
        <v>6.5119504928588867E-2</v>
      </c>
      <c r="AL10" s="519">
        <f t="shared" ref="AL10:AL21" si="0">SUM(V10:AG10)-AH10</f>
        <v>0</v>
      </c>
      <c r="AM10" s="519"/>
      <c r="AN10" s="120"/>
    </row>
    <row r="11" spans="1:41" x14ac:dyDescent="0.2">
      <c r="A11" s="510"/>
      <c r="B11" s="520"/>
      <c r="C11" s="525"/>
      <c r="D11" s="526"/>
      <c r="E11" s="526"/>
      <c r="F11" s="514"/>
      <c r="G11" s="422"/>
      <c r="H11" s="546"/>
      <c r="I11" s="546"/>
      <c r="J11" s="546"/>
      <c r="K11" s="546"/>
      <c r="L11" s="546"/>
      <c r="M11" s="546"/>
      <c r="N11" s="546"/>
      <c r="O11" s="546"/>
      <c r="P11" s="546"/>
      <c r="Q11" s="546"/>
      <c r="R11" s="546"/>
      <c r="S11" s="546"/>
      <c r="T11" s="546"/>
      <c r="U11" s="422"/>
      <c r="V11" s="546"/>
      <c r="W11" s="546"/>
      <c r="X11" s="546"/>
      <c r="Y11" s="546"/>
      <c r="Z11" s="546"/>
      <c r="AA11" s="546"/>
      <c r="AB11" s="546"/>
      <c r="AC11" s="546"/>
      <c r="AD11" s="546"/>
      <c r="AE11" s="546"/>
      <c r="AF11" s="546"/>
      <c r="AG11" s="546"/>
      <c r="AH11" s="547"/>
      <c r="AI11" s="548"/>
      <c r="AJ11" s="514"/>
      <c r="AK11" s="541"/>
      <c r="AL11" s="519"/>
      <c r="AM11" s="519"/>
    </row>
    <row r="12" spans="1:41" x14ac:dyDescent="0.2">
      <c r="A12" s="510"/>
      <c r="B12" s="520"/>
      <c r="C12" s="525" t="s">
        <v>512</v>
      </c>
      <c r="D12" s="526"/>
      <c r="E12" s="526"/>
      <c r="F12" s="545" t="s">
        <v>513</v>
      </c>
      <c r="G12" s="422">
        <f>+G14+G16+G23+G24</f>
        <v>1804174081</v>
      </c>
      <c r="H12" s="422">
        <f>147198355-[68]original!$G$40</f>
        <v>147198373</v>
      </c>
      <c r="I12" s="422">
        <f>119561760-[69]original!$H$40</f>
        <v>119673094</v>
      </c>
      <c r="J12" s="422">
        <f>134004037-[70]original!$I$40</f>
        <v>134004039</v>
      </c>
      <c r="K12" s="422">
        <f>159426148-[71]original!$J$40</f>
        <v>159426148</v>
      </c>
      <c r="L12" s="422">
        <f>203163670-[72]original!$K$40</f>
        <v>203163671</v>
      </c>
      <c r="M12" s="422">
        <f>140138852-[73]original!$L$40</f>
        <v>140205112</v>
      </c>
      <c r="N12" s="422">
        <f>146876026-[74]original!$M$40</f>
        <v>146876286</v>
      </c>
      <c r="O12" s="422">
        <f>120040467-[75]original!$N$40</f>
        <v>120040467</v>
      </c>
      <c r="P12" s="422">
        <f>169099001-[76]original!$O$40</f>
        <v>169099003</v>
      </c>
      <c r="Q12" s="422">
        <f>194286386-[77]original!$P$40</f>
        <v>194286394</v>
      </c>
      <c r="R12" s="422">
        <f>149203104-[78]original!$Q$40</f>
        <v>149613476</v>
      </c>
      <c r="S12" s="422">
        <f>125719140-[79]original!$R$40</f>
        <v>125719226</v>
      </c>
      <c r="T12" s="422">
        <f>SUM(H12:S12)</f>
        <v>1809305289</v>
      </c>
      <c r="U12" s="422">
        <f>+U14+U16</f>
        <v>1691133186.7</v>
      </c>
      <c r="V12" s="422">
        <f>146576599-[80]original!$G$40</f>
        <v>146708471</v>
      </c>
      <c r="W12" s="422">
        <f>113281775-[80]original!$H$40</f>
        <v>113365653</v>
      </c>
      <c r="X12" s="422">
        <f>109567054-[80]original!$I$40</f>
        <v>109590360</v>
      </c>
      <c r="Y12" s="422">
        <f>182356944-[80]original!$J$40</f>
        <v>182476850</v>
      </c>
      <c r="Z12" s="422">
        <f>161091063-[80]original!$K$40</f>
        <v>161091293</v>
      </c>
      <c r="AA12" s="422">
        <f>123271247-[80]original!$L$40</f>
        <v>123271268</v>
      </c>
      <c r="AB12" s="422">
        <f>126853765-[80]original!$M$40</f>
        <v>126853795</v>
      </c>
      <c r="AC12" s="422">
        <f>129964955-[80]original!$N$40</f>
        <v>129966318</v>
      </c>
      <c r="AD12" s="422">
        <f>164082691-[80]original!$O$40</f>
        <v>164190216</v>
      </c>
      <c r="AE12" s="422">
        <f>141300018-[80]original!$P$40</f>
        <v>141300316</v>
      </c>
      <c r="AF12" s="422">
        <f>148411068-[80]original!$Q$40</f>
        <v>148411068</v>
      </c>
      <c r="AG12" s="422">
        <f>142045844+1861696-[80]original!$R$40</f>
        <v>143907579</v>
      </c>
      <c r="AH12" s="547">
        <f>SUM(V12:AG12)</f>
        <v>1691133187</v>
      </c>
      <c r="AI12" s="548"/>
      <c r="AJ12" s="512">
        <f>+AH14+AH16</f>
        <v>1691133187</v>
      </c>
      <c r="AK12" s="549">
        <f>AH12-U12</f>
        <v>0.29999995231628418</v>
      </c>
      <c r="AL12" s="519">
        <f t="shared" si="0"/>
        <v>0</v>
      </c>
      <c r="AM12" s="519"/>
      <c r="AN12" s="120"/>
      <c r="AO12" s="541"/>
    </row>
    <row r="13" spans="1:41" x14ac:dyDescent="0.2">
      <c r="A13" s="510"/>
      <c r="B13" s="520"/>
      <c r="C13" s="524"/>
      <c r="D13" s="510"/>
      <c r="E13" s="510"/>
      <c r="F13" s="514"/>
      <c r="G13" s="403"/>
      <c r="H13" s="550"/>
      <c r="I13" s="550"/>
      <c r="J13" s="550"/>
      <c r="K13" s="550"/>
      <c r="L13" s="550"/>
      <c r="M13" s="550"/>
      <c r="N13" s="17"/>
      <c r="O13" s="550"/>
      <c r="P13" s="550"/>
      <c r="Q13" s="550"/>
      <c r="R13" s="550"/>
      <c r="S13" s="550"/>
      <c r="T13" s="550"/>
      <c r="U13" s="274"/>
      <c r="V13" s="550"/>
      <c r="W13" s="550"/>
      <c r="X13" s="550"/>
      <c r="Y13" s="550"/>
      <c r="Z13" s="550"/>
      <c r="AA13" s="550"/>
      <c r="AB13" s="17"/>
      <c r="AC13" s="550"/>
      <c r="AD13" s="550"/>
      <c r="AE13" s="550"/>
      <c r="AF13" s="550"/>
      <c r="AG13" s="546"/>
      <c r="AH13" s="551"/>
      <c r="AI13" s="548"/>
      <c r="AJ13" s="514"/>
      <c r="AK13" s="541"/>
      <c r="AL13" s="519"/>
      <c r="AM13" s="519"/>
      <c r="AN13" s="120"/>
      <c r="AO13" s="541"/>
    </row>
    <row r="14" spans="1:41" x14ac:dyDescent="0.2">
      <c r="A14" s="510"/>
      <c r="B14" s="520"/>
      <c r="C14" s="524"/>
      <c r="D14" s="510" t="s">
        <v>514</v>
      </c>
      <c r="E14" s="510"/>
      <c r="F14" s="545" t="s">
        <v>515</v>
      </c>
      <c r="G14" s="403">
        <f>+'[13]20-21'!$I$48</f>
        <v>1025349737</v>
      </c>
      <c r="H14" s="403">
        <f t="shared" ref="H14:M14" si="1">+H12-H16-H23</f>
        <v>96157178.437030002</v>
      </c>
      <c r="I14" s="550">
        <f t="shared" si="1"/>
        <v>70971442.12861</v>
      </c>
      <c r="J14" s="550">
        <f t="shared" si="1"/>
        <v>65195759.902989998</v>
      </c>
      <c r="K14" s="550">
        <f t="shared" si="1"/>
        <v>81267378</v>
      </c>
      <c r="L14" s="550">
        <f t="shared" si="1"/>
        <v>122129101</v>
      </c>
      <c r="M14" s="550">
        <f t="shared" si="1"/>
        <v>74871798</v>
      </c>
      <c r="N14" s="550">
        <f>+N12-N16</f>
        <v>98137525.447679996</v>
      </c>
      <c r="O14" s="550">
        <f>+O12-O16-O23</f>
        <v>72413269</v>
      </c>
      <c r="P14" s="550">
        <f>+P12-P16-P23</f>
        <v>92854411</v>
      </c>
      <c r="Q14" s="550">
        <f>+Q12-Q16-Q23</f>
        <v>114583554</v>
      </c>
      <c r="R14" s="550">
        <f>+R12-R16-R23</f>
        <v>79535840</v>
      </c>
      <c r="S14" s="550">
        <f>+S12-S16-S23</f>
        <v>56950817</v>
      </c>
      <c r="T14" s="17">
        <f>SUM(H14:S14)</f>
        <v>1025068073.9163101</v>
      </c>
      <c r="U14" s="274">
        <f>+'[25]19-20'!$I$47</f>
        <v>945130248</v>
      </c>
      <c r="V14" s="403">
        <f t="shared" ref="V14:AB14" si="2">+V12-V16-V23</f>
        <v>99111775</v>
      </c>
      <c r="W14" s="550">
        <f t="shared" si="2"/>
        <v>65175332</v>
      </c>
      <c r="X14" s="550">
        <f t="shared" si="2"/>
        <v>45269219</v>
      </c>
      <c r="Y14" s="550">
        <f t="shared" si="2"/>
        <v>111091158</v>
      </c>
      <c r="Z14" s="550">
        <f t="shared" si="2"/>
        <v>84998676</v>
      </c>
      <c r="AA14" s="550">
        <f t="shared" si="2"/>
        <v>62652526</v>
      </c>
      <c r="AB14" s="550">
        <f t="shared" si="2"/>
        <v>78309040</v>
      </c>
      <c r="AC14" s="550">
        <v>83881189</v>
      </c>
      <c r="AD14" s="550">
        <v>94439753</v>
      </c>
      <c r="AE14" s="550">
        <v>68500090</v>
      </c>
      <c r="AF14" s="550">
        <v>75007448</v>
      </c>
      <c r="AG14" s="550">
        <f>+AG12-AG16-AG23+79249</f>
        <v>76694042</v>
      </c>
      <c r="AH14" s="485">
        <f>SUM(V14:AG14)</f>
        <v>945130248</v>
      </c>
      <c r="AI14" s="548"/>
      <c r="AJ14" s="514"/>
      <c r="AK14" s="541">
        <f>AH14-U14</f>
        <v>0</v>
      </c>
      <c r="AL14" s="519">
        <f>SUM(V14:AG14)-AH14</f>
        <v>0</v>
      </c>
      <c r="AM14" s="519"/>
      <c r="AN14" s="120"/>
      <c r="AO14" s="541"/>
    </row>
    <row r="15" spans="1:41" x14ac:dyDescent="0.2">
      <c r="A15" s="510"/>
      <c r="B15" s="520"/>
      <c r="C15" s="524"/>
      <c r="D15" s="510"/>
      <c r="E15" s="510"/>
      <c r="F15" s="514"/>
      <c r="G15" s="403"/>
      <c r="H15" s="550"/>
      <c r="I15" s="550"/>
      <c r="J15" s="550"/>
      <c r="K15" s="550"/>
      <c r="L15" s="550"/>
      <c r="M15" s="550"/>
      <c r="N15" s="17"/>
      <c r="O15" s="550"/>
      <c r="P15" s="550"/>
      <c r="Q15" s="550"/>
      <c r="R15" s="550"/>
      <c r="S15" s="550"/>
      <c r="T15" s="550"/>
      <c r="U15" s="274"/>
      <c r="V15" s="550"/>
      <c r="W15" s="550"/>
      <c r="X15" s="550"/>
      <c r="Y15" s="550"/>
      <c r="Z15" s="550"/>
      <c r="AA15" s="550"/>
      <c r="AB15" s="17"/>
      <c r="AC15" s="550"/>
      <c r="AD15" s="550"/>
      <c r="AE15" s="550"/>
      <c r="AF15" s="550"/>
      <c r="AG15" s="550"/>
      <c r="AH15" s="551"/>
      <c r="AI15" s="548"/>
      <c r="AJ15" s="514"/>
      <c r="AK15" s="541"/>
      <c r="AL15" s="519"/>
      <c r="AM15" s="519"/>
      <c r="AN15" s="120"/>
      <c r="AO15" s="541"/>
    </row>
    <row r="16" spans="1:41" s="557" customFormat="1" x14ac:dyDescent="0.2">
      <c r="A16" s="526"/>
      <c r="B16" s="552"/>
      <c r="C16" s="525"/>
      <c r="D16" s="526" t="s">
        <v>516</v>
      </c>
      <c r="E16" s="526"/>
      <c r="F16" s="527"/>
      <c r="G16" s="553">
        <f>SUM(G17:G21)</f>
        <v>782517261</v>
      </c>
      <c r="H16" s="554">
        <f>SUM(H17:H21)</f>
        <v>51041194.562969998</v>
      </c>
      <c r="I16" s="554">
        <f t="shared" ref="I16:AG16" si="3">SUM(I17:I21)</f>
        <v>48701651.87139</v>
      </c>
      <c r="J16" s="554">
        <f t="shared" si="3"/>
        <v>68808279.097010002</v>
      </c>
      <c r="K16" s="554">
        <f t="shared" si="3"/>
        <v>78158770</v>
      </c>
      <c r="L16" s="554">
        <f t="shared" si="3"/>
        <v>81034570</v>
      </c>
      <c r="M16" s="554">
        <f t="shared" si="3"/>
        <v>65333314</v>
      </c>
      <c r="N16" s="546">
        <f t="shared" si="3"/>
        <v>48738760.552320004</v>
      </c>
      <c r="O16" s="554">
        <f t="shared" si="3"/>
        <v>47627198</v>
      </c>
      <c r="P16" s="554">
        <f t="shared" si="3"/>
        <v>76244592</v>
      </c>
      <c r="Q16" s="554">
        <f t="shared" si="3"/>
        <v>79702840</v>
      </c>
      <c r="R16" s="554">
        <f t="shared" si="3"/>
        <v>70077636</v>
      </c>
      <c r="S16" s="554">
        <f t="shared" si="3"/>
        <v>68768409</v>
      </c>
      <c r="T16" s="554">
        <f t="shared" si="3"/>
        <v>784237215.08368993</v>
      </c>
      <c r="U16" s="554">
        <f t="shared" si="3"/>
        <v>746002938.70000005</v>
      </c>
      <c r="V16" s="554">
        <f t="shared" si="3"/>
        <v>47596696</v>
      </c>
      <c r="W16" s="554">
        <f t="shared" si="3"/>
        <v>48190321</v>
      </c>
      <c r="X16" s="554">
        <f t="shared" si="3"/>
        <v>64321141</v>
      </c>
      <c r="Y16" s="554">
        <f t="shared" si="3"/>
        <v>71385692</v>
      </c>
      <c r="Z16" s="554">
        <f t="shared" si="3"/>
        <v>76092617</v>
      </c>
      <c r="AA16" s="554">
        <f t="shared" si="3"/>
        <v>60618742</v>
      </c>
      <c r="AB16" s="546">
        <f t="shared" si="3"/>
        <v>48544755</v>
      </c>
      <c r="AC16" s="554">
        <f t="shared" si="3"/>
        <v>46113766</v>
      </c>
      <c r="AD16" s="554">
        <f t="shared" si="3"/>
        <v>69642875</v>
      </c>
      <c r="AE16" s="554">
        <f t="shared" si="3"/>
        <v>72799928</v>
      </c>
      <c r="AF16" s="554">
        <f t="shared" si="3"/>
        <v>73403620</v>
      </c>
      <c r="AG16" s="554">
        <f t="shared" si="3"/>
        <v>67292786</v>
      </c>
      <c r="AH16" s="555">
        <f>SUM(AH17:AH21)</f>
        <v>746002939</v>
      </c>
      <c r="AI16" s="556"/>
      <c r="AJ16" s="527"/>
      <c r="AK16" s="541">
        <f>AH16-U16</f>
        <v>0.29999995231628418</v>
      </c>
      <c r="AL16" s="519">
        <f t="shared" si="0"/>
        <v>0</v>
      </c>
      <c r="AM16" s="519"/>
      <c r="AN16" s="120"/>
      <c r="AO16" s="541"/>
    </row>
    <row r="17" spans="1:42" x14ac:dyDescent="0.2">
      <c r="A17" s="510"/>
      <c r="B17" s="520"/>
      <c r="C17" s="524"/>
      <c r="D17" s="510"/>
      <c r="E17" s="510" t="s">
        <v>21</v>
      </c>
      <c r="F17" s="558"/>
      <c r="G17" s="403">
        <f>+'[13]20-21'!$I$53</f>
        <v>233027798</v>
      </c>
      <c r="H17" s="550">
        <f>+'[81]April 2020'!$G$92/1000</f>
        <v>4206399.5629699994</v>
      </c>
      <c r="I17" s="550">
        <f>+'[82]May 2020'!$F$92/1000</f>
        <v>1879102.8713900005</v>
      </c>
      <c r="J17" s="550">
        <f>+'[82]June 2020'!$F$92/1000</f>
        <v>22441442.097009998</v>
      </c>
      <c r="K17" s="550">
        <v>31925505</v>
      </c>
      <c r="L17" s="550">
        <v>31148936</v>
      </c>
      <c r="M17" s="550">
        <v>20070544</v>
      </c>
      <c r="N17" s="17">
        <f>(+'[82]October 2020'!$F$92)/1000</f>
        <v>3518743.5523200016</v>
      </c>
      <c r="O17" s="550">
        <v>1599356</v>
      </c>
      <c r="P17" s="550">
        <v>25702350</v>
      </c>
      <c r="Q17" s="550">
        <v>33320221</v>
      </c>
      <c r="R17" s="550">
        <v>34810560</v>
      </c>
      <c r="S17" s="550">
        <v>22074796</v>
      </c>
      <c r="T17" s="17">
        <f>SUM(H17:S17)</f>
        <v>232697956.08368999</v>
      </c>
      <c r="U17" s="17">
        <f>+'[25]19-20'!$I$52</f>
        <v>204769349.69999999</v>
      </c>
      <c r="V17" s="550">
        <v>3596440</v>
      </c>
      <c r="W17" s="550">
        <v>4188052</v>
      </c>
      <c r="X17" s="550">
        <v>20309211</v>
      </c>
      <c r="Y17" s="550">
        <v>27304283</v>
      </c>
      <c r="Z17" s="550">
        <v>27624724</v>
      </c>
      <c r="AA17" s="550">
        <v>16591374</v>
      </c>
      <c r="AB17" s="17">
        <v>4518126</v>
      </c>
      <c r="AC17" s="550">
        <v>2237241</v>
      </c>
      <c r="AD17" s="550">
        <v>21222195</v>
      </c>
      <c r="AE17" s="550">
        <v>28812513</v>
      </c>
      <c r="AF17" s="550">
        <v>29395974</v>
      </c>
      <c r="AG17" s="550">
        <f>19094393-125176</f>
        <v>18969217</v>
      </c>
      <c r="AH17" s="485">
        <f>SUM(V17:AG17)</f>
        <v>204769350</v>
      </c>
      <c r="AI17" s="548"/>
      <c r="AJ17" s="514"/>
      <c r="AK17" s="541">
        <f>AH17-U17</f>
        <v>0.30000001192092896</v>
      </c>
      <c r="AL17" s="519">
        <f t="shared" si="0"/>
        <v>0</v>
      </c>
      <c r="AM17" s="519"/>
      <c r="AN17" s="120"/>
      <c r="AO17" s="541"/>
    </row>
    <row r="18" spans="1:42" x14ac:dyDescent="0.2">
      <c r="A18" s="510"/>
      <c r="B18" s="520"/>
      <c r="C18" s="524"/>
      <c r="D18" s="510"/>
      <c r="E18" s="510" t="s">
        <v>22</v>
      </c>
      <c r="F18" s="512"/>
      <c r="G18" s="403">
        <f>+'[13]20-21'!$I$56</f>
        <v>520717021</v>
      </c>
      <c r="H18" s="550">
        <f>+'[81]April 2020'!$F$80/1000</f>
        <v>44872627</v>
      </c>
      <c r="I18" s="550">
        <f>+'[82]May 2020'!$F$80/1000</f>
        <v>44872627</v>
      </c>
      <c r="J18" s="550">
        <f>+'[82]June 2020'!$F$80/1000</f>
        <v>44872627</v>
      </c>
      <c r="K18" s="550">
        <v>44872627</v>
      </c>
      <c r="L18" s="550">
        <v>44872627</v>
      </c>
      <c r="M18" s="550">
        <v>44872627</v>
      </c>
      <c r="N18" s="17">
        <f>(+'[82]October 2020'!$F$80)/1000</f>
        <v>44872627</v>
      </c>
      <c r="O18" s="550">
        <v>44872627</v>
      </c>
      <c r="P18" s="550">
        <v>44872672</v>
      </c>
      <c r="Q18" s="550">
        <v>44872627</v>
      </c>
      <c r="R18" s="550">
        <v>33036287</v>
      </c>
      <c r="S18" s="550">
        <v>38954464</v>
      </c>
      <c r="T18" s="17">
        <f>SUM(H18:S18)</f>
        <v>520717066</v>
      </c>
      <c r="U18" s="17">
        <f>+'[25]19-20'!$I$55</f>
        <v>505553753</v>
      </c>
      <c r="V18" s="550">
        <v>42129484</v>
      </c>
      <c r="W18" s="550">
        <v>42129482</v>
      </c>
      <c r="X18" s="550">
        <v>42129482</v>
      </c>
      <c r="Y18" s="550">
        <v>42129482</v>
      </c>
      <c r="Z18" s="550">
        <v>42129480</v>
      </c>
      <c r="AA18" s="550">
        <v>42129480</v>
      </c>
      <c r="AB18" s="17">
        <v>42129479</v>
      </c>
      <c r="AC18" s="550">
        <v>42129479</v>
      </c>
      <c r="AD18" s="550">
        <v>42129478</v>
      </c>
      <c r="AE18" s="550">
        <v>42129477</v>
      </c>
      <c r="AF18" s="550">
        <v>42129475</v>
      </c>
      <c r="AG18" s="550">
        <v>42129475</v>
      </c>
      <c r="AH18" s="485">
        <f>SUM(V18:AG18)</f>
        <v>505553753</v>
      </c>
      <c r="AI18" s="548"/>
      <c r="AJ18" s="514"/>
      <c r="AK18" s="541">
        <f t="shared" ref="AK18:AK81" si="4">AH18-U18</f>
        <v>0</v>
      </c>
      <c r="AL18" s="519">
        <f t="shared" si="0"/>
        <v>0</v>
      </c>
      <c r="AM18" s="519"/>
      <c r="AN18" s="120"/>
      <c r="AO18" s="541"/>
    </row>
    <row r="19" spans="1:42" ht="14.45" customHeight="1" x14ac:dyDescent="0.2">
      <c r="A19" s="510"/>
      <c r="B19" s="520"/>
      <c r="C19" s="524"/>
      <c r="D19" s="510"/>
      <c r="E19" s="510" t="s">
        <v>23</v>
      </c>
      <c r="F19" s="514"/>
      <c r="G19" s="403">
        <f>+'[13]20-21'!$I$57</f>
        <v>14026878</v>
      </c>
      <c r="H19" s="550">
        <v>0</v>
      </c>
      <c r="I19" s="550">
        <f>+'[82]May 2020'!$F$60</f>
        <v>0</v>
      </c>
      <c r="J19" s="550">
        <v>0</v>
      </c>
      <c r="K19" s="550">
        <v>0</v>
      </c>
      <c r="L19" s="550">
        <v>4675628</v>
      </c>
      <c r="M19" s="550">
        <v>0</v>
      </c>
      <c r="N19" s="17">
        <f>(+'[82]October 2020'!$F$60)/1000</f>
        <v>0</v>
      </c>
      <c r="O19" s="550">
        <v>0</v>
      </c>
      <c r="P19" s="550">
        <v>4675628</v>
      </c>
      <c r="Q19" s="550">
        <v>0</v>
      </c>
      <c r="R19" s="550">
        <v>0</v>
      </c>
      <c r="S19" s="550">
        <v>4675622</v>
      </c>
      <c r="T19" s="17">
        <f>SUM(H19:S19)</f>
        <v>14026878</v>
      </c>
      <c r="U19" s="17">
        <f>+'[25]19-20'!$I$56</f>
        <v>13166793</v>
      </c>
      <c r="V19" s="550">
        <v>0</v>
      </c>
      <c r="W19" s="550">
        <v>0</v>
      </c>
      <c r="X19" s="550">
        <v>0</v>
      </c>
      <c r="Y19" s="550">
        <v>0</v>
      </c>
      <c r="Z19" s="550">
        <v>4388931</v>
      </c>
      <c r="AA19" s="550">
        <v>0</v>
      </c>
      <c r="AB19" s="17">
        <v>0</v>
      </c>
      <c r="AC19" s="550">
        <v>0</v>
      </c>
      <c r="AD19" s="550">
        <v>4388931</v>
      </c>
      <c r="AE19" s="550">
        <v>0</v>
      </c>
      <c r="AF19" s="550">
        <v>0</v>
      </c>
      <c r="AG19" s="550">
        <v>4388931</v>
      </c>
      <c r="AH19" s="485">
        <f>SUM(V19:AG19)</f>
        <v>13166793</v>
      </c>
      <c r="AI19" s="548"/>
      <c r="AJ19" s="514"/>
      <c r="AK19" s="541">
        <f t="shared" si="4"/>
        <v>0</v>
      </c>
      <c r="AL19" s="519">
        <f t="shared" si="0"/>
        <v>0</v>
      </c>
      <c r="AM19" s="519"/>
      <c r="AN19" s="120"/>
      <c r="AO19" s="541"/>
      <c r="AP19" s="509">
        <v>1000</v>
      </c>
    </row>
    <row r="20" spans="1:42" ht="14.45" customHeight="1" x14ac:dyDescent="0.2">
      <c r="A20" s="510"/>
      <c r="B20" s="520"/>
      <c r="C20" s="524"/>
      <c r="D20" s="510"/>
      <c r="E20" s="510" t="s">
        <v>517</v>
      </c>
      <c r="F20" s="514"/>
      <c r="G20" s="403">
        <f>+'[13]20-21'!$I$66</f>
        <v>10174611</v>
      </c>
      <c r="H20" s="550">
        <f>+'[81]April 2020'!$F$63/1000</f>
        <v>1617743</v>
      </c>
      <c r="I20" s="550">
        <f>+'[82]May 2020'!$F$63/1000</f>
        <v>1617741</v>
      </c>
      <c r="J20" s="550">
        <f>+'[82]June 2020'!$F$63/1000</f>
        <v>1118322</v>
      </c>
      <c r="K20" s="550">
        <v>1017741</v>
      </c>
      <c r="L20" s="550">
        <v>0</v>
      </c>
      <c r="M20" s="550">
        <v>0</v>
      </c>
      <c r="N20" s="17">
        <f>(+'[82]October 2020'!$F$63)/1000</f>
        <v>217362</v>
      </c>
      <c r="O20" s="550">
        <v>795000</v>
      </c>
      <c r="P20" s="550">
        <v>584142</v>
      </c>
      <c r="Q20" s="550">
        <v>1184144</v>
      </c>
      <c r="R20" s="550">
        <v>1784143</v>
      </c>
      <c r="S20" s="550">
        <v>2693998</v>
      </c>
      <c r="T20" s="17">
        <f>SUM(H20:S20)</f>
        <v>12630336</v>
      </c>
      <c r="U20" s="17">
        <f>+'[25]19-20'!$I$64</f>
        <v>18283844</v>
      </c>
      <c r="V20" s="550">
        <v>1563208</v>
      </c>
      <c r="W20" s="550">
        <v>1563208</v>
      </c>
      <c r="X20" s="550">
        <v>1563209</v>
      </c>
      <c r="Y20" s="550">
        <v>1563209</v>
      </c>
      <c r="Z20" s="550">
        <v>1563209</v>
      </c>
      <c r="AA20" s="550">
        <v>1563209</v>
      </c>
      <c r="AB20" s="17">
        <v>1563209</v>
      </c>
      <c r="AC20" s="550">
        <v>1381004</v>
      </c>
      <c r="AD20" s="550">
        <v>1563210</v>
      </c>
      <c r="AE20" s="550">
        <v>1563210</v>
      </c>
      <c r="AF20" s="550">
        <v>1563210</v>
      </c>
      <c r="AG20" s="550">
        <v>1270749</v>
      </c>
      <c r="AH20" s="485">
        <f>SUM(V20:AG20)</f>
        <v>18283844</v>
      </c>
      <c r="AI20" s="548"/>
      <c r="AJ20" s="514"/>
      <c r="AK20" s="541">
        <f t="shared" si="4"/>
        <v>0</v>
      </c>
      <c r="AL20" s="519">
        <f t="shared" si="0"/>
        <v>0</v>
      </c>
      <c r="AM20" s="519"/>
      <c r="AN20" s="120"/>
      <c r="AO20" s="541"/>
    </row>
    <row r="21" spans="1:42" x14ac:dyDescent="0.2">
      <c r="A21" s="510"/>
      <c r="B21" s="520"/>
      <c r="C21" s="524"/>
      <c r="D21" s="510"/>
      <c r="E21" s="510" t="s">
        <v>26</v>
      </c>
      <c r="F21" s="514"/>
      <c r="G21" s="403">
        <f>+'[13]20-21'!$I$51+'[13]20-21'!$I$52+'[13]20-21'!$I$58+'[13]20-21'!$I$59+'[13]20-21'!$I$61+'[13]20-21'!$I$67+'[13]20-21'!$I$68+'[13]20-21'!$I$69</f>
        <v>4570953</v>
      </c>
      <c r="H21" s="550">
        <f>(+'[81]April 2020'!$F$58+'[81]April 2020'!$F$59+'[81]April 2020'!$F$60+'[81]April 2020'!$F$61+'[81]April 2020'!$F$62+'[81]April 2020'!$F$64+'[81]April 2020'!$F$65+'[81]April 2020'!$F$66)/1000</f>
        <v>344425</v>
      </c>
      <c r="I21" s="550">
        <f>(+'[82]May 2020'!$F$58+'[82]May 2020'!$F$59+'[82]May 2020'!$F$60+'[82]May 2020'!$F$61+'[82]May 2020'!$F$62+'[82]May 2020'!$F$64+'[82]May 2020'!$F$65+'[82]May 2020'!$F$66)/1000</f>
        <v>332181</v>
      </c>
      <c r="J21" s="550">
        <f>(+'[82]June 2020'!$F$58+'[82]June 2020'!$F$59+'[82]June 2020'!$F$60+'[82]June 2020'!$F$64+'[82]June 2020'!$F$65+'[82]June 2020'!$F$66+'[82]June 2020'!$F$62+'[82]June 2020'!$F$61)/1000</f>
        <v>375888</v>
      </c>
      <c r="K21" s="550">
        <v>342897</v>
      </c>
      <c r="L21" s="550">
        <f>650+42263+203497+90969</f>
        <v>337379</v>
      </c>
      <c r="M21" s="550">
        <v>390143</v>
      </c>
      <c r="N21" s="17">
        <f>(+'[82]October 2020'!$F$58+'[82]October 2020'!$F$59+'[82]October 2020'!$F$64+'[82]October 2020'!$F$65)/1000</f>
        <v>130028</v>
      </c>
      <c r="O21" s="550">
        <v>360215</v>
      </c>
      <c r="P21" s="550">
        <v>409800</v>
      </c>
      <c r="Q21" s="550">
        <f>649+32263+205787+87149</f>
        <v>325848</v>
      </c>
      <c r="R21" s="550">
        <v>446646</v>
      </c>
      <c r="S21" s="550">
        <v>369529</v>
      </c>
      <c r="T21" s="17">
        <f>SUM(H21:S21)</f>
        <v>4164979</v>
      </c>
      <c r="U21" s="17">
        <f>+'[25]19-20'!$I$50+'[25]19-20'!$I$51+'[25]19-20'!$I$65+'[25]19-20'!$I$66+'[25]19-20'!$I$67+'[25]19-20'!$I$57</f>
        <v>4229199</v>
      </c>
      <c r="V21" s="550">
        <v>307564</v>
      </c>
      <c r="W21" s="550">
        <v>309579</v>
      </c>
      <c r="X21" s="550">
        <v>319239</v>
      </c>
      <c r="Y21" s="550">
        <v>388718</v>
      </c>
      <c r="Z21" s="550">
        <v>386273</v>
      </c>
      <c r="AA21" s="550">
        <v>334679</v>
      </c>
      <c r="AB21" s="17">
        <v>333941</v>
      </c>
      <c r="AC21" s="550">
        <v>366042</v>
      </c>
      <c r="AD21" s="550">
        <v>339061</v>
      </c>
      <c r="AE21" s="550">
        <v>294728</v>
      </c>
      <c r="AF21" s="550">
        <v>314961</v>
      </c>
      <c r="AG21" s="550">
        <f>315654+218760</f>
        <v>534414</v>
      </c>
      <c r="AH21" s="485">
        <f>SUM(V21:AG21)</f>
        <v>4229199</v>
      </c>
      <c r="AI21" s="548"/>
      <c r="AJ21" s="514"/>
      <c r="AK21" s="541">
        <f t="shared" si="4"/>
        <v>0</v>
      </c>
      <c r="AL21" s="519">
        <f t="shared" si="0"/>
        <v>0</v>
      </c>
      <c r="AM21" s="519"/>
      <c r="AN21" s="120"/>
      <c r="AO21" s="541"/>
    </row>
    <row r="22" spans="1:42" x14ac:dyDescent="0.2">
      <c r="A22" s="510"/>
      <c r="B22" s="520"/>
      <c r="C22" s="510"/>
      <c r="D22" s="526"/>
      <c r="E22" s="510"/>
      <c r="F22" s="514"/>
      <c r="G22" s="553"/>
      <c r="H22" s="554"/>
      <c r="I22" s="554"/>
      <c r="J22" s="554"/>
      <c r="K22" s="554"/>
      <c r="L22" s="554"/>
      <c r="M22" s="554"/>
      <c r="N22" s="546"/>
      <c r="O22" s="554"/>
      <c r="P22" s="554"/>
      <c r="Q22" s="554"/>
      <c r="R22" s="554"/>
      <c r="S22" s="554"/>
      <c r="T22" s="554"/>
      <c r="U22" s="422"/>
      <c r="V22" s="554"/>
      <c r="W22" s="554"/>
      <c r="X22" s="554"/>
      <c r="Y22" s="554"/>
      <c r="Z22" s="554"/>
      <c r="AA22" s="554"/>
      <c r="AB22" s="546"/>
      <c r="AC22" s="554"/>
      <c r="AD22" s="554"/>
      <c r="AE22" s="554"/>
      <c r="AF22" s="554"/>
      <c r="AG22" s="554"/>
      <c r="AH22" s="555"/>
      <c r="AI22" s="548"/>
      <c r="AJ22" s="514"/>
      <c r="AK22" s="541"/>
      <c r="AL22" s="519"/>
      <c r="AM22" s="519"/>
      <c r="AN22" s="120"/>
      <c r="AO22" s="541"/>
    </row>
    <row r="23" spans="1:42" x14ac:dyDescent="0.2">
      <c r="A23" s="510"/>
      <c r="B23" s="520"/>
      <c r="C23" s="510"/>
      <c r="E23" s="510"/>
      <c r="F23" s="545"/>
      <c r="G23" s="403"/>
      <c r="H23" s="550"/>
      <c r="I23" s="550"/>
      <c r="J23" s="550"/>
      <c r="K23" s="550"/>
      <c r="L23" s="550"/>
      <c r="M23" s="550"/>
      <c r="N23" s="17"/>
      <c r="O23" s="550"/>
      <c r="P23" s="550"/>
      <c r="Q23" s="550"/>
      <c r="R23" s="550"/>
      <c r="S23" s="550"/>
      <c r="T23" s="550"/>
      <c r="U23" s="274"/>
      <c r="V23" s="550"/>
      <c r="W23" s="550"/>
      <c r="X23" s="550"/>
      <c r="Y23" s="550"/>
      <c r="Z23" s="550"/>
      <c r="AA23" s="550"/>
      <c r="AB23" s="17"/>
      <c r="AC23" s="550"/>
      <c r="AD23" s="550"/>
      <c r="AE23" s="550"/>
      <c r="AF23" s="550"/>
      <c r="AG23" s="550"/>
      <c r="AH23" s="551"/>
      <c r="AI23" s="548"/>
      <c r="AJ23" s="514"/>
      <c r="AK23" s="541">
        <f>AH23-U23</f>
        <v>0</v>
      </c>
      <c r="AL23" s="519">
        <f>SUM(V23:AG23)-AH23</f>
        <v>0</v>
      </c>
      <c r="AM23" s="519"/>
    </row>
    <row r="24" spans="1:42" x14ac:dyDescent="0.2">
      <c r="A24" s="510"/>
      <c r="B24" s="520"/>
      <c r="C24" s="510"/>
      <c r="D24" s="509" t="str">
        <f>+'[20]20-21'!$A$73</f>
        <v>National government projected underspending</v>
      </c>
      <c r="E24" s="510"/>
      <c r="F24" s="514"/>
      <c r="G24" s="403">
        <f>+'[13]20-21'!$I$73</f>
        <v>-3692917</v>
      </c>
      <c r="H24" s="550">
        <v>0</v>
      </c>
      <c r="I24" s="550">
        <v>0</v>
      </c>
      <c r="J24" s="550">
        <v>0</v>
      </c>
      <c r="K24" s="550">
        <v>0</v>
      </c>
      <c r="L24" s="550">
        <v>0</v>
      </c>
      <c r="M24" s="550">
        <v>0</v>
      </c>
      <c r="N24" s="17">
        <v>0</v>
      </c>
      <c r="O24" s="550">
        <v>0</v>
      </c>
      <c r="P24" s="550">
        <v>0</v>
      </c>
      <c r="Q24" s="550">
        <v>0</v>
      </c>
      <c r="R24" s="550">
        <v>0</v>
      </c>
      <c r="S24" s="550">
        <v>0</v>
      </c>
      <c r="T24" s="550">
        <f>SUM(H24:S24)</f>
        <v>0</v>
      </c>
      <c r="U24" s="274">
        <v>0</v>
      </c>
      <c r="V24" s="550">
        <v>0</v>
      </c>
      <c r="W24" s="550">
        <v>0</v>
      </c>
      <c r="X24" s="550">
        <v>0</v>
      </c>
      <c r="Y24" s="550">
        <v>0</v>
      </c>
      <c r="Z24" s="550">
        <v>0</v>
      </c>
      <c r="AA24" s="550">
        <v>0</v>
      </c>
      <c r="AB24" s="17">
        <v>0</v>
      </c>
      <c r="AC24" s="550">
        <v>0</v>
      </c>
      <c r="AD24" s="550">
        <v>0</v>
      </c>
      <c r="AE24" s="550">
        <v>0</v>
      </c>
      <c r="AF24" s="550">
        <v>0</v>
      </c>
      <c r="AG24" s="550">
        <v>0</v>
      </c>
      <c r="AH24" s="551">
        <f>SUM(V24:AG24)</f>
        <v>0</v>
      </c>
      <c r="AI24" s="548"/>
      <c r="AJ24" s="514"/>
      <c r="AK24" s="541">
        <f>AH24-U24</f>
        <v>0</v>
      </c>
      <c r="AL24" s="519">
        <f>SUM(V24:AG24)-AH24</f>
        <v>0</v>
      </c>
      <c r="AM24" s="519"/>
    </row>
    <row r="25" spans="1:42" s="557" customFormat="1" x14ac:dyDescent="0.2">
      <c r="A25" s="526"/>
      <c r="B25" s="552"/>
      <c r="C25" s="526"/>
      <c r="D25" s="559"/>
      <c r="E25" s="510"/>
      <c r="F25" s="514"/>
      <c r="G25" s="403"/>
      <c r="H25" s="554"/>
      <c r="I25" s="554"/>
      <c r="J25" s="554"/>
      <c r="K25" s="554"/>
      <c r="L25" s="554"/>
      <c r="M25" s="550"/>
      <c r="N25" s="546"/>
      <c r="O25" s="550"/>
      <c r="P25" s="550"/>
      <c r="Q25" s="550"/>
      <c r="R25" s="554"/>
      <c r="S25" s="554"/>
      <c r="T25" s="17"/>
      <c r="U25" s="17"/>
      <c r="V25" s="554"/>
      <c r="W25" s="554"/>
      <c r="X25" s="554"/>
      <c r="Y25" s="554"/>
      <c r="Z25" s="554"/>
      <c r="AA25" s="550"/>
      <c r="AB25" s="546"/>
      <c r="AC25" s="550"/>
      <c r="AD25" s="550"/>
      <c r="AE25" s="550"/>
      <c r="AF25" s="554"/>
      <c r="AG25" s="554"/>
      <c r="AH25" s="17"/>
      <c r="AI25" s="556"/>
      <c r="AJ25" s="527"/>
      <c r="AK25" s="541"/>
      <c r="AL25" s="519"/>
      <c r="AM25" s="519"/>
    </row>
    <row r="26" spans="1:42" s="557" customFormat="1" x14ac:dyDescent="0.2">
      <c r="A26" s="526"/>
      <c r="B26" s="552"/>
      <c r="C26" s="525"/>
      <c r="D26" s="526"/>
      <c r="E26" s="560"/>
      <c r="F26" s="527"/>
      <c r="G26" s="561"/>
      <c r="H26" s="562"/>
      <c r="I26" s="562"/>
      <c r="J26" s="562"/>
      <c r="K26" s="562"/>
      <c r="L26" s="562"/>
      <c r="M26" s="562"/>
      <c r="N26" s="562"/>
      <c r="O26" s="562"/>
      <c r="P26" s="562"/>
      <c r="Q26" s="562"/>
      <c r="R26" s="562"/>
      <c r="S26" s="562"/>
      <c r="T26" s="562"/>
      <c r="U26" s="561"/>
      <c r="V26" s="562"/>
      <c r="W26" s="562"/>
      <c r="X26" s="562"/>
      <c r="Y26" s="562"/>
      <c r="Z26" s="562"/>
      <c r="AA26" s="562"/>
      <c r="AB26" s="562"/>
      <c r="AC26" s="562"/>
      <c r="AD26" s="562"/>
      <c r="AE26" s="562"/>
      <c r="AF26" s="562"/>
      <c r="AG26" s="562"/>
      <c r="AH26" s="563"/>
      <c r="AI26" s="556"/>
      <c r="AJ26" s="527"/>
      <c r="AK26" s="541"/>
      <c r="AL26" s="519"/>
      <c r="AM26" s="519"/>
    </row>
    <row r="27" spans="1:42" s="557" customFormat="1" x14ac:dyDescent="0.2">
      <c r="A27" s="526"/>
      <c r="B27" s="552"/>
      <c r="C27" s="525"/>
      <c r="D27" s="526"/>
      <c r="E27" s="526"/>
      <c r="F27" s="527"/>
      <c r="G27" s="422"/>
      <c r="H27" s="546"/>
      <c r="I27" s="546"/>
      <c r="J27" s="546"/>
      <c r="K27" s="546"/>
      <c r="L27" s="546"/>
      <c r="M27" s="546"/>
      <c r="N27" s="546"/>
      <c r="O27" s="546"/>
      <c r="P27" s="546"/>
      <c r="Q27" s="546"/>
      <c r="R27" s="546"/>
      <c r="S27" s="546"/>
      <c r="T27" s="546"/>
      <c r="U27" s="422"/>
      <c r="V27" s="546"/>
      <c r="W27" s="546"/>
      <c r="X27" s="546"/>
      <c r="Y27" s="546"/>
      <c r="Z27" s="546"/>
      <c r="AA27" s="546"/>
      <c r="AB27" s="546"/>
      <c r="AC27" s="546"/>
      <c r="AD27" s="546"/>
      <c r="AE27" s="546"/>
      <c r="AF27" s="546"/>
      <c r="AG27" s="546"/>
      <c r="AH27" s="547"/>
      <c r="AI27" s="556"/>
      <c r="AJ27" s="527"/>
      <c r="AK27" s="541"/>
      <c r="AL27" s="519"/>
      <c r="AM27" s="519"/>
    </row>
    <row r="28" spans="1:42" s="557" customFormat="1" x14ac:dyDescent="0.2">
      <c r="A28" s="526"/>
      <c r="B28" s="552"/>
      <c r="C28" s="525" t="s">
        <v>28</v>
      </c>
      <c r="D28" s="526"/>
      <c r="E28" s="526"/>
      <c r="F28" s="527"/>
      <c r="G28" s="422">
        <f>+G10-G12</f>
        <v>-603388420.00234699</v>
      </c>
      <c r="H28" s="546">
        <f t="shared" ref="H28:AF28" si="5">(H10-H12)</f>
        <v>-85315225</v>
      </c>
      <c r="I28" s="546">
        <f t="shared" si="5"/>
        <v>-51703302</v>
      </c>
      <c r="J28" s="546">
        <f t="shared" si="5"/>
        <v>-25825543</v>
      </c>
      <c r="K28" s="546">
        <f t="shared" si="5"/>
        <v>-95400176</v>
      </c>
      <c r="L28" s="546">
        <f t="shared" si="5"/>
        <v>-100083155</v>
      </c>
      <c r="M28" s="546">
        <f t="shared" si="5"/>
        <v>-32516240</v>
      </c>
      <c r="N28" s="546">
        <f t="shared" si="5"/>
        <v>-62963917</v>
      </c>
      <c r="O28" s="546">
        <f t="shared" si="5"/>
        <v>-21910771</v>
      </c>
      <c r="P28" s="546">
        <f t="shared" si="5"/>
        <v>10985073</v>
      </c>
      <c r="Q28" s="546">
        <f t="shared" si="5"/>
        <v>-110001731</v>
      </c>
      <c r="R28" s="546">
        <f t="shared" si="5"/>
        <v>-16372215</v>
      </c>
      <c r="S28" s="546">
        <f>(S10-S12)</f>
        <v>21257289</v>
      </c>
      <c r="T28" s="546">
        <f t="shared" si="5"/>
        <v>-569849913</v>
      </c>
      <c r="U28" s="546">
        <f t="shared" si="5"/>
        <v>-345929185.76511955</v>
      </c>
      <c r="V28" s="546">
        <f t="shared" si="5"/>
        <v>-73147176</v>
      </c>
      <c r="W28" s="546">
        <f t="shared" si="5"/>
        <v>-15882384</v>
      </c>
      <c r="X28" s="546">
        <f t="shared" si="5"/>
        <v>37586260</v>
      </c>
      <c r="Y28" s="546">
        <f t="shared" si="5"/>
        <v>-107881385</v>
      </c>
      <c r="Z28" s="546">
        <f t="shared" si="5"/>
        <v>-42807692</v>
      </c>
      <c r="AA28" s="546">
        <f t="shared" si="5"/>
        <v>-4965191</v>
      </c>
      <c r="AB28" s="546">
        <f t="shared" si="5"/>
        <v>-42739156</v>
      </c>
      <c r="AC28" s="546">
        <f t="shared" si="5"/>
        <v>-34038811</v>
      </c>
      <c r="AD28" s="546">
        <f t="shared" si="5"/>
        <v>-3460161</v>
      </c>
      <c r="AE28" s="546">
        <f t="shared" si="5"/>
        <v>-50292526</v>
      </c>
      <c r="AF28" s="546">
        <f t="shared" si="5"/>
        <v>-3633028</v>
      </c>
      <c r="AG28" s="546">
        <f>(AG10-AG12)</f>
        <v>-4667936</v>
      </c>
      <c r="AH28" s="547">
        <f>(AH10-AH12)</f>
        <v>-345929186</v>
      </c>
      <c r="AI28" s="556"/>
      <c r="AJ28" s="527"/>
      <c r="AK28" s="541">
        <f>AH28-U28</f>
        <v>-0.23488044738769531</v>
      </c>
      <c r="AL28" s="519">
        <f>SUM(V28:AG28)-AH28</f>
        <v>0</v>
      </c>
      <c r="AM28" s="519"/>
    </row>
    <row r="29" spans="1:42" s="557" customFormat="1" x14ac:dyDescent="0.2">
      <c r="A29" s="526"/>
      <c r="B29" s="552"/>
      <c r="C29" s="525"/>
      <c r="D29" s="526"/>
      <c r="E29" s="560"/>
      <c r="F29" s="527"/>
      <c r="G29" s="422"/>
      <c r="H29" s="546"/>
      <c r="I29" s="546"/>
      <c r="J29" s="546"/>
      <c r="K29" s="546"/>
      <c r="L29" s="546"/>
      <c r="M29" s="546"/>
      <c r="N29" s="546"/>
      <c r="O29" s="546"/>
      <c r="P29" s="546"/>
      <c r="Q29" s="546"/>
      <c r="R29" s="546"/>
      <c r="S29" s="546"/>
      <c r="T29" s="546"/>
      <c r="U29" s="422"/>
      <c r="V29" s="546"/>
      <c r="W29" s="546"/>
      <c r="X29" s="546"/>
      <c r="Y29" s="546"/>
      <c r="Z29" s="546"/>
      <c r="AA29" s="546"/>
      <c r="AB29" s="546"/>
      <c r="AC29" s="546"/>
      <c r="AD29" s="546"/>
      <c r="AE29" s="546"/>
      <c r="AF29" s="546"/>
      <c r="AG29" s="546"/>
      <c r="AH29" s="547"/>
      <c r="AI29" s="556"/>
      <c r="AJ29" s="527"/>
      <c r="AK29" s="541"/>
      <c r="AL29" s="519"/>
      <c r="AM29" s="519"/>
    </row>
    <row r="30" spans="1:42" s="557" customFormat="1" x14ac:dyDescent="0.2">
      <c r="A30" s="526"/>
      <c r="B30" s="526"/>
      <c r="C30" s="525" t="s">
        <v>518</v>
      </c>
      <c r="D30" s="526"/>
      <c r="E30" s="526"/>
      <c r="F30" s="545"/>
      <c r="G30" s="422">
        <f t="shared" ref="G30:S30" si="6">+G33+G35+G56+G80</f>
        <v>603388420.00234699</v>
      </c>
      <c r="H30" s="546">
        <f t="shared" si="6"/>
        <v>85315225</v>
      </c>
      <c r="I30" s="546">
        <f t="shared" si="6"/>
        <v>51703301.999999993</v>
      </c>
      <c r="J30" s="546">
        <f t="shared" si="6"/>
        <v>25825543</v>
      </c>
      <c r="K30" s="546">
        <f t="shared" si="6"/>
        <v>95400176</v>
      </c>
      <c r="L30" s="546">
        <f t="shared" si="6"/>
        <v>100083155</v>
      </c>
      <c r="M30" s="546">
        <f t="shared" si="6"/>
        <v>32516240</v>
      </c>
      <c r="N30" s="546">
        <f>+N33+N35+N56+N80</f>
        <v>62963917</v>
      </c>
      <c r="O30" s="546">
        <f>+O33+O35+O56+O80</f>
        <v>21910771</v>
      </c>
      <c r="P30" s="546">
        <f>+P33+P35+P56+P80</f>
        <v>-10985073</v>
      </c>
      <c r="Q30" s="546">
        <f>+Q33+Q35+Q56+Q80</f>
        <v>110001731</v>
      </c>
      <c r="R30" s="546">
        <f t="shared" si="6"/>
        <v>16372215</v>
      </c>
      <c r="S30" s="546">
        <f t="shared" si="6"/>
        <v>-21257289</v>
      </c>
      <c r="T30" s="546">
        <f>(+T33+T35+T56+T80)</f>
        <v>569849913</v>
      </c>
      <c r="U30" s="546">
        <f>+U33+U35+U56+U80+6</f>
        <v>345929185.76511955</v>
      </c>
      <c r="V30" s="546">
        <f>+V33+V35+V56+V80+4</f>
        <v>73147176</v>
      </c>
      <c r="W30" s="546">
        <f>+W33+W35+W56+W80+2</f>
        <v>15882384</v>
      </c>
      <c r="X30" s="546">
        <f t="shared" ref="X30:AF30" si="7">+X33+X35+X56+X80</f>
        <v>-37586260</v>
      </c>
      <c r="Y30" s="546">
        <f t="shared" si="7"/>
        <v>107881385</v>
      </c>
      <c r="Z30" s="546">
        <f t="shared" si="7"/>
        <v>42807692</v>
      </c>
      <c r="AA30" s="546">
        <f t="shared" si="7"/>
        <v>4965191</v>
      </c>
      <c r="AB30" s="546">
        <f t="shared" si="7"/>
        <v>42739156</v>
      </c>
      <c r="AC30" s="546">
        <f t="shared" si="7"/>
        <v>34038811</v>
      </c>
      <c r="AD30" s="546">
        <f t="shared" si="7"/>
        <v>3460161</v>
      </c>
      <c r="AE30" s="546">
        <f t="shared" si="7"/>
        <v>50292526</v>
      </c>
      <c r="AF30" s="546">
        <f t="shared" si="7"/>
        <v>3633028</v>
      </c>
      <c r="AG30" s="546">
        <f>+AG33+AG35+AG56+AG80</f>
        <v>4667935.7651195526</v>
      </c>
      <c r="AH30" s="547">
        <f>(+AH33+AH35+AH56+AH80)+6</f>
        <v>345929185.76511955</v>
      </c>
      <c r="AI30" s="556"/>
      <c r="AJ30" s="527"/>
      <c r="AK30" s="541">
        <f>AH30-U30</f>
        <v>0</v>
      </c>
      <c r="AL30" s="519">
        <f>SUM(V30:AG30)-AH30</f>
        <v>0</v>
      </c>
      <c r="AM30" s="519"/>
      <c r="AN30" s="564">
        <f>U28+U30</f>
        <v>0</v>
      </c>
    </row>
    <row r="31" spans="1:42" s="557" customFormat="1" x14ac:dyDescent="0.2">
      <c r="A31" s="526"/>
      <c r="B31" s="526"/>
      <c r="C31" s="525"/>
      <c r="D31" s="526"/>
      <c r="E31" s="526"/>
      <c r="F31" s="527"/>
      <c r="G31" s="561"/>
      <c r="H31" s="562"/>
      <c r="I31" s="562"/>
      <c r="J31" s="562"/>
      <c r="K31" s="562"/>
      <c r="L31" s="562"/>
      <c r="M31" s="562"/>
      <c r="N31" s="562"/>
      <c r="O31" s="562"/>
      <c r="P31" s="562"/>
      <c r="Q31" s="562"/>
      <c r="R31" s="562"/>
      <c r="S31" s="562"/>
      <c r="T31" s="562"/>
      <c r="U31" s="561"/>
      <c r="V31" s="562"/>
      <c r="W31" s="562"/>
      <c r="X31" s="562"/>
      <c r="Y31" s="562"/>
      <c r="Z31" s="562"/>
      <c r="AA31" s="562"/>
      <c r="AB31" s="562"/>
      <c r="AC31" s="562"/>
      <c r="AD31" s="562"/>
      <c r="AE31" s="562"/>
      <c r="AF31" s="562"/>
      <c r="AG31" s="562"/>
      <c r="AH31" s="563"/>
      <c r="AI31" s="556"/>
      <c r="AJ31" s="527"/>
      <c r="AK31" s="541"/>
      <c r="AL31" s="519"/>
      <c r="AM31" s="519"/>
      <c r="AO31" s="564"/>
    </row>
    <row r="32" spans="1:42" s="557" customFormat="1" x14ac:dyDescent="0.2">
      <c r="A32" s="526"/>
      <c r="B32" s="526"/>
      <c r="C32" s="525"/>
      <c r="D32" s="526"/>
      <c r="E32" s="526"/>
      <c r="F32" s="527"/>
      <c r="G32" s="422"/>
      <c r="H32" s="546"/>
      <c r="I32" s="546"/>
      <c r="J32" s="546"/>
      <c r="K32" s="546"/>
      <c r="L32" s="546"/>
      <c r="M32" s="546"/>
      <c r="N32" s="546"/>
      <c r="O32" s="546"/>
      <c r="P32" s="546"/>
      <c r="Q32" s="546"/>
      <c r="R32" s="546"/>
      <c r="S32" s="546"/>
      <c r="T32" s="546"/>
      <c r="U32" s="422"/>
      <c r="V32" s="546"/>
      <c r="W32" s="546"/>
      <c r="X32" s="546"/>
      <c r="Y32" s="546"/>
      <c r="Z32" s="546"/>
      <c r="AA32" s="546"/>
      <c r="AB32" s="546"/>
      <c r="AC32" s="546"/>
      <c r="AD32" s="546"/>
      <c r="AE32" s="546"/>
      <c r="AF32" s="546"/>
      <c r="AG32" s="546"/>
      <c r="AH32" s="547"/>
      <c r="AI32" s="556"/>
      <c r="AJ32" s="527"/>
      <c r="AK32" s="541"/>
      <c r="AL32" s="519"/>
      <c r="AM32" s="519"/>
    </row>
    <row r="33" spans="1:40" s="557" customFormat="1" x14ac:dyDescent="0.2">
      <c r="A33" s="526"/>
      <c r="B33" s="526"/>
      <c r="C33" s="525" t="s">
        <v>29</v>
      </c>
      <c r="D33" s="526"/>
      <c r="E33" s="526"/>
      <c r="F33" s="527"/>
      <c r="G33" s="422">
        <f>[40]summary!$H$13</f>
        <v>97183520</v>
      </c>
      <c r="H33" s="546">
        <f>[41]summary!$M$13</f>
        <v>37582688</v>
      </c>
      <c r="I33" s="546">
        <f>[42]summary!$R$13</f>
        <v>16125619</v>
      </c>
      <c r="J33" s="546">
        <f>[43]summary!$W$13</f>
        <v>11567828</v>
      </c>
      <c r="K33" s="546">
        <f>[44]summary!$AB$13</f>
        <v>26289577</v>
      </c>
      <c r="L33" s="546">
        <f>[45]summary!$AG$13</f>
        <v>-5974831</v>
      </c>
      <c r="M33" s="546">
        <f>[46]summary!$AL$13</f>
        <v>1315362</v>
      </c>
      <c r="N33" s="546">
        <f>[53]summary!$AQ$13</f>
        <v>31098565</v>
      </c>
      <c r="O33" s="546">
        <f>[52]summary!$AV$13</f>
        <v>295423</v>
      </c>
      <c r="P33" s="546">
        <f>[49]summary!$BA$13</f>
        <v>-33015782</v>
      </c>
      <c r="Q33" s="546">
        <f>[50]summary!$BF$13</f>
        <v>15701292</v>
      </c>
      <c r="R33" s="546">
        <f>[40]summary!$BK$13</f>
        <v>-13560314</v>
      </c>
      <c r="S33" s="546">
        <f>[51]summary!$BP$13</f>
        <v>7899997</v>
      </c>
      <c r="T33" s="546">
        <f>SUM(H33:S33)</f>
        <v>95325424</v>
      </c>
      <c r="U33" s="422">
        <f>[41]summary!$BZ$13</f>
        <v>36077502</v>
      </c>
      <c r="V33" s="546">
        <f>[41]summary!$CE$13</f>
        <v>32089095</v>
      </c>
      <c r="W33" s="546">
        <f>[83]summary!$R$13</f>
        <v>12375928</v>
      </c>
      <c r="X33" s="546">
        <f>[83]summary!$W$13</f>
        <v>21645154</v>
      </c>
      <c r="Y33" s="546">
        <f>[83]summary!$AB$13</f>
        <v>4387554</v>
      </c>
      <c r="Z33" s="546">
        <f>[83]summary!$AG$13</f>
        <v>10613091</v>
      </c>
      <c r="AA33" s="546">
        <f>[83]summary!$AL$13</f>
        <v>-17323880</v>
      </c>
      <c r="AB33" s="546">
        <f>[83]summary!$AQ$13</f>
        <v>7778423</v>
      </c>
      <c r="AC33" s="546">
        <f>[83]summary!$AV$13</f>
        <v>6126860</v>
      </c>
      <c r="AD33" s="546">
        <f>[83]summary!$BA$13</f>
        <v>-16508019</v>
      </c>
      <c r="AE33" s="546">
        <f>[83]summary!$BF$13</f>
        <v>13250851</v>
      </c>
      <c r="AF33" s="546">
        <f>[83]summary!$BK$13</f>
        <v>-2500139</v>
      </c>
      <c r="AG33" s="546">
        <f>[83]summary!$BP$13</f>
        <v>-35857416</v>
      </c>
      <c r="AH33" s="547">
        <f>SUM(V33:AG33)</f>
        <v>36077502</v>
      </c>
      <c r="AI33" s="556"/>
      <c r="AJ33" s="527"/>
      <c r="AK33" s="541">
        <f t="shared" si="4"/>
        <v>0</v>
      </c>
      <c r="AL33" s="519">
        <f t="shared" ref="AL33:AL74" si="8">SUM(V33:AG33)-AH33</f>
        <v>0</v>
      </c>
      <c r="AM33" s="519"/>
    </row>
    <row r="34" spans="1:40" s="557" customFormat="1" x14ac:dyDescent="0.2">
      <c r="A34" s="526"/>
      <c r="B34" s="526"/>
      <c r="C34" s="525"/>
      <c r="D34" s="526"/>
      <c r="E34" s="526"/>
      <c r="F34" s="527"/>
      <c r="G34" s="422"/>
      <c r="H34" s="546"/>
      <c r="I34" s="546"/>
      <c r="J34" s="546"/>
      <c r="K34" s="546"/>
      <c r="L34" s="546"/>
      <c r="M34" s="546"/>
      <c r="N34" s="546"/>
      <c r="O34" s="546"/>
      <c r="P34" s="546"/>
      <c r="Q34" s="546"/>
      <c r="R34" s="546"/>
      <c r="S34" s="546"/>
      <c r="T34" s="546"/>
      <c r="U34" s="422"/>
      <c r="V34" s="546"/>
      <c r="W34" s="546"/>
      <c r="X34" s="546"/>
      <c r="Y34" s="546"/>
      <c r="Z34" s="546"/>
      <c r="AA34" s="546"/>
      <c r="AB34" s="546"/>
      <c r="AC34" s="546"/>
      <c r="AD34" s="546"/>
      <c r="AE34" s="546"/>
      <c r="AF34" s="546"/>
      <c r="AG34" s="546"/>
      <c r="AH34" s="547"/>
      <c r="AI34" s="556"/>
      <c r="AJ34" s="527"/>
      <c r="AK34" s="541"/>
      <c r="AL34" s="519"/>
      <c r="AM34" s="519"/>
    </row>
    <row r="35" spans="1:40" s="557" customFormat="1" x14ac:dyDescent="0.2">
      <c r="A35" s="526"/>
      <c r="B35" s="526"/>
      <c r="C35" s="525" t="s">
        <v>30</v>
      </c>
      <c r="D35" s="526"/>
      <c r="E35" s="526"/>
      <c r="F35" s="527"/>
      <c r="G35" s="422">
        <f>+G37+G44+G49+G53</f>
        <v>465992000</v>
      </c>
      <c r="H35" s="21">
        <f t="shared" ref="H35:AF35" si="9">+H37+H44+H49+H53</f>
        <v>32850713</v>
      </c>
      <c r="I35" s="21">
        <f t="shared" si="9"/>
        <v>40638036.743999995</v>
      </c>
      <c r="J35" s="21">
        <f t="shared" si="9"/>
        <v>43402900</v>
      </c>
      <c r="K35" s="21">
        <f t="shared" si="9"/>
        <v>60600922</v>
      </c>
      <c r="L35" s="21">
        <f t="shared" si="9"/>
        <v>37229982</v>
      </c>
      <c r="M35" s="21">
        <f t="shared" si="9"/>
        <v>50427153</v>
      </c>
      <c r="N35" s="21">
        <f t="shared" si="9"/>
        <v>50571945</v>
      </c>
      <c r="O35" s="21">
        <f t="shared" si="9"/>
        <v>39211461</v>
      </c>
      <c r="P35" s="21">
        <f t="shared" si="9"/>
        <v>45711722</v>
      </c>
      <c r="Q35" s="21">
        <f t="shared" si="9"/>
        <v>34673258</v>
      </c>
      <c r="R35" s="21">
        <f t="shared" si="9"/>
        <v>42446719</v>
      </c>
      <c r="S35" s="21">
        <f t="shared" si="9"/>
        <v>-7569549</v>
      </c>
      <c r="T35" s="546">
        <f t="shared" si="9"/>
        <v>470195262.74399996</v>
      </c>
      <c r="U35" s="422">
        <f t="shared" si="9"/>
        <v>286021581</v>
      </c>
      <c r="V35" s="21">
        <f t="shared" si="9"/>
        <v>19134410</v>
      </c>
      <c r="W35" s="21">
        <f t="shared" si="9"/>
        <v>24383035</v>
      </c>
      <c r="X35" s="21">
        <f t="shared" si="9"/>
        <v>19205091</v>
      </c>
      <c r="Y35" s="21">
        <f t="shared" si="9"/>
        <v>22800224</v>
      </c>
      <c r="Z35" s="21">
        <f t="shared" si="9"/>
        <v>28165310</v>
      </c>
      <c r="AA35" s="21">
        <f t="shared" si="9"/>
        <v>29107369</v>
      </c>
      <c r="AB35" s="21">
        <f t="shared" si="9"/>
        <v>30927020</v>
      </c>
      <c r="AC35" s="21">
        <f t="shared" si="9"/>
        <v>30718792</v>
      </c>
      <c r="AD35" s="21">
        <f t="shared" si="9"/>
        <v>23853310</v>
      </c>
      <c r="AE35" s="21">
        <f t="shared" si="9"/>
        <v>3150815</v>
      </c>
      <c r="AF35" s="21">
        <f t="shared" si="9"/>
        <v>29159155</v>
      </c>
      <c r="AG35" s="21">
        <f>+AG37+AG44+AG49+AG53</f>
        <v>25417050</v>
      </c>
      <c r="AH35" s="547">
        <f>+AH37+AH44+AH49+AH53</f>
        <v>286021581</v>
      </c>
      <c r="AI35" s="556"/>
      <c r="AJ35" s="527"/>
      <c r="AK35" s="565">
        <f>AH35-U35</f>
        <v>0</v>
      </c>
      <c r="AL35" s="519">
        <f>SUM(V35:AG35)-AH35</f>
        <v>0</v>
      </c>
      <c r="AM35" s="519"/>
    </row>
    <row r="36" spans="1:40" x14ac:dyDescent="0.2">
      <c r="A36" s="510"/>
      <c r="B36" s="510"/>
      <c r="C36" s="524"/>
      <c r="D36" s="510"/>
      <c r="E36" s="510"/>
      <c r="F36" s="514"/>
      <c r="G36" s="325"/>
      <c r="H36" s="30"/>
      <c r="I36" s="30"/>
      <c r="J36" s="30"/>
      <c r="K36" s="30"/>
      <c r="L36" s="30"/>
      <c r="M36" s="30"/>
      <c r="N36" s="30"/>
      <c r="O36" s="30"/>
      <c r="P36" s="30"/>
      <c r="Q36" s="30"/>
      <c r="R36" s="30"/>
      <c r="S36" s="30"/>
      <c r="T36" s="30"/>
      <c r="U36" s="325"/>
      <c r="V36" s="30"/>
      <c r="W36" s="30"/>
      <c r="X36" s="30"/>
      <c r="Y36" s="30"/>
      <c r="Z36" s="30"/>
      <c r="AA36" s="30"/>
      <c r="AB36" s="30"/>
      <c r="AC36" s="30"/>
      <c r="AD36" s="30"/>
      <c r="AE36" s="30"/>
      <c r="AF36" s="30"/>
      <c r="AG36" s="30"/>
      <c r="AH36" s="149"/>
      <c r="AI36" s="548"/>
      <c r="AJ36" s="514"/>
      <c r="AK36" s="541"/>
      <c r="AL36" s="519"/>
      <c r="AM36" s="519"/>
    </row>
    <row r="37" spans="1:40" x14ac:dyDescent="0.2">
      <c r="A37" s="510"/>
      <c r="B37" s="510"/>
      <c r="C37" s="524"/>
      <c r="D37" s="510" t="s">
        <v>519</v>
      </c>
      <c r="E37" s="510"/>
      <c r="F37" s="514"/>
      <c r="G37" s="325">
        <f t="shared" ref="G37:U37" si="10">SUM(G38:G42)</f>
        <v>466034575</v>
      </c>
      <c r="H37" s="30">
        <f t="shared" si="10"/>
        <v>32850713</v>
      </c>
      <c r="I37" s="30">
        <f t="shared" si="10"/>
        <v>40638036.743999995</v>
      </c>
      <c r="J37" s="30">
        <f t="shared" si="10"/>
        <v>43402900</v>
      </c>
      <c r="K37" s="30">
        <f t="shared" si="10"/>
        <v>60600922</v>
      </c>
      <c r="L37" s="30">
        <f t="shared" si="10"/>
        <v>37229982</v>
      </c>
      <c r="M37" s="30">
        <f t="shared" si="10"/>
        <v>50427153</v>
      </c>
      <c r="N37" s="30">
        <f t="shared" si="10"/>
        <v>50571945</v>
      </c>
      <c r="O37" s="30">
        <f t="shared" si="10"/>
        <v>39125584</v>
      </c>
      <c r="P37" s="30">
        <f t="shared" si="10"/>
        <v>45797599</v>
      </c>
      <c r="Q37" s="30">
        <f t="shared" si="10"/>
        <v>34673258</v>
      </c>
      <c r="R37" s="30">
        <f>SUM(R38:R42)</f>
        <v>42405005</v>
      </c>
      <c r="S37" s="30">
        <f t="shared" si="10"/>
        <v>-7569549</v>
      </c>
      <c r="T37" s="17">
        <f t="shared" si="10"/>
        <v>470153548.74399996</v>
      </c>
      <c r="U37" s="325">
        <f t="shared" si="10"/>
        <v>286310871</v>
      </c>
      <c r="V37" s="30">
        <f t="shared" ref="V37:AH37" si="11">SUM(V38:V42)</f>
        <v>19134410</v>
      </c>
      <c r="W37" s="30">
        <f t="shared" si="11"/>
        <v>24672325</v>
      </c>
      <c r="X37" s="30">
        <f t="shared" si="11"/>
        <v>19205091</v>
      </c>
      <c r="Y37" s="30">
        <f t="shared" si="11"/>
        <v>22800224</v>
      </c>
      <c r="Z37" s="30">
        <f t="shared" si="11"/>
        <v>28165310</v>
      </c>
      <c r="AA37" s="30">
        <f t="shared" si="11"/>
        <v>29107369</v>
      </c>
      <c r="AB37" s="30">
        <f t="shared" si="11"/>
        <v>30927020</v>
      </c>
      <c r="AC37" s="30">
        <f t="shared" si="11"/>
        <v>30718792</v>
      </c>
      <c r="AD37" s="30">
        <f t="shared" si="11"/>
        <v>23853310</v>
      </c>
      <c r="AE37" s="30">
        <f t="shared" si="11"/>
        <v>3150815</v>
      </c>
      <c r="AF37" s="30">
        <f t="shared" si="11"/>
        <v>29159155</v>
      </c>
      <c r="AG37" s="30">
        <f t="shared" si="11"/>
        <v>25417050</v>
      </c>
      <c r="AH37" s="485">
        <f t="shared" si="11"/>
        <v>286310871</v>
      </c>
      <c r="AI37" s="548"/>
      <c r="AJ37" s="514"/>
      <c r="AK37" s="565">
        <f>AH37-U37</f>
        <v>0</v>
      </c>
      <c r="AL37" s="519">
        <f t="shared" si="8"/>
        <v>0</v>
      </c>
      <c r="AM37" s="519"/>
    </row>
    <row r="38" spans="1:40" x14ac:dyDescent="0.2">
      <c r="A38" s="510"/>
      <c r="B38" s="510"/>
      <c r="C38" s="524"/>
      <c r="D38" s="510"/>
      <c r="E38" s="510" t="s">
        <v>520</v>
      </c>
      <c r="F38" s="514"/>
      <c r="G38" s="274">
        <f>[40]summary!$H$25</f>
        <v>591023575</v>
      </c>
      <c r="H38" s="17">
        <f>[41]summary!$M$25</f>
        <v>38350619</v>
      </c>
      <c r="I38" s="17">
        <f>[42]summary!$R$25</f>
        <v>45031287.743999995</v>
      </c>
      <c r="J38" s="17">
        <f>[43]summary!$W$25</f>
        <v>49600848</v>
      </c>
      <c r="K38" s="17">
        <f>[44]summary!$AB$25</f>
        <v>69933031</v>
      </c>
      <c r="L38" s="17">
        <f>[45]summary!$AG$25</f>
        <v>44319358</v>
      </c>
      <c r="M38" s="17">
        <f>[46]summary!$AL$25</f>
        <v>61486843</v>
      </c>
      <c r="N38" s="17">
        <f>[53]summary!$AQ$25</f>
        <v>59931421</v>
      </c>
      <c r="O38" s="17">
        <f>[52]summary!$AV$25</f>
        <v>46634910</v>
      </c>
      <c r="P38" s="17">
        <f>[49]summary!$BA$25</f>
        <v>52191398</v>
      </c>
      <c r="Q38" s="17">
        <f>[50]summary!$BF$25</f>
        <v>39060638</v>
      </c>
      <c r="R38" s="17">
        <f>[40]summary!$BK$25</f>
        <v>49399464</v>
      </c>
      <c r="S38" s="17">
        <f>[51]summary!$BP$25</f>
        <v>48828037</v>
      </c>
      <c r="T38" s="17">
        <f>SUM(H38:S38)</f>
        <v>604767854.74399996</v>
      </c>
      <c r="U38" s="274">
        <f>[41]summary!$BZ$25</f>
        <v>335517549</v>
      </c>
      <c r="V38" s="17">
        <f>[41]summary!$CE$25</f>
        <v>20725876</v>
      </c>
      <c r="W38" s="17">
        <f>[83]summary!$R$25</f>
        <v>26579251</v>
      </c>
      <c r="X38" s="17">
        <f>[83]summary!$W$25</f>
        <v>21124207</v>
      </c>
      <c r="Y38" s="17">
        <f>[83]summary!$AB$25</f>
        <v>24760828</v>
      </c>
      <c r="Z38" s="17">
        <f>[83]summary!$AG$25</f>
        <v>30904734</v>
      </c>
      <c r="AA38" s="17">
        <f>[83]summary!$AL$25</f>
        <v>32089447</v>
      </c>
      <c r="AB38" s="17">
        <f>[83]summary!$AQ$25</f>
        <v>33970885</v>
      </c>
      <c r="AC38" s="17">
        <f>[83]summary!$AV$25</f>
        <v>34588835</v>
      </c>
      <c r="AD38" s="17">
        <f>[83]summary!$BA$25</f>
        <v>26476333</v>
      </c>
      <c r="AE38" s="17">
        <f>[83]summary!$BF$25</f>
        <v>21562772</v>
      </c>
      <c r="AF38" s="17">
        <f>[83]summary!$BK$25</f>
        <v>32267535</v>
      </c>
      <c r="AG38" s="17">
        <f>[83]summary!$BP$25</f>
        <v>30466846</v>
      </c>
      <c r="AH38" s="485">
        <f>SUM(V38:AG38)</f>
        <v>335517549</v>
      </c>
      <c r="AI38" s="548"/>
      <c r="AJ38" s="514"/>
      <c r="AK38" s="565">
        <f>AH38-U38</f>
        <v>0</v>
      </c>
      <c r="AL38" s="519">
        <f t="shared" si="8"/>
        <v>0</v>
      </c>
      <c r="AM38" s="519"/>
    </row>
    <row r="39" spans="1:40" x14ac:dyDescent="0.2">
      <c r="A39" s="510"/>
      <c r="B39" s="510"/>
      <c r="C39" s="524"/>
      <c r="D39" s="510"/>
      <c r="E39" s="510" t="s">
        <v>521</v>
      </c>
      <c r="F39" s="514"/>
      <c r="G39" s="274">
        <f>[40]summary!$H$26</f>
        <v>-72524000</v>
      </c>
      <c r="H39" s="17">
        <f>[41]summary!$M$26</f>
        <v>-4299769</v>
      </c>
      <c r="I39" s="17">
        <f>[42]summary!$R$26</f>
        <v>-4058204</v>
      </c>
      <c r="J39" s="17">
        <f>[43]summary!$W$26</f>
        <v>-6085389</v>
      </c>
      <c r="K39" s="17">
        <f>[44]summary!$AB$26</f>
        <v>-8992564</v>
      </c>
      <c r="L39" s="17">
        <f>[45]summary!$AG$26</f>
        <v>-6877121</v>
      </c>
      <c r="M39" s="17">
        <f>[46]summary!$AL$26</f>
        <v>-10836667</v>
      </c>
      <c r="N39" s="17">
        <f>[53]summary!$AQ$26</f>
        <v>-9026146</v>
      </c>
      <c r="O39" s="17">
        <f>[52]summary!$AV$26</f>
        <v>-7195171</v>
      </c>
      <c r="P39" s="17">
        <f>[49]summary!$BA$26</f>
        <v>-6333842</v>
      </c>
      <c r="Q39" s="17">
        <f>[50]summary!$BF$26</f>
        <v>-3989426</v>
      </c>
      <c r="R39" s="17">
        <f>[40]summary!$BK$26</f>
        <v>-6713436</v>
      </c>
      <c r="S39" s="17">
        <f>[51]summary!$BP$26</f>
        <v>-6983980</v>
      </c>
      <c r="T39" s="17">
        <f>SUM(H39:S39)</f>
        <v>-81391715</v>
      </c>
      <c r="U39" s="274">
        <f>[41]summary!$BZ$26</f>
        <v>-29779023</v>
      </c>
      <c r="V39" s="17">
        <f>[41]summary!$CE$26</f>
        <v>-1256954</v>
      </c>
      <c r="W39" s="17">
        <f>[83]summary!$R$26</f>
        <v>-1652532</v>
      </c>
      <c r="X39" s="17">
        <f>[83]summary!$W$26</f>
        <v>-1668026</v>
      </c>
      <c r="Y39" s="17">
        <f>[83]summary!$AB$26</f>
        <v>-1721005</v>
      </c>
      <c r="Z39" s="17">
        <f>[83]summary!$AG$26</f>
        <v>-2422421</v>
      </c>
      <c r="AA39" s="17">
        <f>[83]summary!$AL$26</f>
        <v>-2517677</v>
      </c>
      <c r="AB39" s="17">
        <f>[83]summary!$AQ$26</f>
        <v>-2852893</v>
      </c>
      <c r="AC39" s="17">
        <f>[83]summary!$AV$26</f>
        <v>-3497342</v>
      </c>
      <c r="AD39" s="17">
        <f>[83]summary!$BA$26</f>
        <v>-2287072</v>
      </c>
      <c r="AE39" s="17">
        <f>[83]summary!$BF$26</f>
        <v>-2282238</v>
      </c>
      <c r="AF39" s="17">
        <f>[83]summary!$BK$26</f>
        <v>-2868557</v>
      </c>
      <c r="AG39" s="17">
        <f>[83]summary!$BP$26</f>
        <v>-4752306</v>
      </c>
      <c r="AH39" s="485">
        <f>SUM(V39:AG39)</f>
        <v>-29779023</v>
      </c>
      <c r="AI39" s="548"/>
      <c r="AJ39" s="514"/>
      <c r="AK39" s="565">
        <f t="shared" si="4"/>
        <v>0</v>
      </c>
      <c r="AL39" s="519">
        <f t="shared" si="8"/>
        <v>0</v>
      </c>
      <c r="AM39" s="519"/>
    </row>
    <row r="40" spans="1:40" hidden="1" x14ac:dyDescent="0.2">
      <c r="A40" s="510"/>
      <c r="B40" s="510"/>
      <c r="C40" s="524"/>
      <c r="D40" s="510"/>
      <c r="E40" s="510" t="s">
        <v>522</v>
      </c>
      <c r="F40" s="514"/>
      <c r="G40" s="274"/>
      <c r="H40" s="17"/>
      <c r="I40" s="17"/>
      <c r="J40" s="17"/>
      <c r="K40" s="17"/>
      <c r="L40" s="17"/>
      <c r="M40" s="17"/>
      <c r="N40" s="17"/>
      <c r="O40" s="17"/>
      <c r="P40" s="17"/>
      <c r="Q40" s="17"/>
      <c r="R40" s="17"/>
      <c r="S40" s="17"/>
      <c r="T40" s="17"/>
      <c r="U40" s="274"/>
      <c r="V40" s="17"/>
      <c r="W40" s="17"/>
      <c r="X40" s="17"/>
      <c r="Y40" s="17"/>
      <c r="Z40" s="17"/>
      <c r="AA40" s="17"/>
      <c r="AB40" s="17"/>
      <c r="AC40" s="17"/>
      <c r="AD40" s="17"/>
      <c r="AE40" s="17"/>
      <c r="AF40" s="17"/>
      <c r="AG40" s="17"/>
      <c r="AH40" s="485">
        <f>SUM(V40:AG40)</f>
        <v>0</v>
      </c>
      <c r="AI40" s="548"/>
      <c r="AJ40" s="514"/>
      <c r="AK40" s="541"/>
      <c r="AL40" s="519"/>
      <c r="AM40" s="519"/>
    </row>
    <row r="41" spans="1:40" x14ac:dyDescent="0.2">
      <c r="A41" s="510"/>
      <c r="B41" s="510"/>
      <c r="C41" s="524"/>
      <c r="D41" s="510"/>
      <c r="E41" s="510" t="s">
        <v>465</v>
      </c>
      <c r="F41" s="514"/>
      <c r="G41" s="274">
        <f>[40]summary!$H$27</f>
        <v>-52465000</v>
      </c>
      <c r="H41" s="17">
        <f>[41]summary!$M$28</f>
        <v>-1200137</v>
      </c>
      <c r="I41" s="17">
        <f>+[42]summary!$R$27</f>
        <v>-335047</v>
      </c>
      <c r="J41" s="17">
        <f>[43]summary!$W$27</f>
        <v>-112559</v>
      </c>
      <c r="K41" s="17">
        <f>[44]summary!$AB$27</f>
        <v>-339545</v>
      </c>
      <c r="L41" s="17">
        <f>[45]summary!$AG$27</f>
        <v>-212255</v>
      </c>
      <c r="M41" s="17">
        <f>[46]summary!$AL$27</f>
        <v>-223023</v>
      </c>
      <c r="N41" s="17">
        <f>[53]summary!$AQ$27</f>
        <v>-333330</v>
      </c>
      <c r="O41" s="17">
        <f>[52]summary!$AV$27</f>
        <v>-314155</v>
      </c>
      <c r="P41" s="17">
        <f>[49]summary!$BA$27</f>
        <v>-59957</v>
      </c>
      <c r="Q41" s="17">
        <f>[50]summary!$BF$27</f>
        <v>-397954</v>
      </c>
      <c r="R41" s="17">
        <f>[40]summary!$BK$27</f>
        <v>-281023</v>
      </c>
      <c r="S41" s="17">
        <f>[51]summary!$BP$27</f>
        <v>-49413606</v>
      </c>
      <c r="T41" s="17">
        <f>SUM(H41:S41)</f>
        <v>-53222591</v>
      </c>
      <c r="U41" s="274">
        <f>[41]summary!$BZ$28</f>
        <v>-19427655</v>
      </c>
      <c r="V41" s="17">
        <f>[41]summary!$CE$28</f>
        <v>-334512</v>
      </c>
      <c r="W41" s="17">
        <f>[83]summary!$R$28</f>
        <v>-254394</v>
      </c>
      <c r="X41" s="17">
        <f>[83]summary!$W$28</f>
        <v>-251090</v>
      </c>
      <c r="Y41" s="17">
        <f>[83]summary!$AB$28</f>
        <v>-239599</v>
      </c>
      <c r="Z41" s="17">
        <f>[83]summary!$AG$28</f>
        <v>-317003</v>
      </c>
      <c r="AA41" s="17">
        <f>[83]summary!$AL$28</f>
        <v>-464401</v>
      </c>
      <c r="AB41" s="17">
        <f>[83]summary!$AQ$28</f>
        <v>-190972</v>
      </c>
      <c r="AC41" s="17">
        <f>[83]summary!$AV$28</f>
        <v>-372701</v>
      </c>
      <c r="AD41" s="17">
        <f>[83]summary!$BA$28</f>
        <v>-335951</v>
      </c>
      <c r="AE41" s="17">
        <f>[83]summary!$BF$28</f>
        <v>-16129719</v>
      </c>
      <c r="AF41" s="17">
        <f>[83]summary!$BK$28</f>
        <v>-239823</v>
      </c>
      <c r="AG41" s="17">
        <f>[83]summary!$BP$28</f>
        <v>-297490</v>
      </c>
      <c r="AH41" s="485">
        <f>SUM(V41:AG41)</f>
        <v>-19427655</v>
      </c>
      <c r="AI41" s="548"/>
      <c r="AJ41" s="514"/>
      <c r="AK41" s="541">
        <f t="shared" si="4"/>
        <v>0</v>
      </c>
      <c r="AL41" s="519">
        <f t="shared" si="8"/>
        <v>0</v>
      </c>
      <c r="AM41" s="519"/>
    </row>
    <row r="42" spans="1:40" hidden="1" x14ac:dyDescent="0.2">
      <c r="A42" s="510"/>
      <c r="B42" s="510"/>
      <c r="C42" s="524"/>
      <c r="D42" s="510"/>
      <c r="E42" s="510" t="s">
        <v>523</v>
      </c>
      <c r="F42" s="514"/>
      <c r="G42" s="274">
        <v>0</v>
      </c>
      <c r="H42" s="17">
        <v>0</v>
      </c>
      <c r="I42" s="17">
        <v>0</v>
      </c>
      <c r="J42" s="17">
        <v>0</v>
      </c>
      <c r="K42" s="17">
        <v>0</v>
      </c>
      <c r="L42" s="17">
        <v>0</v>
      </c>
      <c r="M42" s="17">
        <v>0</v>
      </c>
      <c r="N42" s="17">
        <v>0</v>
      </c>
      <c r="O42" s="17">
        <v>0</v>
      </c>
      <c r="P42" s="17">
        <v>0</v>
      </c>
      <c r="Q42" s="17">
        <v>0</v>
      </c>
      <c r="R42" s="17">
        <v>0</v>
      </c>
      <c r="S42" s="17">
        <v>0</v>
      </c>
      <c r="T42" s="17">
        <f>SUM(H42:S42)</f>
        <v>0</v>
      </c>
      <c r="U42" s="274">
        <v>0</v>
      </c>
      <c r="V42" s="17">
        <v>0</v>
      </c>
      <c r="W42" s="17">
        <v>0</v>
      </c>
      <c r="X42" s="17">
        <v>0</v>
      </c>
      <c r="Y42" s="17">
        <v>0</v>
      </c>
      <c r="Z42" s="17">
        <v>0</v>
      </c>
      <c r="AA42" s="17">
        <v>0</v>
      </c>
      <c r="AB42" s="17">
        <v>0</v>
      </c>
      <c r="AC42" s="17">
        <v>0</v>
      </c>
      <c r="AD42" s="17">
        <v>0</v>
      </c>
      <c r="AE42" s="17">
        <v>0</v>
      </c>
      <c r="AF42" s="17">
        <v>0</v>
      </c>
      <c r="AG42" s="17">
        <v>0</v>
      </c>
      <c r="AH42" s="485">
        <f>SUM(V42:AG42)</f>
        <v>0</v>
      </c>
      <c r="AI42" s="548"/>
      <c r="AJ42" s="514"/>
      <c r="AK42" s="541">
        <f t="shared" si="4"/>
        <v>0</v>
      </c>
      <c r="AL42" s="519">
        <f t="shared" si="8"/>
        <v>0</v>
      </c>
      <c r="AM42" s="519"/>
    </row>
    <row r="43" spans="1:40" x14ac:dyDescent="0.2">
      <c r="A43" s="510"/>
      <c r="B43" s="510"/>
      <c r="C43" s="524"/>
      <c r="D43" s="510"/>
      <c r="E43" s="510"/>
      <c r="F43" s="514"/>
      <c r="G43" s="274"/>
      <c r="H43" s="17"/>
      <c r="I43" s="17"/>
      <c r="J43" s="17"/>
      <c r="K43" s="17"/>
      <c r="L43" s="17"/>
      <c r="M43" s="17"/>
      <c r="N43" s="17"/>
      <c r="O43" s="17"/>
      <c r="P43" s="17"/>
      <c r="Q43" s="17"/>
      <c r="R43" s="17"/>
      <c r="S43" s="17"/>
      <c r="T43" s="17"/>
      <c r="U43" s="274"/>
      <c r="V43" s="17"/>
      <c r="W43" s="17"/>
      <c r="X43" s="17"/>
      <c r="Y43" s="17"/>
      <c r="Z43" s="17"/>
      <c r="AA43" s="17"/>
      <c r="AB43" s="17"/>
      <c r="AC43" s="17"/>
      <c r="AD43" s="17"/>
      <c r="AE43" s="17"/>
      <c r="AF43" s="17"/>
      <c r="AG43" s="17"/>
      <c r="AH43" s="485"/>
      <c r="AI43" s="548"/>
      <c r="AJ43" s="514"/>
      <c r="AK43" s="541"/>
      <c r="AL43" s="519"/>
      <c r="AM43" s="519"/>
    </row>
    <row r="44" spans="1:40" x14ac:dyDescent="0.2">
      <c r="A44" s="510"/>
      <c r="B44" s="510"/>
      <c r="C44" s="524"/>
      <c r="D44" s="510" t="s">
        <v>524</v>
      </c>
      <c r="E44" s="510"/>
      <c r="F44" s="514"/>
      <c r="G44" s="274">
        <f>SUM(G45:G47)</f>
        <v>-42575</v>
      </c>
      <c r="H44" s="30">
        <f>SUM(H45:H47)</f>
        <v>0</v>
      </c>
      <c r="I44" s="30">
        <f>SUM(I45:I47)</f>
        <v>0</v>
      </c>
      <c r="J44" s="30">
        <f>SUM(J45:J47)</f>
        <v>0</v>
      </c>
      <c r="K44" s="30">
        <f>SUM(K45:K47)</f>
        <v>0</v>
      </c>
      <c r="L44" s="30">
        <f t="shared" ref="L44:Q44" si="12">SUM(L45:L47)</f>
        <v>0</v>
      </c>
      <c r="M44" s="30">
        <f>SUM(M45:M47)</f>
        <v>0</v>
      </c>
      <c r="N44" s="30">
        <f t="shared" si="12"/>
        <v>0</v>
      </c>
      <c r="O44" s="30">
        <f t="shared" si="12"/>
        <v>0</v>
      </c>
      <c r="P44" s="30">
        <f t="shared" si="12"/>
        <v>0</v>
      </c>
      <c r="Q44" s="30">
        <f t="shared" si="12"/>
        <v>0</v>
      </c>
      <c r="R44" s="30">
        <f>SUM(R45:R47)</f>
        <v>41714</v>
      </c>
      <c r="S44" s="30">
        <f>SUM(S45:S47)</f>
        <v>0</v>
      </c>
      <c r="T44" s="17">
        <f>SUM(T45:T47)</f>
        <v>41714</v>
      </c>
      <c r="U44" s="274">
        <f>SUM(U45:U47)</f>
        <v>-289290</v>
      </c>
      <c r="V44" s="30">
        <f>SUM(V45:V47)</f>
        <v>0</v>
      </c>
      <c r="W44" s="30">
        <f t="shared" ref="W44:AG44" si="13">SUM(W45:W47)</f>
        <v>-289290</v>
      </c>
      <c r="X44" s="30">
        <f t="shared" si="13"/>
        <v>0</v>
      </c>
      <c r="Y44" s="30">
        <f t="shared" si="13"/>
        <v>0</v>
      </c>
      <c r="Z44" s="30">
        <f t="shared" si="13"/>
        <v>0</v>
      </c>
      <c r="AA44" s="30">
        <f t="shared" si="13"/>
        <v>0</v>
      </c>
      <c r="AB44" s="30">
        <f t="shared" si="13"/>
        <v>0</v>
      </c>
      <c r="AC44" s="30">
        <f t="shared" si="13"/>
        <v>0</v>
      </c>
      <c r="AD44" s="30">
        <f t="shared" si="13"/>
        <v>0</v>
      </c>
      <c r="AE44" s="30">
        <f t="shared" si="13"/>
        <v>0</v>
      </c>
      <c r="AF44" s="30">
        <f t="shared" si="13"/>
        <v>0</v>
      </c>
      <c r="AG44" s="30">
        <f t="shared" si="13"/>
        <v>0</v>
      </c>
      <c r="AH44" s="485">
        <f>SUM(AH45:AH47)</f>
        <v>-289290</v>
      </c>
      <c r="AI44" s="548"/>
      <c r="AJ44" s="514"/>
      <c r="AK44" s="541">
        <f t="shared" si="4"/>
        <v>0</v>
      </c>
      <c r="AL44" s="519">
        <f t="shared" si="8"/>
        <v>0</v>
      </c>
      <c r="AM44" s="519"/>
    </row>
    <row r="45" spans="1:40" x14ac:dyDescent="0.2">
      <c r="A45" s="510"/>
      <c r="B45" s="510"/>
      <c r="C45" s="524"/>
      <c r="D45" s="510"/>
      <c r="E45" s="510" t="s">
        <v>520</v>
      </c>
      <c r="F45" s="514"/>
      <c r="G45" s="274">
        <f>[40]summary!$H$31</f>
        <v>5243353</v>
      </c>
      <c r="H45" s="17">
        <f>[41]summary!$M$32</f>
        <v>0</v>
      </c>
      <c r="I45" s="17">
        <f>[42]summary!$R$32</f>
        <v>0</v>
      </c>
      <c r="J45" s="17">
        <f>[43]summary!$W$31</f>
        <v>0</v>
      </c>
      <c r="K45" s="17">
        <f>[44]summary!$AB$31</f>
        <v>0</v>
      </c>
      <c r="L45" s="17">
        <f>[45]summary!$AG$31</f>
        <v>0</v>
      </c>
      <c r="M45" s="17">
        <f>[46]summary!$AL$31</f>
        <v>0</v>
      </c>
      <c r="N45" s="17">
        <f>[53]summary!$AQ$31</f>
        <v>0</v>
      </c>
      <c r="O45" s="17">
        <f>[52]summary!$AV$31</f>
        <v>0</v>
      </c>
      <c r="P45" s="17">
        <f>[49]summary!$BA$31</f>
        <v>0</v>
      </c>
      <c r="Q45" s="17">
        <f>[50]summary!$BF$31</f>
        <v>0</v>
      </c>
      <c r="R45" s="17">
        <f>[40]summary!$BK$31</f>
        <v>7577210</v>
      </c>
      <c r="S45" s="17">
        <f>[51]summary!$BP$31</f>
        <v>0</v>
      </c>
      <c r="T45" s="17">
        <f>SUM(H45:S45)</f>
        <v>7577210</v>
      </c>
      <c r="U45" s="274">
        <f>[41]summary!$BZ$32</f>
        <v>14152656</v>
      </c>
      <c r="V45" s="17">
        <f>[41]summary!$CE$32</f>
        <v>0</v>
      </c>
      <c r="W45" s="17">
        <f>[83]summary!$R$32</f>
        <v>14152656</v>
      </c>
      <c r="X45" s="17">
        <f>[84]summary!$W$32</f>
        <v>0</v>
      </c>
      <c r="Y45" s="17">
        <f>[85]summary!$AB$32</f>
        <v>0</v>
      </c>
      <c r="Z45" s="17">
        <f>[86]summary!$AG$32</f>
        <v>0</v>
      </c>
      <c r="AA45" s="17">
        <f>[87]summary!$AL$32</f>
        <v>0</v>
      </c>
      <c r="AB45" s="17">
        <f>[88]summary!$AQ$32</f>
        <v>0</v>
      </c>
      <c r="AC45" s="17">
        <f>[89]summary!$AV$32</f>
        <v>0</v>
      </c>
      <c r="AD45" s="17">
        <f>[90]summary!$BA$32</f>
        <v>0</v>
      </c>
      <c r="AE45" s="17">
        <f>[91]summary!$BF$32</f>
        <v>0</v>
      </c>
      <c r="AF45" s="17">
        <f>[92]summary!$BK$32</f>
        <v>0</v>
      </c>
      <c r="AG45" s="17">
        <f>[83]summary!$BP$32</f>
        <v>0</v>
      </c>
      <c r="AH45" s="485">
        <f>SUM(V45:AG45)</f>
        <v>14152656</v>
      </c>
      <c r="AI45" s="548"/>
      <c r="AJ45" s="514"/>
      <c r="AK45" s="541">
        <f t="shared" si="4"/>
        <v>0</v>
      </c>
      <c r="AL45" s="519">
        <f t="shared" si="8"/>
        <v>0</v>
      </c>
      <c r="AM45" s="519"/>
    </row>
    <row r="46" spans="1:40" x14ac:dyDescent="0.2">
      <c r="A46" s="510"/>
      <c r="B46" s="510"/>
      <c r="C46" s="524"/>
      <c r="D46" s="510"/>
      <c r="E46" s="510" t="s">
        <v>521</v>
      </c>
      <c r="F46" s="514"/>
      <c r="G46" s="274">
        <f>[40]summary!$H$32</f>
        <v>-405928</v>
      </c>
      <c r="H46" s="17">
        <f>[41]summary!$M$33</f>
        <v>0</v>
      </c>
      <c r="I46" s="17">
        <f>[42]summary!$R$33</f>
        <v>0</v>
      </c>
      <c r="J46" s="17">
        <f>[43]summary!$W$32</f>
        <v>0</v>
      </c>
      <c r="K46" s="17">
        <f>[44]summary!$AB$32</f>
        <v>0</v>
      </c>
      <c r="L46" s="17">
        <f>[45]summary!$AG$32</f>
        <v>0</v>
      </c>
      <c r="M46" s="17">
        <f>[46]summary!$AL$32</f>
        <v>0</v>
      </c>
      <c r="N46" s="17">
        <f>[53]summary!$AQ$32</f>
        <v>0</v>
      </c>
      <c r="O46" s="17">
        <f>[52]summary!$AV$32</f>
        <v>0</v>
      </c>
      <c r="P46" s="17">
        <f>[49]summary!$BA$32</f>
        <v>0</v>
      </c>
      <c r="Q46" s="17">
        <f>[50]summary!$BF$32</f>
        <v>0</v>
      </c>
      <c r="R46" s="17">
        <f>[40]summary!$BK$32</f>
        <v>-730496</v>
      </c>
      <c r="S46" s="17">
        <f>[51]summary!$BP$32</f>
        <v>0</v>
      </c>
      <c r="T46" s="17">
        <f>SUM(H46:S46)</f>
        <v>-730496</v>
      </c>
      <c r="U46" s="274">
        <f>[41]summary!$BZ$33</f>
        <v>-1646946</v>
      </c>
      <c r="V46" s="17">
        <f>[41]summary!$CE$33</f>
        <v>0</v>
      </c>
      <c r="W46" s="17">
        <f>[83]summary!$R$33</f>
        <v>-1646946</v>
      </c>
      <c r="X46" s="17">
        <f>[84]summary!$W$33</f>
        <v>0</v>
      </c>
      <c r="Y46" s="17">
        <f>[85]summary!$AB$33</f>
        <v>0</v>
      </c>
      <c r="Z46" s="17">
        <f>[86]summary!$AG$33</f>
        <v>0</v>
      </c>
      <c r="AA46" s="17">
        <f>[87]summary!$AL$33</f>
        <v>0</v>
      </c>
      <c r="AB46" s="17">
        <f>[88]summary!$AQ$33</f>
        <v>0</v>
      </c>
      <c r="AC46" s="17">
        <f>[89]summary!$AV$33</f>
        <v>0</v>
      </c>
      <c r="AD46" s="17">
        <f>[90]summary!$BA$33</f>
        <v>0</v>
      </c>
      <c r="AE46" s="17">
        <f>[91]summary!$BF$33</f>
        <v>0</v>
      </c>
      <c r="AF46" s="17">
        <f>[92]summary!$BK$33</f>
        <v>0</v>
      </c>
      <c r="AG46" s="17">
        <f>[83]summary!$BP$33</f>
        <v>0</v>
      </c>
      <c r="AH46" s="485">
        <f>SUM(V46:AG46)</f>
        <v>-1646946</v>
      </c>
      <c r="AI46" s="548"/>
      <c r="AJ46" s="514"/>
      <c r="AK46" s="541">
        <f t="shared" si="4"/>
        <v>0</v>
      </c>
      <c r="AL46" s="519">
        <f t="shared" si="8"/>
        <v>0</v>
      </c>
      <c r="AM46" s="519"/>
      <c r="AN46" s="519"/>
    </row>
    <row r="47" spans="1:40" x14ac:dyDescent="0.2">
      <c r="A47" s="510"/>
      <c r="B47" s="510"/>
      <c r="C47" s="524"/>
      <c r="D47" s="510"/>
      <c r="E47" s="510" t="s">
        <v>525</v>
      </c>
      <c r="F47" s="514"/>
      <c r="G47" s="274">
        <f>[40]summary!$H$33</f>
        <v>-4880000</v>
      </c>
      <c r="H47" s="17">
        <f>[41]summary!$M$34</f>
        <v>0</v>
      </c>
      <c r="I47" s="17">
        <f>[42]summary!$R$34</f>
        <v>0</v>
      </c>
      <c r="J47" s="17">
        <f>[43]summary!$W$33</f>
        <v>0</v>
      </c>
      <c r="K47" s="17">
        <f>[44]summary!$AB$33</f>
        <v>0</v>
      </c>
      <c r="L47" s="17">
        <f>[45]summary!$AG$33</f>
        <v>0</v>
      </c>
      <c r="M47" s="17">
        <f>[46]summary!$AL$33</f>
        <v>0</v>
      </c>
      <c r="N47" s="17">
        <f>[53]summary!$AQ$33</f>
        <v>0</v>
      </c>
      <c r="O47" s="17">
        <f>[52]summary!$AV$33</f>
        <v>0</v>
      </c>
      <c r="P47" s="17">
        <f>[49]summary!$BA$33</f>
        <v>0</v>
      </c>
      <c r="Q47" s="17">
        <f>[50]summary!$BF$33</f>
        <v>0</v>
      </c>
      <c r="R47" s="17">
        <f>[40]summary!$BK$33</f>
        <v>-6805000</v>
      </c>
      <c r="S47" s="17">
        <f>[51]summary!$BP$33</f>
        <v>0</v>
      </c>
      <c r="T47" s="17">
        <f>SUM(H47:S47)</f>
        <v>-6805000</v>
      </c>
      <c r="U47" s="274">
        <f>[41]summary!$BZ$34</f>
        <v>-12795000</v>
      </c>
      <c r="V47" s="17">
        <f>[41]summary!$CE$34</f>
        <v>0</v>
      </c>
      <c r="W47" s="17">
        <f>[83]summary!$R$34</f>
        <v>-12795000</v>
      </c>
      <c r="X47" s="17">
        <f>[84]summary!$W$34</f>
        <v>0</v>
      </c>
      <c r="Y47" s="17">
        <f>[85]summary!$AB$34</f>
        <v>0</v>
      </c>
      <c r="Z47" s="17">
        <f>[86]summary!$AG$34</f>
        <v>0</v>
      </c>
      <c r="AA47" s="17">
        <f>[87]summary!$AL$34</f>
        <v>0</v>
      </c>
      <c r="AB47" s="17">
        <f>[88]summary!$AQ$34</f>
        <v>0</v>
      </c>
      <c r="AC47" s="17">
        <f>[89]summary!$AV$34</f>
        <v>0</v>
      </c>
      <c r="AD47" s="17">
        <f>[90]summary!$BA$34</f>
        <v>0</v>
      </c>
      <c r="AE47" s="17">
        <f>[91]summary!$BF$34</f>
        <v>0</v>
      </c>
      <c r="AF47" s="17">
        <f>[92]summary!$BK$34</f>
        <v>0</v>
      </c>
      <c r="AG47" s="17">
        <f>[83]summary!$BP$34</f>
        <v>0</v>
      </c>
      <c r="AH47" s="485">
        <f>SUM(V47:AG47)</f>
        <v>-12795000</v>
      </c>
      <c r="AI47" s="548"/>
      <c r="AJ47" s="514"/>
      <c r="AK47" s="541">
        <f t="shared" si="4"/>
        <v>0</v>
      </c>
      <c r="AL47" s="519">
        <f t="shared" si="8"/>
        <v>0</v>
      </c>
      <c r="AM47" s="519"/>
    </row>
    <row r="48" spans="1:40" x14ac:dyDescent="0.2">
      <c r="A48" s="510"/>
      <c r="B48" s="510"/>
      <c r="C48" s="524"/>
      <c r="D48" s="510"/>
      <c r="E48" s="510"/>
      <c r="F48" s="514"/>
      <c r="G48" s="274"/>
      <c r="H48" s="17"/>
      <c r="I48" s="17"/>
      <c r="J48" s="17"/>
      <c r="K48" s="17"/>
      <c r="L48" s="17"/>
      <c r="M48" s="17"/>
      <c r="N48" s="17"/>
      <c r="O48" s="17"/>
      <c r="P48" s="17"/>
      <c r="Q48" s="17"/>
      <c r="R48" s="17"/>
      <c r="S48" s="17"/>
      <c r="T48" s="17"/>
      <c r="U48" s="274"/>
      <c r="V48" s="17"/>
      <c r="W48" s="17"/>
      <c r="X48" s="17"/>
      <c r="Y48" s="17"/>
      <c r="Z48" s="17"/>
      <c r="AA48" s="17"/>
      <c r="AB48" s="17"/>
      <c r="AC48" s="17"/>
      <c r="AD48" s="17"/>
      <c r="AE48" s="17"/>
      <c r="AF48" s="17"/>
      <c r="AG48" s="17"/>
      <c r="AH48" s="485"/>
      <c r="AI48" s="548"/>
      <c r="AJ48" s="514"/>
      <c r="AK48" s="541"/>
      <c r="AL48" s="519"/>
      <c r="AM48" s="519"/>
    </row>
    <row r="49" spans="1:39" x14ac:dyDescent="0.2">
      <c r="A49" s="510"/>
      <c r="B49" s="510"/>
      <c r="C49" s="524"/>
      <c r="D49" s="510" t="s">
        <v>526</v>
      </c>
      <c r="E49" s="510"/>
      <c r="F49" s="514"/>
      <c r="G49" s="274">
        <f t="shared" ref="G49:T49" si="14">SUM(G50:G51)</f>
        <v>0</v>
      </c>
      <c r="H49" s="30">
        <f t="shared" si="14"/>
        <v>0</v>
      </c>
      <c r="I49" s="30">
        <f>SUM(I50:I51)</f>
        <v>0</v>
      </c>
      <c r="J49" s="30">
        <f>SUM(J50:J51)</f>
        <v>0</v>
      </c>
      <c r="K49" s="30">
        <f>SUM(K50:K51)</f>
        <v>0</v>
      </c>
      <c r="L49" s="30">
        <f t="shared" si="14"/>
        <v>0</v>
      </c>
      <c r="M49" s="30">
        <f t="shared" si="14"/>
        <v>0</v>
      </c>
      <c r="N49" s="30">
        <f t="shared" si="14"/>
        <v>0</v>
      </c>
      <c r="O49" s="30">
        <f t="shared" si="14"/>
        <v>85877</v>
      </c>
      <c r="P49" s="30">
        <f t="shared" si="14"/>
        <v>-85877</v>
      </c>
      <c r="Q49" s="30">
        <f t="shared" si="14"/>
        <v>0</v>
      </c>
      <c r="R49" s="30">
        <f t="shared" si="14"/>
        <v>0</v>
      </c>
      <c r="S49" s="30">
        <f>SUM(S50:S51)</f>
        <v>0</v>
      </c>
      <c r="T49" s="17">
        <f t="shared" si="14"/>
        <v>0</v>
      </c>
      <c r="U49" s="274">
        <f>SUM(U50:U51)</f>
        <v>0</v>
      </c>
      <c r="V49" s="30">
        <f>SUM(V50:V51)</f>
        <v>0</v>
      </c>
      <c r="W49" s="30">
        <f>SUM(W50:W51)</f>
        <v>0</v>
      </c>
      <c r="X49" s="30">
        <f>SUM(X50:X51)</f>
        <v>0</v>
      </c>
      <c r="Y49" s="30">
        <f>SUM(Y50:Y51)</f>
        <v>0</v>
      </c>
      <c r="Z49" s="30">
        <f t="shared" ref="Z49:AG49" si="15">SUM(Z50:Z51)</f>
        <v>0</v>
      </c>
      <c r="AA49" s="30">
        <f t="shared" si="15"/>
        <v>0</v>
      </c>
      <c r="AB49" s="30">
        <f t="shared" si="15"/>
        <v>0</v>
      </c>
      <c r="AC49" s="30">
        <f t="shared" si="15"/>
        <v>0</v>
      </c>
      <c r="AD49" s="30">
        <f t="shared" si="15"/>
        <v>0</v>
      </c>
      <c r="AE49" s="30">
        <f t="shared" si="15"/>
        <v>0</v>
      </c>
      <c r="AF49" s="30">
        <f t="shared" si="15"/>
        <v>0</v>
      </c>
      <c r="AG49" s="30">
        <f t="shared" si="15"/>
        <v>0</v>
      </c>
      <c r="AH49" s="485">
        <f>SUM(AH50:AH51)</f>
        <v>0</v>
      </c>
      <c r="AI49" s="548"/>
      <c r="AJ49" s="514"/>
      <c r="AK49" s="541">
        <f t="shared" si="4"/>
        <v>0</v>
      </c>
      <c r="AL49" s="519">
        <f t="shared" si="8"/>
        <v>0</v>
      </c>
      <c r="AM49" s="519"/>
    </row>
    <row r="50" spans="1:39" x14ac:dyDescent="0.2">
      <c r="A50" s="510"/>
      <c r="B50" s="510"/>
      <c r="C50" s="524"/>
      <c r="D50" s="510"/>
      <c r="E50" s="510" t="s">
        <v>527</v>
      </c>
      <c r="F50" s="514"/>
      <c r="G50" s="274">
        <f>[40]summary!$H$36</f>
        <v>1028268</v>
      </c>
      <c r="H50" s="17">
        <f>[41]summary!$M$37</f>
        <v>487336</v>
      </c>
      <c r="I50" s="17">
        <f>+[42]summary!$R$36</f>
        <v>29682</v>
      </c>
      <c r="J50" s="17">
        <f>[43]summary!$W$36</f>
        <v>28489</v>
      </c>
      <c r="K50" s="17">
        <f>[44]summary!$AB$36</f>
        <v>0</v>
      </c>
      <c r="L50" s="17">
        <f>[45]summary!$AG$36</f>
        <v>41191</v>
      </c>
      <c r="M50" s="17">
        <f>[46]summary!$AL$36</f>
        <v>18552</v>
      </c>
      <c r="N50" s="17">
        <f>[53]summary!$AQ$36</f>
        <v>0</v>
      </c>
      <c r="O50" s="17">
        <f>[52]summary!$AV$36</f>
        <v>85877</v>
      </c>
      <c r="P50" s="17">
        <f>[49]summary!$BA$36</f>
        <v>204461</v>
      </c>
      <c r="Q50" s="17">
        <f>[50]summary!$BF$36</f>
        <v>132680</v>
      </c>
      <c r="R50" s="17">
        <f>[40]summary!$BK$36</f>
        <v>1279237</v>
      </c>
      <c r="S50" s="17">
        <f>[51]summary!$BP$36</f>
        <v>2584491</v>
      </c>
      <c r="T50" s="17">
        <f>SUM(H50:S50)</f>
        <v>4891996</v>
      </c>
      <c r="U50" s="274">
        <f>[41]summary!$BZ$37</f>
        <v>4361282</v>
      </c>
      <c r="V50" s="17">
        <f>[41]summary!$CE$37</f>
        <v>3109689</v>
      </c>
      <c r="W50" s="17">
        <f>[93]summary!$R$37</f>
        <v>0</v>
      </c>
      <c r="X50" s="17">
        <f>[84]summary!$W$37</f>
        <v>0</v>
      </c>
      <c r="Y50" s="17">
        <f>[85]summary!$AB$37</f>
        <v>0</v>
      </c>
      <c r="Z50" s="17">
        <f>[83]summary!$AG$37</f>
        <v>289217</v>
      </c>
      <c r="AA50" s="17">
        <f>[83]summary!$AL$37</f>
        <v>235010</v>
      </c>
      <c r="AB50" s="17">
        <f>[88]summary!$AQ$37</f>
        <v>0</v>
      </c>
      <c r="AC50" s="17">
        <f>[83]summary!$AV$37</f>
        <v>64127</v>
      </c>
      <c r="AD50" s="17">
        <f>[90]summary!$BA$37</f>
        <v>0</v>
      </c>
      <c r="AE50" s="17">
        <f>[91]summary!$BF$37</f>
        <v>0</v>
      </c>
      <c r="AF50" s="17">
        <f>[92]summary!$BK$37</f>
        <v>0</v>
      </c>
      <c r="AG50" s="17">
        <f>[83]summary!$BP$37</f>
        <v>663239</v>
      </c>
      <c r="AH50" s="485">
        <f>SUM(V50:AG50)</f>
        <v>4361282</v>
      </c>
      <c r="AI50" s="548"/>
      <c r="AJ50" s="514"/>
      <c r="AK50" s="541">
        <f t="shared" si="4"/>
        <v>0</v>
      </c>
      <c r="AL50" s="519">
        <f t="shared" si="8"/>
        <v>0</v>
      </c>
      <c r="AM50" s="519"/>
    </row>
    <row r="51" spans="1:39" x14ac:dyDescent="0.2">
      <c r="A51" s="510"/>
      <c r="B51" s="510"/>
      <c r="C51" s="524"/>
      <c r="D51" s="510"/>
      <c r="E51" s="510" t="s">
        <v>528</v>
      </c>
      <c r="F51" s="514"/>
      <c r="G51" s="274">
        <f>[40]summary!$H$37</f>
        <v>-1028268</v>
      </c>
      <c r="H51" s="17">
        <f>[41]summary!$M$38</f>
        <v>-487336</v>
      </c>
      <c r="I51" s="17">
        <f>+[42]summary!$R$37</f>
        <v>-29682</v>
      </c>
      <c r="J51" s="17">
        <f>[43]summary!$W$37</f>
        <v>-28489</v>
      </c>
      <c r="K51" s="17">
        <f>[44]summary!$AB$37</f>
        <v>0</v>
      </c>
      <c r="L51" s="17">
        <f>[45]summary!$AG$37</f>
        <v>-41191</v>
      </c>
      <c r="M51" s="17">
        <f>[46]summary!$AL$37</f>
        <v>-18552</v>
      </c>
      <c r="N51" s="17">
        <f>[53]summary!$AQ$37</f>
        <v>0</v>
      </c>
      <c r="O51" s="17">
        <f>[52]summary!$AV$37</f>
        <v>0</v>
      </c>
      <c r="P51" s="17">
        <f>[49]summary!$BA$37</f>
        <v>-290338</v>
      </c>
      <c r="Q51" s="17">
        <f>[50]summary!$BF$37</f>
        <v>-132680</v>
      </c>
      <c r="R51" s="17">
        <f>[40]summary!$BK$37</f>
        <v>-1279237</v>
      </c>
      <c r="S51" s="17">
        <f>[51]summary!$BP$37</f>
        <v>-2584491</v>
      </c>
      <c r="T51" s="17">
        <f>SUM(H51:S51)</f>
        <v>-4891996</v>
      </c>
      <c r="U51" s="274">
        <f>[41]summary!$BZ$38</f>
        <v>-4361282</v>
      </c>
      <c r="V51" s="17">
        <f>[41]summary!$CE$38</f>
        <v>-3109689</v>
      </c>
      <c r="W51" s="17">
        <f>[93]summary!$R$38</f>
        <v>0</v>
      </c>
      <c r="X51" s="17">
        <f>[84]summary!$W$38</f>
        <v>0</v>
      </c>
      <c r="Y51" s="17">
        <f>[85]summary!$AB$38</f>
        <v>0</v>
      </c>
      <c r="Z51" s="17">
        <f>[83]summary!$AG$38</f>
        <v>-289217</v>
      </c>
      <c r="AA51" s="17">
        <f>[83]summary!$AL$38</f>
        <v>-235010</v>
      </c>
      <c r="AB51" s="17">
        <f>[88]summary!$AQ$38</f>
        <v>0</v>
      </c>
      <c r="AC51" s="17">
        <f>[83]summary!$AV$38</f>
        <v>-64127</v>
      </c>
      <c r="AD51" s="17">
        <f>[90]summary!$BA$38</f>
        <v>0</v>
      </c>
      <c r="AE51" s="17">
        <f>[91]summary!$BF$38</f>
        <v>0</v>
      </c>
      <c r="AF51" s="17">
        <f>[92]summary!$BK$38</f>
        <v>0</v>
      </c>
      <c r="AG51" s="17">
        <f>[83]summary!$BP$38</f>
        <v>-663239</v>
      </c>
      <c r="AH51" s="485">
        <f>SUM(V51:AG51)</f>
        <v>-4361282</v>
      </c>
      <c r="AI51" s="548"/>
      <c r="AJ51" s="514"/>
      <c r="AK51" s="541">
        <f t="shared" si="4"/>
        <v>0</v>
      </c>
      <c r="AL51" s="519">
        <f t="shared" si="8"/>
        <v>0</v>
      </c>
      <c r="AM51" s="519"/>
    </row>
    <row r="52" spans="1:39" x14ac:dyDescent="0.2">
      <c r="A52" s="510"/>
      <c r="B52" s="510"/>
      <c r="C52" s="524"/>
      <c r="D52" s="510"/>
      <c r="E52" s="510"/>
      <c r="F52" s="514"/>
      <c r="G52" s="274"/>
      <c r="H52" s="17"/>
      <c r="I52" s="17"/>
      <c r="J52" s="17"/>
      <c r="K52" s="17"/>
      <c r="L52" s="17"/>
      <c r="M52" s="17"/>
      <c r="N52" s="17"/>
      <c r="O52" s="17"/>
      <c r="P52" s="17"/>
      <c r="Q52" s="17"/>
      <c r="R52" s="17"/>
      <c r="S52" s="17"/>
      <c r="T52" s="17"/>
      <c r="U52" s="274"/>
      <c r="V52" s="17"/>
      <c r="W52" s="17"/>
      <c r="X52" s="17"/>
      <c r="Y52" s="17"/>
      <c r="Z52" s="17"/>
      <c r="AA52" s="17"/>
      <c r="AB52" s="17"/>
      <c r="AC52" s="17"/>
      <c r="AD52" s="17"/>
      <c r="AE52" s="17"/>
      <c r="AF52" s="17"/>
      <c r="AG52" s="17"/>
      <c r="AH52" s="485"/>
      <c r="AI52" s="548"/>
      <c r="AJ52" s="514"/>
      <c r="AK52" s="541"/>
      <c r="AL52" s="519"/>
      <c r="AM52" s="519"/>
    </row>
    <row r="53" spans="1:39" ht="12.75" hidden="1" customHeight="1" x14ac:dyDescent="0.2">
      <c r="A53" s="510"/>
      <c r="B53" s="510"/>
      <c r="C53" s="524"/>
      <c r="D53" s="510" t="s">
        <v>529</v>
      </c>
      <c r="E53" s="510"/>
      <c r="F53" s="514"/>
      <c r="G53" s="566">
        <v>0</v>
      </c>
      <c r="H53" s="567">
        <f t="shared" ref="H53:S53" si="16">SUM(H54:H54)</f>
        <v>0</v>
      </c>
      <c r="I53" s="567">
        <f t="shared" si="16"/>
        <v>0</v>
      </c>
      <c r="J53" s="567">
        <f t="shared" si="16"/>
        <v>0</v>
      </c>
      <c r="K53" s="567">
        <f t="shared" si="16"/>
        <v>0</v>
      </c>
      <c r="L53" s="567">
        <f t="shared" si="16"/>
        <v>0</v>
      </c>
      <c r="M53" s="567">
        <f t="shared" si="16"/>
        <v>0</v>
      </c>
      <c r="N53" s="567">
        <f t="shared" si="16"/>
        <v>0</v>
      </c>
      <c r="O53" s="567">
        <f t="shared" si="16"/>
        <v>0</v>
      </c>
      <c r="P53" s="567">
        <f t="shared" si="16"/>
        <v>0</v>
      </c>
      <c r="Q53" s="567">
        <f t="shared" si="16"/>
        <v>0</v>
      </c>
      <c r="R53" s="567">
        <f t="shared" si="16"/>
        <v>0</v>
      </c>
      <c r="S53" s="567">
        <f t="shared" si="16"/>
        <v>0</v>
      </c>
      <c r="T53" s="567">
        <f>SUM(T54:T54)</f>
        <v>0</v>
      </c>
      <c r="U53" s="566">
        <v>0</v>
      </c>
      <c r="V53" s="567">
        <f t="shared" ref="V53:AG53" si="17">SUM(V54:V54)</f>
        <v>0</v>
      </c>
      <c r="W53" s="567">
        <f t="shared" si="17"/>
        <v>0</v>
      </c>
      <c r="X53" s="567">
        <f t="shared" si="17"/>
        <v>0</v>
      </c>
      <c r="Y53" s="567">
        <f t="shared" si="17"/>
        <v>0</v>
      </c>
      <c r="Z53" s="567">
        <f t="shared" si="17"/>
        <v>0</v>
      </c>
      <c r="AA53" s="567">
        <f t="shared" si="17"/>
        <v>0</v>
      </c>
      <c r="AB53" s="567">
        <f t="shared" si="17"/>
        <v>0</v>
      </c>
      <c r="AC53" s="567">
        <f t="shared" si="17"/>
        <v>0</v>
      </c>
      <c r="AD53" s="567">
        <f t="shared" si="17"/>
        <v>0</v>
      </c>
      <c r="AE53" s="567">
        <f t="shared" si="17"/>
        <v>0</v>
      </c>
      <c r="AF53" s="567">
        <f t="shared" si="17"/>
        <v>0</v>
      </c>
      <c r="AG53" s="567">
        <f t="shared" si="17"/>
        <v>0</v>
      </c>
      <c r="AH53" s="568">
        <f>SUM(AH54:AH54)</f>
        <v>0</v>
      </c>
      <c r="AI53" s="548"/>
      <c r="AJ53" s="514"/>
      <c r="AK53" s="541">
        <f t="shared" si="4"/>
        <v>0</v>
      </c>
      <c r="AL53" s="519">
        <f t="shared" si="8"/>
        <v>0</v>
      </c>
      <c r="AM53" s="519"/>
    </row>
    <row r="54" spans="1:39" ht="12.75" hidden="1" customHeight="1" x14ac:dyDescent="0.2">
      <c r="A54" s="510"/>
      <c r="B54" s="510"/>
      <c r="C54" s="524"/>
      <c r="D54" s="510"/>
      <c r="E54" s="510" t="s">
        <v>520</v>
      </c>
      <c r="F54" s="514"/>
      <c r="G54" s="566">
        <v>0</v>
      </c>
      <c r="H54" s="567">
        <v>0</v>
      </c>
      <c r="I54" s="567">
        <v>0</v>
      </c>
      <c r="J54" s="567">
        <v>0</v>
      </c>
      <c r="K54" s="567">
        <v>0</v>
      </c>
      <c r="L54" s="567">
        <v>0</v>
      </c>
      <c r="M54" s="567">
        <v>0</v>
      </c>
      <c r="N54" s="567">
        <v>0</v>
      </c>
      <c r="O54" s="567">
        <v>0</v>
      </c>
      <c r="P54" s="567">
        <v>0</v>
      </c>
      <c r="Q54" s="567">
        <v>0</v>
      </c>
      <c r="R54" s="567">
        <v>0</v>
      </c>
      <c r="S54" s="567">
        <v>0</v>
      </c>
      <c r="T54" s="17">
        <f>SUM(H54:S54)</f>
        <v>0</v>
      </c>
      <c r="U54" s="566">
        <v>0</v>
      </c>
      <c r="V54" s="567">
        <v>0</v>
      </c>
      <c r="W54" s="567">
        <v>0</v>
      </c>
      <c r="X54" s="567">
        <v>0</v>
      </c>
      <c r="Y54" s="567">
        <v>0</v>
      </c>
      <c r="Z54" s="567">
        <v>0</v>
      </c>
      <c r="AA54" s="567">
        <v>0</v>
      </c>
      <c r="AB54" s="567">
        <v>0</v>
      </c>
      <c r="AC54" s="567">
        <v>0</v>
      </c>
      <c r="AD54" s="567">
        <v>0</v>
      </c>
      <c r="AE54" s="567">
        <v>0</v>
      </c>
      <c r="AF54" s="567">
        <v>0</v>
      </c>
      <c r="AG54" s="567">
        <v>0</v>
      </c>
      <c r="AH54" s="485">
        <f>SUM(V54:AG54)</f>
        <v>0</v>
      </c>
      <c r="AI54" s="548"/>
      <c r="AJ54" s="514"/>
      <c r="AK54" s="541">
        <f t="shared" si="4"/>
        <v>0</v>
      </c>
      <c r="AL54" s="519">
        <f t="shared" si="8"/>
        <v>0</v>
      </c>
      <c r="AM54" s="519"/>
    </row>
    <row r="55" spans="1:39" ht="12.75" hidden="1" customHeight="1" x14ac:dyDescent="0.2">
      <c r="A55" s="510"/>
      <c r="B55" s="510"/>
      <c r="C55" s="524"/>
      <c r="D55" s="510"/>
      <c r="E55" s="510"/>
      <c r="F55" s="514"/>
      <c r="G55" s="274"/>
      <c r="H55" s="17"/>
      <c r="I55" s="17"/>
      <c r="J55" s="17"/>
      <c r="K55" s="17"/>
      <c r="L55" s="17"/>
      <c r="M55" s="17"/>
      <c r="N55" s="17"/>
      <c r="O55" s="17"/>
      <c r="P55" s="17"/>
      <c r="Q55" s="17"/>
      <c r="R55" s="17"/>
      <c r="S55" s="17"/>
      <c r="T55" s="17"/>
      <c r="U55" s="274"/>
      <c r="V55" s="17"/>
      <c r="W55" s="17"/>
      <c r="X55" s="17"/>
      <c r="Y55" s="17"/>
      <c r="Z55" s="17"/>
      <c r="AA55" s="17"/>
      <c r="AB55" s="17"/>
      <c r="AC55" s="17"/>
      <c r="AD55" s="17"/>
      <c r="AE55" s="17"/>
      <c r="AF55" s="17"/>
      <c r="AG55" s="17"/>
      <c r="AH55" s="485"/>
      <c r="AI55" s="548"/>
      <c r="AJ55" s="514"/>
      <c r="AK55" s="541">
        <f t="shared" si="4"/>
        <v>0</v>
      </c>
      <c r="AL55" s="519">
        <f t="shared" si="8"/>
        <v>0</v>
      </c>
      <c r="AM55" s="519"/>
    </row>
    <row r="56" spans="1:39" s="557" customFormat="1" x14ac:dyDescent="0.2">
      <c r="A56" s="526"/>
      <c r="B56" s="526"/>
      <c r="C56" s="525" t="s">
        <v>316</v>
      </c>
      <c r="D56" s="526"/>
      <c r="E56" s="526"/>
      <c r="F56" s="527"/>
      <c r="G56" s="422">
        <f t="shared" ref="G56:AG56" si="18">+G58+G65+G72</f>
        <v>92653000</v>
      </c>
      <c r="H56" s="546">
        <f t="shared" si="18"/>
        <v>-777665</v>
      </c>
      <c r="I56" s="546">
        <f t="shared" si="18"/>
        <v>-4931986</v>
      </c>
      <c r="J56" s="546">
        <f t="shared" si="18"/>
        <v>-8699700</v>
      </c>
      <c r="K56" s="546">
        <f t="shared" si="18"/>
        <v>86911584</v>
      </c>
      <c r="L56" s="546">
        <f t="shared" si="18"/>
        <v>0</v>
      </c>
      <c r="M56" s="546">
        <f t="shared" si="18"/>
        <v>0</v>
      </c>
      <c r="N56" s="546">
        <f t="shared" si="18"/>
        <v>5008164</v>
      </c>
      <c r="O56" s="546">
        <f t="shared" si="18"/>
        <v>-6967</v>
      </c>
      <c r="P56" s="546">
        <f>+P58+P65+P72</f>
        <v>0</v>
      </c>
      <c r="Q56" s="546">
        <f>+Q58+Q65+Q72</f>
        <v>0</v>
      </c>
      <c r="R56" s="546">
        <f>+R58+R65+R72</f>
        <v>0</v>
      </c>
      <c r="S56" s="546">
        <f>+S58+S65+S72</f>
        <v>0</v>
      </c>
      <c r="T56" s="546">
        <f t="shared" si="18"/>
        <v>77503430</v>
      </c>
      <c r="U56" s="422">
        <f t="shared" si="18"/>
        <v>24823043</v>
      </c>
      <c r="V56" s="546">
        <f t="shared" si="18"/>
        <v>-628449</v>
      </c>
      <c r="W56" s="546">
        <f t="shared" si="18"/>
        <v>-25247385</v>
      </c>
      <c r="X56" s="546">
        <f t="shared" si="18"/>
        <v>0</v>
      </c>
      <c r="Y56" s="546">
        <f t="shared" si="18"/>
        <v>0</v>
      </c>
      <c r="Z56" s="546">
        <f t="shared" si="18"/>
        <v>0</v>
      </c>
      <c r="AA56" s="546">
        <f t="shared" si="18"/>
        <v>76052000</v>
      </c>
      <c r="AB56" s="546">
        <f t="shared" si="18"/>
        <v>-654491</v>
      </c>
      <c r="AC56" s="546">
        <f t="shared" si="18"/>
        <v>-6365</v>
      </c>
      <c r="AD56" s="546">
        <f t="shared" si="18"/>
        <v>0</v>
      </c>
      <c r="AE56" s="546">
        <f t="shared" si="18"/>
        <v>0</v>
      </c>
      <c r="AF56" s="546">
        <f t="shared" si="18"/>
        <v>0</v>
      </c>
      <c r="AG56" s="546">
        <f t="shared" si="18"/>
        <v>-24692267</v>
      </c>
      <c r="AH56" s="547">
        <f>+AH58+AH65+AH72</f>
        <v>24823043</v>
      </c>
      <c r="AI56" s="556"/>
      <c r="AJ56" s="527"/>
      <c r="AK56" s="541">
        <f t="shared" si="4"/>
        <v>0</v>
      </c>
      <c r="AL56" s="519">
        <f t="shared" si="8"/>
        <v>0</v>
      </c>
      <c r="AM56" s="519"/>
    </row>
    <row r="57" spans="1:39" x14ac:dyDescent="0.2">
      <c r="A57" s="510"/>
      <c r="B57" s="510"/>
      <c r="C57" s="524"/>
      <c r="D57" s="510"/>
      <c r="E57" s="510"/>
      <c r="F57" s="514"/>
      <c r="G57" s="274"/>
      <c r="H57" s="17"/>
      <c r="I57" s="17"/>
      <c r="J57" s="17"/>
      <c r="K57" s="17"/>
      <c r="L57" s="17"/>
      <c r="M57" s="17"/>
      <c r="N57" s="17"/>
      <c r="O57" s="17"/>
      <c r="P57" s="17"/>
      <c r="Q57" s="17"/>
      <c r="R57" s="17"/>
      <c r="S57" s="17"/>
      <c r="T57" s="17"/>
      <c r="U57" s="274"/>
      <c r="V57" s="17"/>
      <c r="W57" s="17"/>
      <c r="X57" s="17"/>
      <c r="Y57" s="17"/>
      <c r="Z57" s="17"/>
      <c r="AA57" s="17"/>
      <c r="AB57" s="17"/>
      <c r="AC57" s="17"/>
      <c r="AD57" s="17"/>
      <c r="AE57" s="17"/>
      <c r="AF57" s="17"/>
      <c r="AG57" s="17"/>
      <c r="AH57" s="485"/>
      <c r="AI57" s="548"/>
      <c r="AJ57" s="514"/>
      <c r="AK57" s="541"/>
      <c r="AL57" s="519"/>
      <c r="AM57" s="519"/>
    </row>
    <row r="58" spans="1:39" x14ac:dyDescent="0.2">
      <c r="A58" s="510"/>
      <c r="B58" s="510"/>
      <c r="C58" s="524"/>
      <c r="D58" s="510" t="s">
        <v>519</v>
      </c>
      <c r="E58" s="510"/>
      <c r="F58" s="514"/>
      <c r="G58" s="274">
        <f t="shared" ref="G58:L58" si="19">SUM(G59:G63)</f>
        <v>92653000</v>
      </c>
      <c r="H58" s="274">
        <f t="shared" si="19"/>
        <v>-777665</v>
      </c>
      <c r="I58" s="274">
        <f t="shared" si="19"/>
        <v>-4931986</v>
      </c>
      <c r="J58" s="274">
        <f t="shared" si="19"/>
        <v>-8699700</v>
      </c>
      <c r="K58" s="274">
        <f t="shared" si="19"/>
        <v>86911584</v>
      </c>
      <c r="L58" s="274">
        <f t="shared" si="19"/>
        <v>0</v>
      </c>
      <c r="M58" s="274">
        <f t="shared" ref="M58:AG58" si="20">SUM(M59:M63)</f>
        <v>0</v>
      </c>
      <c r="N58" s="274">
        <f t="shared" si="20"/>
        <v>5008164</v>
      </c>
      <c r="O58" s="274">
        <f t="shared" si="20"/>
        <v>-6967</v>
      </c>
      <c r="P58" s="274">
        <f>SUM(P59:P63)</f>
        <v>0</v>
      </c>
      <c r="Q58" s="274">
        <f>SUM(Q59:Q63)</f>
        <v>0</v>
      </c>
      <c r="R58" s="274">
        <f>SUM(R59:R63)</f>
        <v>0</v>
      </c>
      <c r="S58" s="274">
        <f>SUM(S59:S63)</f>
        <v>0</v>
      </c>
      <c r="T58" s="274">
        <f t="shared" si="20"/>
        <v>77503430</v>
      </c>
      <c r="U58" s="274">
        <f t="shared" si="20"/>
        <v>24823043</v>
      </c>
      <c r="V58" s="274">
        <f t="shared" si="20"/>
        <v>-628449</v>
      </c>
      <c r="W58" s="274">
        <f t="shared" si="20"/>
        <v>-25247385</v>
      </c>
      <c r="X58" s="274">
        <f t="shared" si="20"/>
        <v>0</v>
      </c>
      <c r="Y58" s="274">
        <f t="shared" si="20"/>
        <v>0</v>
      </c>
      <c r="Z58" s="274">
        <f t="shared" si="20"/>
        <v>0</v>
      </c>
      <c r="AA58" s="274">
        <f t="shared" si="20"/>
        <v>76052000</v>
      </c>
      <c r="AB58" s="274">
        <f t="shared" si="20"/>
        <v>-654491</v>
      </c>
      <c r="AC58" s="274">
        <f t="shared" si="20"/>
        <v>-6365</v>
      </c>
      <c r="AD58" s="274">
        <f t="shared" si="20"/>
        <v>0</v>
      </c>
      <c r="AE58" s="274">
        <f t="shared" si="20"/>
        <v>0</v>
      </c>
      <c r="AF58" s="274">
        <f t="shared" si="20"/>
        <v>0</v>
      </c>
      <c r="AG58" s="274">
        <f t="shared" si="20"/>
        <v>-24692267</v>
      </c>
      <c r="AH58" s="485">
        <f>SUM(AH59:AH63)</f>
        <v>24823043</v>
      </c>
      <c r="AI58" s="548"/>
      <c r="AJ58" s="514"/>
      <c r="AK58" s="541">
        <f t="shared" si="4"/>
        <v>0</v>
      </c>
      <c r="AL58" s="519">
        <f t="shared" si="8"/>
        <v>0</v>
      </c>
      <c r="AM58" s="519"/>
    </row>
    <row r="59" spans="1:39" x14ac:dyDescent="0.2">
      <c r="A59" s="510"/>
      <c r="B59" s="510"/>
      <c r="C59" s="524"/>
      <c r="D59" s="510"/>
      <c r="E59" s="510" t="s">
        <v>520</v>
      </c>
      <c r="F59" s="514"/>
      <c r="G59" s="274">
        <f>[40]summary!$H$46</f>
        <v>107070000</v>
      </c>
      <c r="H59" s="17">
        <f>[41]summary!$M$47</f>
        <v>0</v>
      </c>
      <c r="I59" s="17">
        <f>[42]summary!$R$47</f>
        <v>0</v>
      </c>
      <c r="J59" s="17">
        <f>[43]summary!$W$46</f>
        <v>0</v>
      </c>
      <c r="K59" s="17">
        <f>[44]summary!$AB$46</f>
        <v>86911584</v>
      </c>
      <c r="L59" s="17">
        <f>[45]summary!$AG$46</f>
        <v>0</v>
      </c>
      <c r="M59" s="17">
        <f>[46]summary!$AL$46</f>
        <v>0</v>
      </c>
      <c r="N59" s="17">
        <f>[53]summary!$AQ$46</f>
        <v>5008164</v>
      </c>
      <c r="O59" s="17">
        <f>[52]summary!$AV$46</f>
        <v>0</v>
      </c>
      <c r="P59" s="17">
        <f>[49]summary!$BA$46</f>
        <v>0</v>
      </c>
      <c r="Q59" s="17">
        <f>[50]summary!$BF$46</f>
        <v>0</v>
      </c>
      <c r="R59" s="17">
        <f>[40]summary!$BK$46</f>
        <v>0</v>
      </c>
      <c r="S59" s="17">
        <f>[51]summary!$BP$46</f>
        <v>0</v>
      </c>
      <c r="T59" s="17">
        <f>SUM(H59:S59)</f>
        <v>91919748</v>
      </c>
      <c r="U59" s="274">
        <f>[41]summary!$BZ$47</f>
        <v>76052000</v>
      </c>
      <c r="V59" s="17">
        <f>[94]summary!$BU$47</f>
        <v>0</v>
      </c>
      <c r="W59" s="17">
        <f>[93]summary!$R$47</f>
        <v>0</v>
      </c>
      <c r="X59" s="17">
        <f>[84]summary!$W$47</f>
        <v>0</v>
      </c>
      <c r="Y59" s="17">
        <f>[85]summary!$AB$47</f>
        <v>0</v>
      </c>
      <c r="Z59" s="17">
        <f>[86]summary!$AG$47</f>
        <v>0</v>
      </c>
      <c r="AA59" s="17">
        <f>[83]summary!$AL$47</f>
        <v>76052000</v>
      </c>
      <c r="AB59" s="17">
        <f>[88]summary!$AQ$47</f>
        <v>0</v>
      </c>
      <c r="AC59" s="17">
        <f>[89]summary!$AV$47</f>
        <v>0</v>
      </c>
      <c r="AD59" s="17">
        <f>[90]summary!$BA$47</f>
        <v>0</v>
      </c>
      <c r="AE59" s="17">
        <f>[91]summary!$BF$47</f>
        <v>0</v>
      </c>
      <c r="AF59" s="17">
        <f>[92]summary!$BK$47</f>
        <v>0</v>
      </c>
      <c r="AG59" s="17">
        <f>[83]summary!$BP$47</f>
        <v>0</v>
      </c>
      <c r="AH59" s="485">
        <f>SUM(V59:AG59)</f>
        <v>76052000</v>
      </c>
      <c r="AI59" s="548"/>
      <c r="AJ59" s="514"/>
      <c r="AK59" s="541">
        <f t="shared" si="4"/>
        <v>0</v>
      </c>
      <c r="AL59" s="519">
        <f t="shared" si="8"/>
        <v>0</v>
      </c>
      <c r="AM59" s="519"/>
    </row>
    <row r="60" spans="1:39" hidden="1" x14ac:dyDescent="0.2">
      <c r="A60" s="510"/>
      <c r="B60" s="510"/>
      <c r="C60" s="524"/>
      <c r="D60" s="510"/>
      <c r="E60" s="510" t="s">
        <v>521</v>
      </c>
      <c r="F60" s="514"/>
      <c r="G60" s="274">
        <f>[53]summary!$H$47</f>
        <v>0</v>
      </c>
      <c r="H60" s="17">
        <f>[41]summary!$M$48</f>
        <v>0</v>
      </c>
      <c r="I60" s="17">
        <f>[42]summary!$R$48</f>
        <v>0</v>
      </c>
      <c r="J60" s="17">
        <f>[43]summary!$W$47</f>
        <v>0</v>
      </c>
      <c r="K60" s="17">
        <f>[44]summary!$AB$47</f>
        <v>0</v>
      </c>
      <c r="L60" s="17">
        <f>[45]summary!$AG$47</f>
        <v>0</v>
      </c>
      <c r="M60" s="17">
        <f>[46]summary!$AL$47</f>
        <v>0</v>
      </c>
      <c r="N60" s="17">
        <f>[53]summary!$AQ$47</f>
        <v>0</v>
      </c>
      <c r="O60" s="17">
        <v>0</v>
      </c>
      <c r="P60" s="17">
        <v>0</v>
      </c>
      <c r="Q60" s="17">
        <v>0</v>
      </c>
      <c r="R60" s="17">
        <v>0</v>
      </c>
      <c r="S60" s="17">
        <v>0</v>
      </c>
      <c r="T60" s="17">
        <f>SUM(H60:S60)</f>
        <v>0</v>
      </c>
      <c r="U60" s="274">
        <f>[41]summary!$BZ$48</f>
        <v>0</v>
      </c>
      <c r="V60" s="17">
        <f>[94]summary!$BU$48</f>
        <v>0</v>
      </c>
      <c r="W60" s="17">
        <f>[93]summary!$R$48</f>
        <v>0</v>
      </c>
      <c r="X60" s="17">
        <f>[84]summary!$W$48</f>
        <v>0</v>
      </c>
      <c r="Y60" s="17">
        <f>[85]summary!$AB$48</f>
        <v>0</v>
      </c>
      <c r="Z60" s="17">
        <f>[86]summary!$AG$48</f>
        <v>0</v>
      </c>
      <c r="AA60" s="17">
        <f>[87]summary!$AL$48</f>
        <v>0</v>
      </c>
      <c r="AB60" s="17">
        <f>[88]summary!$AQ$48</f>
        <v>0</v>
      </c>
      <c r="AC60" s="17">
        <f>[89]summary!$AV$48</f>
        <v>0</v>
      </c>
      <c r="AD60" s="17">
        <f>[90]summary!$BA$48</f>
        <v>0</v>
      </c>
      <c r="AE60" s="17">
        <f>[91]summary!$BF$48</f>
        <v>0</v>
      </c>
      <c r="AF60" s="17">
        <f>[92]summary!$BK$48</f>
        <v>0</v>
      </c>
      <c r="AG60" s="17">
        <f>[83]summary!$BP$48</f>
        <v>0</v>
      </c>
      <c r="AH60" s="485">
        <f>SUM(V60:AB60)</f>
        <v>0</v>
      </c>
      <c r="AI60" s="548"/>
      <c r="AJ60" s="514"/>
      <c r="AK60" s="541">
        <f t="shared" si="4"/>
        <v>0</v>
      </c>
      <c r="AL60" s="519">
        <f t="shared" si="8"/>
        <v>0</v>
      </c>
      <c r="AM60" s="519"/>
    </row>
    <row r="61" spans="1:39" x14ac:dyDescent="0.2">
      <c r="A61" s="510"/>
      <c r="B61" s="510"/>
      <c r="C61" s="524"/>
      <c r="D61" s="510"/>
      <c r="E61" s="510" t="s">
        <v>465</v>
      </c>
      <c r="F61" s="514"/>
      <c r="G61" s="274"/>
      <c r="H61" s="17"/>
      <c r="I61" s="17"/>
      <c r="J61" s="17"/>
      <c r="K61" s="17"/>
      <c r="L61" s="17"/>
      <c r="M61" s="17"/>
      <c r="N61" s="17"/>
      <c r="O61" s="17"/>
      <c r="P61" s="17"/>
      <c r="Q61" s="17"/>
      <c r="R61" s="17"/>
      <c r="S61" s="17"/>
      <c r="T61" s="17"/>
      <c r="U61" s="274"/>
      <c r="V61" s="17"/>
      <c r="W61" s="17"/>
      <c r="X61" s="17"/>
      <c r="Y61" s="17"/>
      <c r="Z61" s="17"/>
      <c r="AA61" s="17"/>
      <c r="AB61" s="17"/>
      <c r="AC61" s="17"/>
      <c r="AD61" s="17"/>
      <c r="AE61" s="17"/>
      <c r="AF61" s="17"/>
      <c r="AG61" s="17"/>
      <c r="AH61" s="485"/>
      <c r="AI61" s="548"/>
      <c r="AJ61" s="514"/>
      <c r="AK61" s="541"/>
      <c r="AL61" s="519"/>
      <c r="AM61" s="519"/>
    </row>
    <row r="62" spans="1:39" x14ac:dyDescent="0.2">
      <c r="A62" s="510"/>
      <c r="B62" s="510"/>
      <c r="C62" s="524"/>
      <c r="D62" s="510"/>
      <c r="E62" s="569" t="s">
        <v>530</v>
      </c>
      <c r="F62" s="514"/>
      <c r="G62" s="274">
        <f>[40]summary!$H$49</f>
        <v>-7961000</v>
      </c>
      <c r="H62" s="17">
        <f>[41]summary!$M$50</f>
        <v>-391647</v>
      </c>
      <c r="I62" s="17">
        <f>+[42]summary!$R$49</f>
        <v>-1962723</v>
      </c>
      <c r="J62" s="17">
        <f>[43]summary!$W$49</f>
        <v>-5604275</v>
      </c>
      <c r="K62" s="17">
        <f>[44]summary!$AB$49</f>
        <v>0</v>
      </c>
      <c r="L62" s="17">
        <f>[45]summary!$AG$49</f>
        <v>0</v>
      </c>
      <c r="M62" s="17">
        <f>[46]summary!$AL$49</f>
        <v>0</v>
      </c>
      <c r="N62" s="17">
        <f>[53]summary!$AQ$49</f>
        <v>0</v>
      </c>
      <c r="O62" s="17">
        <f>[52]summary!$AV$49</f>
        <v>-1940</v>
      </c>
      <c r="P62" s="17">
        <f>[49]summary!$BA$49</f>
        <v>0</v>
      </c>
      <c r="Q62" s="17">
        <f>[50]summary!$BF$49</f>
        <v>0</v>
      </c>
      <c r="R62" s="17">
        <f>[40]summary!$BK$49</f>
        <v>0</v>
      </c>
      <c r="S62" s="17">
        <f>[51]summary!$BP$49</f>
        <v>0</v>
      </c>
      <c r="T62" s="17">
        <f>SUM(H62:S62)</f>
        <v>-7960585</v>
      </c>
      <c r="U62" s="274">
        <f>[41]summary!$BZ$50</f>
        <v>-26952291</v>
      </c>
      <c r="V62" s="17">
        <f>[83]summary!$M$50</f>
        <v>-391647</v>
      </c>
      <c r="W62" s="17">
        <f>[83]summary!$R$50</f>
        <v>-14120864</v>
      </c>
      <c r="X62" s="17">
        <f>[84]summary!$W$50</f>
        <v>0</v>
      </c>
      <c r="Y62" s="17">
        <f>[85]summary!$AB$50</f>
        <v>0</v>
      </c>
      <c r="Z62" s="17">
        <f>[86]summary!$AG$50</f>
        <v>0</v>
      </c>
      <c r="AA62" s="17">
        <f>[87]summary!$AL$50</f>
        <v>0</v>
      </c>
      <c r="AB62" s="17">
        <f>[83]summary!$AQ$50</f>
        <v>-391647</v>
      </c>
      <c r="AC62" s="17">
        <f>[83]summary!$AV$50</f>
        <v>-1940</v>
      </c>
      <c r="AD62" s="17">
        <f>[90]summary!$BA$50</f>
        <v>0</v>
      </c>
      <c r="AE62" s="17">
        <f>[91]summary!$BF$50</f>
        <v>0</v>
      </c>
      <c r="AF62" s="17">
        <f>[92]summary!$BK$50</f>
        <v>0</v>
      </c>
      <c r="AG62" s="17">
        <f>[83]summary!$BP$50</f>
        <v>-12046193</v>
      </c>
      <c r="AH62" s="485">
        <f>SUM(V62:AG62)</f>
        <v>-26952291</v>
      </c>
      <c r="AI62" s="548"/>
      <c r="AJ62" s="514"/>
      <c r="AK62" s="541">
        <f t="shared" si="4"/>
        <v>0</v>
      </c>
      <c r="AL62" s="519">
        <f t="shared" si="8"/>
        <v>0</v>
      </c>
      <c r="AM62" s="519"/>
    </row>
    <row r="63" spans="1:39" x14ac:dyDescent="0.2">
      <c r="A63" s="510"/>
      <c r="B63" s="510"/>
      <c r="C63" s="524"/>
      <c r="D63" s="510"/>
      <c r="E63" s="569" t="s">
        <v>531</v>
      </c>
      <c r="F63" s="558"/>
      <c r="G63" s="274">
        <f>[40]summary!$H$50</f>
        <v>-6456000</v>
      </c>
      <c r="H63" s="17">
        <f>[41]summary!$M$51</f>
        <v>-386018</v>
      </c>
      <c r="I63" s="17">
        <f>+[42]summary!$R$50</f>
        <v>-2969263</v>
      </c>
      <c r="J63" s="17">
        <f>[43]summary!$W$50</f>
        <v>-3095425</v>
      </c>
      <c r="K63" s="17">
        <f>[44]summary!$AB$50</f>
        <v>0</v>
      </c>
      <c r="L63" s="17">
        <f>[45]summary!$AG$50</f>
        <v>0</v>
      </c>
      <c r="M63" s="17">
        <f>[46]summary!$AL$50</f>
        <v>0</v>
      </c>
      <c r="N63" s="17">
        <f>[53]summary!$AQ$50</f>
        <v>0</v>
      </c>
      <c r="O63" s="17">
        <f>[52]summary!$AV$50</f>
        <v>-5027</v>
      </c>
      <c r="P63" s="17">
        <f>[49]summary!$BA$50</f>
        <v>0</v>
      </c>
      <c r="Q63" s="17">
        <f>[50]summary!$BF$50</f>
        <v>0</v>
      </c>
      <c r="R63" s="17">
        <f>[40]summary!$BK$50</f>
        <v>0</v>
      </c>
      <c r="S63" s="17">
        <f>[51]summary!$BP$50</f>
        <v>0</v>
      </c>
      <c r="T63" s="17">
        <f>SUM(H63:S63)</f>
        <v>-6455733</v>
      </c>
      <c r="U63" s="274">
        <f>[41]summary!$BZ$51</f>
        <v>-24276666</v>
      </c>
      <c r="V63" s="17">
        <f>[83]summary!$M$51</f>
        <v>-236802</v>
      </c>
      <c r="W63" s="17">
        <f>[83]summary!$R$51</f>
        <v>-11126521</v>
      </c>
      <c r="X63" s="17">
        <f>[84]summary!$W$51</f>
        <v>0</v>
      </c>
      <c r="Y63" s="17">
        <f>[85]summary!$AB$51</f>
        <v>0</v>
      </c>
      <c r="Z63" s="17">
        <f>[86]summary!$AG$51</f>
        <v>0</v>
      </c>
      <c r="AA63" s="17">
        <f>[87]summary!$AL$51</f>
        <v>0</v>
      </c>
      <c r="AB63" s="17">
        <f>[83]summary!$AQ$51</f>
        <v>-262844</v>
      </c>
      <c r="AC63" s="17">
        <f>[83]summary!$AV$51</f>
        <v>-4425</v>
      </c>
      <c r="AD63" s="17">
        <f>[90]summary!$BA$51</f>
        <v>0</v>
      </c>
      <c r="AE63" s="17">
        <f>[91]summary!$BF$51</f>
        <v>0</v>
      </c>
      <c r="AF63" s="17">
        <f>[92]summary!$BK$51</f>
        <v>0</v>
      </c>
      <c r="AG63" s="17">
        <f>[83]summary!$BP$51</f>
        <v>-12646074</v>
      </c>
      <c r="AH63" s="485">
        <f>SUM(V63:AG63)</f>
        <v>-24276666</v>
      </c>
      <c r="AI63" s="548"/>
      <c r="AJ63" s="514"/>
      <c r="AK63" s="541">
        <f t="shared" si="4"/>
        <v>0</v>
      </c>
      <c r="AL63" s="519">
        <f t="shared" si="8"/>
        <v>0</v>
      </c>
      <c r="AM63" s="519"/>
    </row>
    <row r="64" spans="1:39" x14ac:dyDescent="0.2">
      <c r="A64" s="510"/>
      <c r="B64" s="510"/>
      <c r="C64" s="524"/>
      <c r="D64" s="510"/>
      <c r="E64" s="569"/>
      <c r="F64" s="558"/>
      <c r="G64" s="274"/>
      <c r="H64" s="17"/>
      <c r="I64" s="17"/>
      <c r="J64" s="17"/>
      <c r="K64" s="17"/>
      <c r="L64" s="17"/>
      <c r="M64" s="17"/>
      <c r="N64" s="17"/>
      <c r="O64" s="17"/>
      <c r="P64" s="17"/>
      <c r="Q64" s="17"/>
      <c r="R64" s="17"/>
      <c r="S64" s="17"/>
      <c r="T64" s="17"/>
      <c r="U64" s="274"/>
      <c r="V64" s="17"/>
      <c r="W64" s="17"/>
      <c r="X64" s="17"/>
      <c r="Y64" s="17"/>
      <c r="Z64" s="17"/>
      <c r="AA64" s="17"/>
      <c r="AB64" s="17"/>
      <c r="AC64" s="17"/>
      <c r="AD64" s="17"/>
      <c r="AE64" s="17"/>
      <c r="AF64" s="17"/>
      <c r="AG64" s="17"/>
      <c r="AH64" s="485"/>
      <c r="AI64" s="548"/>
      <c r="AJ64" s="514"/>
      <c r="AK64" s="541"/>
      <c r="AL64" s="519"/>
      <c r="AM64" s="519"/>
    </row>
    <row r="65" spans="1:39" hidden="1" x14ac:dyDescent="0.2">
      <c r="A65" s="510"/>
      <c r="B65" s="510"/>
      <c r="C65" s="524"/>
      <c r="D65" s="510" t="s">
        <v>524</v>
      </c>
      <c r="E65" s="510"/>
      <c r="F65" s="558"/>
      <c r="G65" s="274">
        <f t="shared" ref="G65:S65" si="21">SUM(G66:G70)</f>
        <v>0</v>
      </c>
      <c r="H65" s="274">
        <f t="shared" si="21"/>
        <v>0</v>
      </c>
      <c r="I65" s="274">
        <f t="shared" si="21"/>
        <v>0</v>
      </c>
      <c r="J65" s="274">
        <f t="shared" si="21"/>
        <v>0</v>
      </c>
      <c r="K65" s="274">
        <f t="shared" si="21"/>
        <v>0</v>
      </c>
      <c r="L65" s="274">
        <f t="shared" si="21"/>
        <v>0</v>
      </c>
      <c r="M65" s="274">
        <f t="shared" si="21"/>
        <v>0</v>
      </c>
      <c r="N65" s="274">
        <f t="shared" si="21"/>
        <v>0</v>
      </c>
      <c r="O65" s="274">
        <f t="shared" si="21"/>
        <v>0</v>
      </c>
      <c r="P65" s="274">
        <f t="shared" si="21"/>
        <v>0</v>
      </c>
      <c r="Q65" s="274">
        <f t="shared" si="21"/>
        <v>0</v>
      </c>
      <c r="R65" s="274">
        <f t="shared" si="21"/>
        <v>0</v>
      </c>
      <c r="S65" s="274">
        <f t="shared" si="21"/>
        <v>0</v>
      </c>
      <c r="T65" s="17">
        <f>SUM(T66:T70)</f>
        <v>0</v>
      </c>
      <c r="U65" s="274">
        <v>0</v>
      </c>
      <c r="V65" s="274">
        <f t="shared" ref="V65:AG65" si="22">SUM(V66:V70)</f>
        <v>0</v>
      </c>
      <c r="W65" s="274">
        <f t="shared" si="22"/>
        <v>0</v>
      </c>
      <c r="X65" s="274">
        <f t="shared" si="22"/>
        <v>0</v>
      </c>
      <c r="Y65" s="274">
        <f t="shared" si="22"/>
        <v>0</v>
      </c>
      <c r="Z65" s="274">
        <f t="shared" si="22"/>
        <v>0</v>
      </c>
      <c r="AA65" s="274">
        <f t="shared" si="22"/>
        <v>0</v>
      </c>
      <c r="AB65" s="274">
        <f t="shared" si="22"/>
        <v>0</v>
      </c>
      <c r="AC65" s="274">
        <f t="shared" si="22"/>
        <v>0</v>
      </c>
      <c r="AD65" s="274">
        <f t="shared" si="22"/>
        <v>0</v>
      </c>
      <c r="AE65" s="274">
        <f t="shared" si="22"/>
        <v>0</v>
      </c>
      <c r="AF65" s="274">
        <f t="shared" si="22"/>
        <v>0</v>
      </c>
      <c r="AG65" s="274">
        <f t="shared" si="22"/>
        <v>0</v>
      </c>
      <c r="AH65" s="485">
        <f>SUM(AH66:AH70)</f>
        <v>0</v>
      </c>
      <c r="AI65" s="548"/>
      <c r="AJ65" s="514"/>
      <c r="AK65" s="541">
        <f t="shared" si="4"/>
        <v>0</v>
      </c>
      <c r="AL65" s="519">
        <f t="shared" si="8"/>
        <v>0</v>
      </c>
      <c r="AM65" s="519"/>
    </row>
    <row r="66" spans="1:39" hidden="1" x14ac:dyDescent="0.2">
      <c r="A66" s="510"/>
      <c r="B66" s="510"/>
      <c r="C66" s="524"/>
      <c r="D66" s="510"/>
      <c r="E66" s="510" t="s">
        <v>520</v>
      </c>
      <c r="F66" s="558"/>
      <c r="G66" s="274">
        <f>[95]summary!$H$55</f>
        <v>0</v>
      </c>
      <c r="H66" s="274">
        <f>[95]summary!$M$55</f>
        <v>0</v>
      </c>
      <c r="I66" s="274">
        <f>[96]summary!$R$55</f>
        <v>0</v>
      </c>
      <c r="J66" s="274">
        <v>0</v>
      </c>
      <c r="K66" s="274">
        <v>0</v>
      </c>
      <c r="L66" s="274">
        <v>0</v>
      </c>
      <c r="M66" s="274">
        <v>0</v>
      </c>
      <c r="N66" s="274">
        <v>0</v>
      </c>
      <c r="O66" s="274">
        <v>0</v>
      </c>
      <c r="P66" s="274">
        <v>0</v>
      </c>
      <c r="Q66" s="274">
        <v>0</v>
      </c>
      <c r="R66" s="274">
        <v>0</v>
      </c>
      <c r="S66" s="274">
        <f>[97]summary!$BP$55</f>
        <v>0</v>
      </c>
      <c r="T66" s="17">
        <f>SUM(H66:S66)</f>
        <v>0</v>
      </c>
      <c r="U66" s="274">
        <v>0</v>
      </c>
      <c r="V66" s="274">
        <f>[95]summary!$M$55</f>
        <v>0</v>
      </c>
      <c r="W66" s="274">
        <f>[96]summary!$R$55</f>
        <v>0</v>
      </c>
      <c r="X66" s="274">
        <v>0</v>
      </c>
      <c r="Y66" s="274">
        <v>0</v>
      </c>
      <c r="Z66" s="274">
        <v>0</v>
      </c>
      <c r="AA66" s="274">
        <v>0</v>
      </c>
      <c r="AB66" s="274">
        <v>0</v>
      </c>
      <c r="AC66" s="274">
        <v>0</v>
      </c>
      <c r="AD66" s="274">
        <v>0</v>
      </c>
      <c r="AE66" s="274">
        <v>0</v>
      </c>
      <c r="AF66" s="274">
        <v>0</v>
      </c>
      <c r="AG66" s="274">
        <f>[97]summary!$BP$55</f>
        <v>0</v>
      </c>
      <c r="AH66" s="485">
        <f>SUM(V66:W66)</f>
        <v>0</v>
      </c>
      <c r="AI66" s="548"/>
      <c r="AJ66" s="514"/>
      <c r="AK66" s="541">
        <f t="shared" si="4"/>
        <v>0</v>
      </c>
      <c r="AL66" s="519">
        <f t="shared" si="8"/>
        <v>0</v>
      </c>
      <c r="AM66" s="519"/>
    </row>
    <row r="67" spans="1:39" hidden="1" x14ac:dyDescent="0.2">
      <c r="A67" s="510"/>
      <c r="B67" s="510"/>
      <c r="C67" s="524"/>
      <c r="D67" s="510"/>
      <c r="E67" s="510" t="s">
        <v>521</v>
      </c>
      <c r="F67" s="558"/>
      <c r="G67" s="274">
        <f>[95]summary!$H$56</f>
        <v>0</v>
      </c>
      <c r="H67" s="274">
        <f>[95]summary!$M$56</f>
        <v>0</v>
      </c>
      <c r="I67" s="274">
        <f>[96]summary!$R$56</f>
        <v>0</v>
      </c>
      <c r="J67" s="274">
        <v>0</v>
      </c>
      <c r="K67" s="274">
        <v>0</v>
      </c>
      <c r="L67" s="274">
        <v>0</v>
      </c>
      <c r="M67" s="274">
        <v>0</v>
      </c>
      <c r="N67" s="274">
        <v>0</v>
      </c>
      <c r="O67" s="274">
        <v>0</v>
      </c>
      <c r="P67" s="274">
        <v>0</v>
      </c>
      <c r="Q67" s="274">
        <v>0</v>
      </c>
      <c r="R67" s="274">
        <v>0</v>
      </c>
      <c r="S67" s="274">
        <f>[97]summary!$BP$56</f>
        <v>0</v>
      </c>
      <c r="T67" s="17">
        <f>SUM(H67:S67)</f>
        <v>0</v>
      </c>
      <c r="U67" s="274">
        <v>0</v>
      </c>
      <c r="V67" s="274">
        <f>[95]summary!$M$56</f>
        <v>0</v>
      </c>
      <c r="W67" s="274">
        <f>[96]summary!$R$56</f>
        <v>0</v>
      </c>
      <c r="X67" s="274">
        <v>0</v>
      </c>
      <c r="Y67" s="274">
        <v>0</v>
      </c>
      <c r="Z67" s="274">
        <v>0</v>
      </c>
      <c r="AA67" s="274">
        <v>0</v>
      </c>
      <c r="AB67" s="274">
        <v>0</v>
      </c>
      <c r="AC67" s="274">
        <v>0</v>
      </c>
      <c r="AD67" s="274">
        <v>0</v>
      </c>
      <c r="AE67" s="274">
        <v>0</v>
      </c>
      <c r="AF67" s="274">
        <v>0</v>
      </c>
      <c r="AG67" s="274">
        <f>[97]summary!$BP$56</f>
        <v>0</v>
      </c>
      <c r="AH67" s="485">
        <f>SUM(V67:W67)</f>
        <v>0</v>
      </c>
      <c r="AI67" s="548"/>
      <c r="AJ67" s="514"/>
      <c r="AK67" s="541">
        <f t="shared" si="4"/>
        <v>0</v>
      </c>
      <c r="AL67" s="519">
        <f t="shared" si="8"/>
        <v>0</v>
      </c>
      <c r="AM67" s="519"/>
    </row>
    <row r="68" spans="1:39" hidden="1" x14ac:dyDescent="0.2">
      <c r="A68" s="510"/>
      <c r="B68" s="510"/>
      <c r="C68" s="524"/>
      <c r="D68" s="510"/>
      <c r="E68" s="510" t="s">
        <v>532</v>
      </c>
      <c r="F68" s="558"/>
      <c r="G68" s="274"/>
      <c r="H68" s="274"/>
      <c r="I68" s="274"/>
      <c r="J68" s="274"/>
      <c r="K68" s="274"/>
      <c r="L68" s="274"/>
      <c r="M68" s="274"/>
      <c r="N68" s="274"/>
      <c r="O68" s="274"/>
      <c r="P68" s="274"/>
      <c r="Q68" s="274"/>
      <c r="R68" s="274"/>
      <c r="S68" s="274"/>
      <c r="T68" s="17"/>
      <c r="U68" s="274"/>
      <c r="V68" s="274"/>
      <c r="W68" s="274"/>
      <c r="X68" s="274"/>
      <c r="Y68" s="274"/>
      <c r="Z68" s="274"/>
      <c r="AA68" s="274"/>
      <c r="AB68" s="274"/>
      <c r="AC68" s="274"/>
      <c r="AD68" s="274"/>
      <c r="AE68" s="274"/>
      <c r="AF68" s="274"/>
      <c r="AG68" s="274"/>
      <c r="AH68" s="485"/>
      <c r="AI68" s="548"/>
      <c r="AJ68" s="514"/>
      <c r="AK68" s="541">
        <f t="shared" si="4"/>
        <v>0</v>
      </c>
      <c r="AL68" s="519">
        <f t="shared" si="8"/>
        <v>0</v>
      </c>
      <c r="AM68" s="519"/>
    </row>
    <row r="69" spans="1:39" hidden="1" x14ac:dyDescent="0.2">
      <c r="A69" s="510"/>
      <c r="B69" s="510"/>
      <c r="C69" s="524"/>
      <c r="D69" s="510"/>
      <c r="E69" s="569" t="s">
        <v>530</v>
      </c>
      <c r="F69" s="558"/>
      <c r="G69" s="274">
        <f>[95]summary!$H$58</f>
        <v>0</v>
      </c>
      <c r="H69" s="274">
        <f>[95]summary!$M$58</f>
        <v>0</v>
      </c>
      <c r="I69" s="274">
        <f>[96]summary!$R$58</f>
        <v>0</v>
      </c>
      <c r="J69" s="274">
        <v>0</v>
      </c>
      <c r="K69" s="274">
        <v>0</v>
      </c>
      <c r="L69" s="274">
        <v>0</v>
      </c>
      <c r="M69" s="274">
        <v>0</v>
      </c>
      <c r="N69" s="274">
        <v>0</v>
      </c>
      <c r="O69" s="274">
        <v>0</v>
      </c>
      <c r="P69" s="274">
        <v>0</v>
      </c>
      <c r="Q69" s="274">
        <v>0</v>
      </c>
      <c r="R69" s="274">
        <v>0</v>
      </c>
      <c r="S69" s="274">
        <f>[97]summary!$BP$58</f>
        <v>0</v>
      </c>
      <c r="T69" s="17">
        <f>SUM(H69:S69)</f>
        <v>0</v>
      </c>
      <c r="U69" s="274">
        <v>0</v>
      </c>
      <c r="V69" s="274">
        <f>[95]summary!$M$58</f>
        <v>0</v>
      </c>
      <c r="W69" s="274">
        <f>[96]summary!$R$58</f>
        <v>0</v>
      </c>
      <c r="X69" s="274">
        <v>0</v>
      </c>
      <c r="Y69" s="274">
        <v>0</v>
      </c>
      <c r="Z69" s="274">
        <v>0</v>
      </c>
      <c r="AA69" s="274">
        <v>0</v>
      </c>
      <c r="AB69" s="274">
        <v>0</v>
      </c>
      <c r="AC69" s="274">
        <v>0</v>
      </c>
      <c r="AD69" s="274">
        <v>0</v>
      </c>
      <c r="AE69" s="274">
        <v>0</v>
      </c>
      <c r="AF69" s="274">
        <v>0</v>
      </c>
      <c r="AG69" s="274">
        <f>[97]summary!$BP$58</f>
        <v>0</v>
      </c>
      <c r="AH69" s="485">
        <f>SUM(V69:W69)</f>
        <v>0</v>
      </c>
      <c r="AI69" s="548"/>
      <c r="AJ69" s="514"/>
      <c r="AK69" s="541">
        <f t="shared" si="4"/>
        <v>0</v>
      </c>
      <c r="AL69" s="519">
        <f t="shared" si="8"/>
        <v>0</v>
      </c>
      <c r="AM69" s="519"/>
    </row>
    <row r="70" spans="1:39" hidden="1" x14ac:dyDescent="0.2">
      <c r="A70" s="510"/>
      <c r="B70" s="510"/>
      <c r="C70" s="524"/>
      <c r="D70" s="510"/>
      <c r="E70" s="569" t="s">
        <v>531</v>
      </c>
      <c r="F70" s="558"/>
      <c r="G70" s="274">
        <f>[95]summary!$H$59</f>
        <v>0</v>
      </c>
      <c r="H70" s="274">
        <f>[95]summary!$M$59</f>
        <v>0</v>
      </c>
      <c r="I70" s="274">
        <f>[96]summary!$R$59</f>
        <v>0</v>
      </c>
      <c r="J70" s="274">
        <v>0</v>
      </c>
      <c r="K70" s="274">
        <v>0</v>
      </c>
      <c r="L70" s="274">
        <v>0</v>
      </c>
      <c r="M70" s="274">
        <v>0</v>
      </c>
      <c r="N70" s="274">
        <v>0</v>
      </c>
      <c r="O70" s="274">
        <v>0</v>
      </c>
      <c r="P70" s="274">
        <v>0</v>
      </c>
      <c r="Q70" s="274">
        <v>0</v>
      </c>
      <c r="R70" s="274">
        <v>0</v>
      </c>
      <c r="S70" s="274">
        <f>[97]summary!$BP$59</f>
        <v>0</v>
      </c>
      <c r="T70" s="17">
        <f>SUM(H70:S70)</f>
        <v>0</v>
      </c>
      <c r="U70" s="274">
        <v>0</v>
      </c>
      <c r="V70" s="274">
        <f>[95]summary!$M$59</f>
        <v>0</v>
      </c>
      <c r="W70" s="274">
        <f>[96]summary!$R$59</f>
        <v>0</v>
      </c>
      <c r="X70" s="274">
        <v>0</v>
      </c>
      <c r="Y70" s="274">
        <v>0</v>
      </c>
      <c r="Z70" s="274">
        <v>0</v>
      </c>
      <c r="AA70" s="274">
        <v>0</v>
      </c>
      <c r="AB70" s="274">
        <v>0</v>
      </c>
      <c r="AC70" s="274">
        <v>0</v>
      </c>
      <c r="AD70" s="274">
        <v>0</v>
      </c>
      <c r="AE70" s="274">
        <v>0</v>
      </c>
      <c r="AF70" s="274">
        <v>0</v>
      </c>
      <c r="AG70" s="274">
        <f>[97]summary!$BP$59</f>
        <v>0</v>
      </c>
      <c r="AH70" s="485">
        <f>SUM(V70:W70)</f>
        <v>0</v>
      </c>
      <c r="AI70" s="548"/>
      <c r="AJ70" s="514"/>
      <c r="AK70" s="541">
        <f t="shared" si="4"/>
        <v>0</v>
      </c>
      <c r="AL70" s="519">
        <f t="shared" si="8"/>
        <v>0</v>
      </c>
      <c r="AM70" s="519"/>
    </row>
    <row r="71" spans="1:39" hidden="1" x14ac:dyDescent="0.2">
      <c r="A71" s="510"/>
      <c r="B71" s="510"/>
      <c r="C71" s="524"/>
      <c r="D71" s="510"/>
      <c r="E71" s="569"/>
      <c r="F71" s="558"/>
      <c r="G71" s="274"/>
      <c r="H71" s="274"/>
      <c r="I71" s="274"/>
      <c r="J71" s="274"/>
      <c r="K71" s="274"/>
      <c r="L71" s="274"/>
      <c r="M71" s="274"/>
      <c r="N71" s="274"/>
      <c r="O71" s="274"/>
      <c r="P71" s="274"/>
      <c r="Q71" s="274"/>
      <c r="R71" s="274"/>
      <c r="S71" s="274"/>
      <c r="T71" s="17"/>
      <c r="U71" s="274"/>
      <c r="V71" s="274"/>
      <c r="W71" s="274"/>
      <c r="X71" s="274"/>
      <c r="Y71" s="274"/>
      <c r="Z71" s="274"/>
      <c r="AA71" s="274"/>
      <c r="AB71" s="274"/>
      <c r="AC71" s="274"/>
      <c r="AD71" s="274"/>
      <c r="AE71" s="274"/>
      <c r="AF71" s="274"/>
      <c r="AG71" s="274"/>
      <c r="AH71" s="485"/>
      <c r="AI71" s="548"/>
      <c r="AJ71" s="514"/>
      <c r="AK71" s="541">
        <f t="shared" si="4"/>
        <v>0</v>
      </c>
      <c r="AL71" s="519">
        <f t="shared" si="8"/>
        <v>0</v>
      </c>
      <c r="AM71" s="519"/>
    </row>
    <row r="72" spans="1:39" hidden="1" x14ac:dyDescent="0.2">
      <c r="A72" s="510"/>
      <c r="B72" s="510"/>
      <c r="C72" s="524"/>
      <c r="D72" s="510" t="s">
        <v>533</v>
      </c>
      <c r="E72" s="510"/>
      <c r="F72" s="558"/>
      <c r="G72" s="274">
        <v>0</v>
      </c>
      <c r="H72" s="274">
        <f t="shared" ref="H72:S72" si="23">SUM(H73:H77)</f>
        <v>0</v>
      </c>
      <c r="I72" s="274">
        <f t="shared" si="23"/>
        <v>0</v>
      </c>
      <c r="J72" s="274">
        <f t="shared" si="23"/>
        <v>0</v>
      </c>
      <c r="K72" s="274">
        <f t="shared" si="23"/>
        <v>0</v>
      </c>
      <c r="L72" s="274">
        <f t="shared" si="23"/>
        <v>0</v>
      </c>
      <c r="M72" s="274">
        <f t="shared" si="23"/>
        <v>0</v>
      </c>
      <c r="N72" s="274">
        <f t="shared" si="23"/>
        <v>0</v>
      </c>
      <c r="O72" s="274">
        <f t="shared" si="23"/>
        <v>0</v>
      </c>
      <c r="P72" s="274">
        <f t="shared" si="23"/>
        <v>0</v>
      </c>
      <c r="Q72" s="274">
        <f t="shared" si="23"/>
        <v>0</v>
      </c>
      <c r="R72" s="274">
        <f t="shared" si="23"/>
        <v>0</v>
      </c>
      <c r="S72" s="274">
        <f t="shared" si="23"/>
        <v>0</v>
      </c>
      <c r="T72" s="17">
        <f>SUM(T73:T77)</f>
        <v>0</v>
      </c>
      <c r="U72" s="274">
        <v>0</v>
      </c>
      <c r="V72" s="274">
        <f t="shared" ref="V72:AG72" si="24">SUM(V73:V77)</f>
        <v>0</v>
      </c>
      <c r="W72" s="274">
        <f t="shared" si="24"/>
        <v>0</v>
      </c>
      <c r="X72" s="274">
        <f t="shared" si="24"/>
        <v>0</v>
      </c>
      <c r="Y72" s="274">
        <f t="shared" si="24"/>
        <v>0</v>
      </c>
      <c r="Z72" s="274">
        <f t="shared" si="24"/>
        <v>0</v>
      </c>
      <c r="AA72" s="274">
        <f t="shared" si="24"/>
        <v>0</v>
      </c>
      <c r="AB72" s="274">
        <f t="shared" si="24"/>
        <v>0</v>
      </c>
      <c r="AC72" s="274">
        <f t="shared" si="24"/>
        <v>0</v>
      </c>
      <c r="AD72" s="274">
        <f t="shared" si="24"/>
        <v>0</v>
      </c>
      <c r="AE72" s="274">
        <f t="shared" si="24"/>
        <v>0</v>
      </c>
      <c r="AF72" s="274">
        <f t="shared" si="24"/>
        <v>0</v>
      </c>
      <c r="AG72" s="274">
        <f t="shared" si="24"/>
        <v>0</v>
      </c>
      <c r="AH72" s="485">
        <f>SUM(AH73:AH77)</f>
        <v>0</v>
      </c>
      <c r="AI72" s="548"/>
      <c r="AJ72" s="514"/>
      <c r="AK72" s="541">
        <f t="shared" si="4"/>
        <v>0</v>
      </c>
      <c r="AL72" s="519">
        <f t="shared" si="8"/>
        <v>0</v>
      </c>
      <c r="AM72" s="519"/>
    </row>
    <row r="73" spans="1:39" hidden="1" x14ac:dyDescent="0.2">
      <c r="A73" s="510"/>
      <c r="B73" s="510"/>
      <c r="C73" s="524"/>
      <c r="D73" s="510"/>
      <c r="E73" s="510" t="s">
        <v>520</v>
      </c>
      <c r="F73" s="558"/>
      <c r="G73" s="274">
        <v>0</v>
      </c>
      <c r="H73" s="274">
        <v>0</v>
      </c>
      <c r="I73" s="274">
        <v>0</v>
      </c>
      <c r="J73" s="274">
        <v>0</v>
      </c>
      <c r="K73" s="274">
        <v>0</v>
      </c>
      <c r="L73" s="274">
        <v>0</v>
      </c>
      <c r="M73" s="274">
        <v>0</v>
      </c>
      <c r="N73" s="274">
        <v>0</v>
      </c>
      <c r="O73" s="274">
        <v>0</v>
      </c>
      <c r="P73" s="274">
        <v>0</v>
      </c>
      <c r="Q73" s="274">
        <v>0</v>
      </c>
      <c r="R73" s="274">
        <v>0</v>
      </c>
      <c r="S73" s="274">
        <v>0</v>
      </c>
      <c r="T73" s="17">
        <f>SUM(H73:S73)</f>
        <v>0</v>
      </c>
      <c r="U73" s="274">
        <v>0</v>
      </c>
      <c r="V73" s="274">
        <v>0</v>
      </c>
      <c r="W73" s="274">
        <v>0</v>
      </c>
      <c r="X73" s="274">
        <v>0</v>
      </c>
      <c r="Y73" s="274">
        <v>0</v>
      </c>
      <c r="Z73" s="274">
        <v>0</v>
      </c>
      <c r="AA73" s="274">
        <v>0</v>
      </c>
      <c r="AB73" s="274">
        <v>0</v>
      </c>
      <c r="AC73" s="274">
        <v>0</v>
      </c>
      <c r="AD73" s="274">
        <v>0</v>
      </c>
      <c r="AE73" s="274">
        <v>0</v>
      </c>
      <c r="AF73" s="274">
        <v>0</v>
      </c>
      <c r="AG73" s="274">
        <v>0</v>
      </c>
      <c r="AH73" s="485">
        <f>SUM(V73:AG73)</f>
        <v>0</v>
      </c>
      <c r="AI73" s="548"/>
      <c r="AJ73" s="514"/>
      <c r="AK73" s="541">
        <f t="shared" si="4"/>
        <v>0</v>
      </c>
      <c r="AL73" s="519">
        <f t="shared" si="8"/>
        <v>0</v>
      </c>
      <c r="AM73" s="519"/>
    </row>
    <row r="74" spans="1:39" hidden="1" x14ac:dyDescent="0.2">
      <c r="A74" s="510"/>
      <c r="B74" s="510"/>
      <c r="C74" s="524"/>
      <c r="D74" s="510"/>
      <c r="E74" s="510" t="s">
        <v>521</v>
      </c>
      <c r="F74" s="558"/>
      <c r="G74" s="274">
        <v>0</v>
      </c>
      <c r="H74" s="274">
        <v>0</v>
      </c>
      <c r="I74" s="274">
        <v>0</v>
      </c>
      <c r="J74" s="274">
        <v>0</v>
      </c>
      <c r="K74" s="274">
        <v>0</v>
      </c>
      <c r="L74" s="274">
        <v>0</v>
      </c>
      <c r="M74" s="274">
        <v>0</v>
      </c>
      <c r="N74" s="274">
        <v>0</v>
      </c>
      <c r="O74" s="274">
        <v>0</v>
      </c>
      <c r="P74" s="274">
        <v>0</v>
      </c>
      <c r="Q74" s="274">
        <v>0</v>
      </c>
      <c r="R74" s="274">
        <v>0</v>
      </c>
      <c r="S74" s="274">
        <v>0</v>
      </c>
      <c r="T74" s="17">
        <f>SUM(H74:S74)</f>
        <v>0</v>
      </c>
      <c r="U74" s="274">
        <v>0</v>
      </c>
      <c r="V74" s="274">
        <v>0</v>
      </c>
      <c r="W74" s="274">
        <v>0</v>
      </c>
      <c r="X74" s="274">
        <v>0</v>
      </c>
      <c r="Y74" s="274">
        <v>0</v>
      </c>
      <c r="Z74" s="274">
        <v>0</v>
      </c>
      <c r="AA74" s="274">
        <v>0</v>
      </c>
      <c r="AB74" s="274">
        <v>0</v>
      </c>
      <c r="AC74" s="274">
        <v>0</v>
      </c>
      <c r="AD74" s="274">
        <v>0</v>
      </c>
      <c r="AE74" s="274">
        <v>0</v>
      </c>
      <c r="AF74" s="274">
        <v>0</v>
      </c>
      <c r="AG74" s="274">
        <v>0</v>
      </c>
      <c r="AH74" s="485">
        <f>SUM(V74:AG74)</f>
        <v>0</v>
      </c>
      <c r="AI74" s="548"/>
      <c r="AJ74" s="514"/>
      <c r="AK74" s="541">
        <f t="shared" si="4"/>
        <v>0</v>
      </c>
      <c r="AL74" s="519">
        <f t="shared" si="8"/>
        <v>0</v>
      </c>
      <c r="AM74" s="519"/>
    </row>
    <row r="75" spans="1:39" hidden="1" x14ac:dyDescent="0.2">
      <c r="A75" s="510"/>
      <c r="B75" s="510"/>
      <c r="C75" s="524"/>
      <c r="D75" s="510"/>
      <c r="E75" s="510" t="s">
        <v>534</v>
      </c>
      <c r="F75" s="558"/>
      <c r="G75" s="274"/>
      <c r="H75" s="274"/>
      <c r="I75" s="274"/>
      <c r="J75" s="274"/>
      <c r="K75" s="274"/>
      <c r="L75" s="274"/>
      <c r="M75" s="274"/>
      <c r="N75" s="274"/>
      <c r="O75" s="274"/>
      <c r="P75" s="274"/>
      <c r="Q75" s="274"/>
      <c r="R75" s="274"/>
      <c r="S75" s="274"/>
      <c r="T75" s="17"/>
      <c r="U75" s="274"/>
      <c r="V75" s="274"/>
      <c r="W75" s="274"/>
      <c r="X75" s="274"/>
      <c r="Y75" s="274"/>
      <c r="Z75" s="274"/>
      <c r="AA75" s="274"/>
      <c r="AB75" s="274"/>
      <c r="AC75" s="274"/>
      <c r="AD75" s="274"/>
      <c r="AE75" s="274"/>
      <c r="AF75" s="274"/>
      <c r="AG75" s="274"/>
      <c r="AH75" s="485"/>
      <c r="AI75" s="548"/>
      <c r="AJ75" s="514"/>
      <c r="AK75" s="541">
        <f t="shared" si="4"/>
        <v>0</v>
      </c>
      <c r="AL75" s="519">
        <f t="shared" ref="AL75:AL99" si="25">SUM(V75:AG75)-AH75</f>
        <v>0</v>
      </c>
      <c r="AM75" s="519"/>
    </row>
    <row r="76" spans="1:39" hidden="1" x14ac:dyDescent="0.2">
      <c r="A76" s="510"/>
      <c r="B76" s="510"/>
      <c r="C76" s="524"/>
      <c r="D76" s="510"/>
      <c r="E76" s="569" t="s">
        <v>530</v>
      </c>
      <c r="F76" s="558"/>
      <c r="G76" s="274">
        <v>0</v>
      </c>
      <c r="H76" s="274">
        <v>0</v>
      </c>
      <c r="I76" s="274">
        <v>0</v>
      </c>
      <c r="J76" s="274">
        <v>0</v>
      </c>
      <c r="K76" s="274">
        <v>0</v>
      </c>
      <c r="L76" s="274">
        <v>0</v>
      </c>
      <c r="M76" s="274">
        <v>0</v>
      </c>
      <c r="N76" s="274">
        <v>0</v>
      </c>
      <c r="O76" s="274">
        <v>0</v>
      </c>
      <c r="P76" s="274">
        <v>0</v>
      </c>
      <c r="Q76" s="274">
        <v>0</v>
      </c>
      <c r="R76" s="274">
        <v>0</v>
      </c>
      <c r="S76" s="274">
        <v>0</v>
      </c>
      <c r="T76" s="17">
        <f>SUM(H76:S76)</f>
        <v>0</v>
      </c>
      <c r="U76" s="274">
        <v>0</v>
      </c>
      <c r="V76" s="274">
        <v>0</v>
      </c>
      <c r="W76" s="274">
        <v>0</v>
      </c>
      <c r="X76" s="274">
        <v>0</v>
      </c>
      <c r="Y76" s="274">
        <v>0</v>
      </c>
      <c r="Z76" s="274">
        <v>0</v>
      </c>
      <c r="AA76" s="274">
        <v>0</v>
      </c>
      <c r="AB76" s="274">
        <v>0</v>
      </c>
      <c r="AC76" s="274">
        <v>0</v>
      </c>
      <c r="AD76" s="274">
        <v>0</v>
      </c>
      <c r="AE76" s="274">
        <v>0</v>
      </c>
      <c r="AF76" s="274">
        <v>0</v>
      </c>
      <c r="AG76" s="274">
        <v>0</v>
      </c>
      <c r="AH76" s="485">
        <f>SUM(V76:AG76)</f>
        <v>0</v>
      </c>
      <c r="AI76" s="548"/>
      <c r="AJ76" s="514"/>
      <c r="AK76" s="541">
        <f t="shared" si="4"/>
        <v>0</v>
      </c>
      <c r="AL76" s="519">
        <f t="shared" si="25"/>
        <v>0</v>
      </c>
      <c r="AM76" s="519"/>
    </row>
    <row r="77" spans="1:39" hidden="1" x14ac:dyDescent="0.2">
      <c r="A77" s="510"/>
      <c r="B77" s="510"/>
      <c r="C77" s="524"/>
      <c r="D77" s="510"/>
      <c r="E77" s="569" t="s">
        <v>531</v>
      </c>
      <c r="F77" s="558"/>
      <c r="G77" s="274">
        <v>0</v>
      </c>
      <c r="H77" s="274">
        <v>0</v>
      </c>
      <c r="I77" s="274">
        <v>0</v>
      </c>
      <c r="J77" s="274">
        <v>0</v>
      </c>
      <c r="K77" s="274">
        <v>0</v>
      </c>
      <c r="L77" s="274">
        <v>0</v>
      </c>
      <c r="M77" s="274">
        <v>0</v>
      </c>
      <c r="N77" s="274">
        <v>0</v>
      </c>
      <c r="O77" s="274">
        <v>0</v>
      </c>
      <c r="P77" s="274">
        <v>0</v>
      </c>
      <c r="Q77" s="274">
        <v>0</v>
      </c>
      <c r="R77" s="274">
        <v>0</v>
      </c>
      <c r="S77" s="274">
        <v>0</v>
      </c>
      <c r="T77" s="17">
        <f>SUM(H77:S77)</f>
        <v>0</v>
      </c>
      <c r="U77" s="274">
        <v>0</v>
      </c>
      <c r="V77" s="274">
        <v>0</v>
      </c>
      <c r="W77" s="274">
        <v>0</v>
      </c>
      <c r="X77" s="274">
        <v>0</v>
      </c>
      <c r="Y77" s="274">
        <v>0</v>
      </c>
      <c r="Z77" s="274">
        <v>0</v>
      </c>
      <c r="AA77" s="274">
        <v>0</v>
      </c>
      <c r="AB77" s="274">
        <v>0</v>
      </c>
      <c r="AC77" s="274">
        <v>0</v>
      </c>
      <c r="AD77" s="274">
        <v>0</v>
      </c>
      <c r="AE77" s="274">
        <v>0</v>
      </c>
      <c r="AF77" s="274">
        <v>0</v>
      </c>
      <c r="AG77" s="274">
        <v>0</v>
      </c>
      <c r="AH77" s="485">
        <f>SUM(V77:AG77)</f>
        <v>0</v>
      </c>
      <c r="AI77" s="548"/>
      <c r="AJ77" s="514"/>
      <c r="AK77" s="541">
        <f t="shared" si="4"/>
        <v>0</v>
      </c>
      <c r="AL77" s="519">
        <f t="shared" si="25"/>
        <v>0</v>
      </c>
      <c r="AM77" s="519"/>
    </row>
    <row r="78" spans="1:39" hidden="1" x14ac:dyDescent="0.2">
      <c r="A78" s="510"/>
      <c r="B78" s="510"/>
      <c r="C78" s="524"/>
      <c r="D78" s="510"/>
      <c r="E78" s="510"/>
      <c r="F78" s="558"/>
      <c r="G78" s="274"/>
      <c r="H78" s="17"/>
      <c r="I78" s="17"/>
      <c r="J78" s="17"/>
      <c r="K78" s="17"/>
      <c r="L78" s="17"/>
      <c r="M78" s="17"/>
      <c r="N78" s="17"/>
      <c r="O78" s="17"/>
      <c r="P78" s="17"/>
      <c r="Q78" s="17"/>
      <c r="R78" s="17"/>
      <c r="S78" s="17"/>
      <c r="T78" s="17"/>
      <c r="U78" s="274"/>
      <c r="V78" s="17"/>
      <c r="W78" s="17"/>
      <c r="X78" s="17"/>
      <c r="Y78" s="17"/>
      <c r="Z78" s="17"/>
      <c r="AA78" s="17"/>
      <c r="AB78" s="17"/>
      <c r="AC78" s="17"/>
      <c r="AD78" s="17"/>
      <c r="AE78" s="17"/>
      <c r="AF78" s="17"/>
      <c r="AG78" s="17"/>
      <c r="AH78" s="485"/>
      <c r="AI78" s="548"/>
      <c r="AJ78" s="514"/>
      <c r="AK78" s="541">
        <f t="shared" si="4"/>
        <v>0</v>
      </c>
      <c r="AL78" s="519">
        <f t="shared" si="25"/>
        <v>0</v>
      </c>
      <c r="AM78" s="519"/>
    </row>
    <row r="79" spans="1:39" hidden="1" x14ac:dyDescent="0.2">
      <c r="A79" s="510"/>
      <c r="B79" s="510"/>
      <c r="C79" s="524"/>
      <c r="D79" s="510"/>
      <c r="E79" s="510"/>
      <c r="F79" s="514"/>
      <c r="G79" s="274"/>
      <c r="H79" s="17"/>
      <c r="I79" s="17"/>
      <c r="J79" s="17"/>
      <c r="K79" s="17"/>
      <c r="L79" s="17"/>
      <c r="M79" s="17"/>
      <c r="N79" s="17"/>
      <c r="O79" s="17"/>
      <c r="P79" s="17"/>
      <c r="Q79" s="17"/>
      <c r="R79" s="17"/>
      <c r="S79" s="17"/>
      <c r="T79" s="17"/>
      <c r="U79" s="274"/>
      <c r="V79" s="17"/>
      <c r="W79" s="17"/>
      <c r="X79" s="17"/>
      <c r="Y79" s="17"/>
      <c r="Z79" s="17"/>
      <c r="AA79" s="17"/>
      <c r="AB79" s="17"/>
      <c r="AC79" s="17"/>
      <c r="AD79" s="17"/>
      <c r="AE79" s="17"/>
      <c r="AF79" s="17"/>
      <c r="AG79" s="17"/>
      <c r="AH79" s="485"/>
      <c r="AI79" s="548"/>
      <c r="AJ79" s="514"/>
      <c r="AK79" s="541">
        <f t="shared" si="4"/>
        <v>0</v>
      </c>
      <c r="AL79" s="519">
        <f t="shared" si="25"/>
        <v>0</v>
      </c>
      <c r="AM79" s="519"/>
    </row>
    <row r="80" spans="1:39" s="557" customFormat="1" x14ac:dyDescent="0.2">
      <c r="A80" s="526"/>
      <c r="B80" s="526"/>
      <c r="C80" s="525" t="s">
        <v>535</v>
      </c>
      <c r="D80" s="526"/>
      <c r="E80" s="526"/>
      <c r="F80" s="545" t="s">
        <v>536</v>
      </c>
      <c r="G80" s="422">
        <f t="shared" ref="G80:AH80" si="26">SUM(G81:G84)</f>
        <v>-52440099.997653</v>
      </c>
      <c r="H80" s="546">
        <f t="shared" si="26"/>
        <v>15659489</v>
      </c>
      <c r="I80" s="546">
        <f t="shared" si="26"/>
        <v>-128367.74399999995</v>
      </c>
      <c r="J80" s="546">
        <f>SUM(J81:J84)</f>
        <v>-20445485</v>
      </c>
      <c r="K80" s="546">
        <f t="shared" si="26"/>
        <v>-78401907</v>
      </c>
      <c r="L80" s="546">
        <f t="shared" si="26"/>
        <v>68828004</v>
      </c>
      <c r="M80" s="546">
        <f t="shared" si="26"/>
        <v>-19226275</v>
      </c>
      <c r="N80" s="546">
        <f t="shared" si="26"/>
        <v>-23714757</v>
      </c>
      <c r="O80" s="546">
        <f t="shared" si="26"/>
        <v>-17589146</v>
      </c>
      <c r="P80" s="546">
        <f t="shared" si="26"/>
        <v>-23681013</v>
      </c>
      <c r="Q80" s="546">
        <f>SUM(Q81:Q84)</f>
        <v>59627181</v>
      </c>
      <c r="R80" s="546">
        <f t="shared" si="26"/>
        <v>-12514190</v>
      </c>
      <c r="S80" s="546">
        <f t="shared" si="26"/>
        <v>-21587737</v>
      </c>
      <c r="T80" s="546">
        <f t="shared" si="26"/>
        <v>-73174203.744000003</v>
      </c>
      <c r="U80" s="422">
        <f t="shared" si="26"/>
        <v>-992946.23488045018</v>
      </c>
      <c r="V80" s="546">
        <f t="shared" si="26"/>
        <v>22552116</v>
      </c>
      <c r="W80" s="546">
        <f t="shared" si="26"/>
        <v>4370804</v>
      </c>
      <c r="X80" s="546">
        <f t="shared" si="26"/>
        <v>-78436505</v>
      </c>
      <c r="Y80" s="546">
        <f t="shared" si="26"/>
        <v>80693607</v>
      </c>
      <c r="Z80" s="546">
        <f t="shared" si="26"/>
        <v>4029291</v>
      </c>
      <c r="AA80" s="546">
        <f t="shared" si="26"/>
        <v>-82870298</v>
      </c>
      <c r="AB80" s="546">
        <f t="shared" si="26"/>
        <v>4688204</v>
      </c>
      <c r="AC80" s="546">
        <f t="shared" si="26"/>
        <v>-2800476</v>
      </c>
      <c r="AD80" s="546">
        <f t="shared" si="26"/>
        <v>-3885130</v>
      </c>
      <c r="AE80" s="546">
        <f t="shared" si="26"/>
        <v>33890860</v>
      </c>
      <c r="AF80" s="546">
        <f t="shared" si="26"/>
        <v>-23025988</v>
      </c>
      <c r="AG80" s="546">
        <f>SUM(AG81:AG84)</f>
        <v>39800568.765119553</v>
      </c>
      <c r="AH80" s="547">
        <f t="shared" si="26"/>
        <v>-992946.23488045018</v>
      </c>
      <c r="AI80" s="556"/>
      <c r="AJ80" s="527"/>
      <c r="AK80" s="541">
        <f t="shared" si="4"/>
        <v>0</v>
      </c>
      <c r="AL80" s="519">
        <f t="shared" si="25"/>
        <v>2.7939677238464355E-9</v>
      </c>
      <c r="AM80" s="519"/>
    </row>
    <row r="81" spans="1:39" x14ac:dyDescent="0.2">
      <c r="A81" s="510"/>
      <c r="B81" s="510"/>
      <c r="C81" s="524"/>
      <c r="D81" s="510"/>
      <c r="E81" s="510" t="s">
        <v>537</v>
      </c>
      <c r="F81" s="514"/>
      <c r="G81" s="274">
        <f>[40]summary!$H$72+[40]summary!$H$73</f>
        <v>6516232.0023469981</v>
      </c>
      <c r="H81" s="17">
        <f>[41]summary!$M$73+[41]summary!$M$74</f>
        <v>0</v>
      </c>
      <c r="I81" s="17">
        <f>[42]cashbalances!$R$27+[42]cashbalances!$R$32</f>
        <v>871744.25600000005</v>
      </c>
      <c r="J81" s="17">
        <f>[43]summary!$W$72+[43]summary!$W$73</f>
        <v>0</v>
      </c>
      <c r="K81" s="17">
        <f>[44]summary!$AB$72+[44]summary!$AB$73</f>
        <v>104039</v>
      </c>
      <c r="L81" s="17">
        <f>[45]summary!$AG$72+[45]summary!$AG$73</f>
        <v>0</v>
      </c>
      <c r="M81" s="17">
        <f>[46]summary!$AL$73+[46]summary!$AL$72</f>
        <v>3836</v>
      </c>
      <c r="N81" s="17">
        <f>[53]summary!$AQ$72+[53]summary!$AQ$73</f>
        <v>1831061</v>
      </c>
      <c r="O81" s="17">
        <f>[52]summary!$AV$72+[52]summary!$AV$73</f>
        <v>2236273</v>
      </c>
      <c r="P81" s="17">
        <f>[49]summary!$BA$72+[49]summary!$BA$73</f>
        <v>1620990</v>
      </c>
      <c r="Q81" s="17">
        <f>[50]summary!$BF$72+[50]summary!$BF$73</f>
        <v>89678</v>
      </c>
      <c r="R81" s="17">
        <f>[40]summary!$BK$72+[40]summary!$BK$73</f>
        <v>1022787</v>
      </c>
      <c r="S81" s="17">
        <f>[51]summary!$BP$72+[51]summary!$BP$73</f>
        <v>6347054</v>
      </c>
      <c r="T81" s="17">
        <f>SUM(H81:S81)</f>
        <v>14127462.256000001</v>
      </c>
      <c r="U81" s="274">
        <f>[41]summary!$BZ$73+[41]summary!$BZ$74</f>
        <v>11453893</v>
      </c>
      <c r="V81" s="17">
        <f>[83]summary!$M$73+[83]summary!$M$74</f>
        <v>1285536</v>
      </c>
      <c r="W81" s="17">
        <f>[83]summary!$R$73+[83]summary!$R$74</f>
        <v>0</v>
      </c>
      <c r="X81" s="17">
        <f>[83]summary!$W$73+[83]summary!$W$74</f>
        <v>12272</v>
      </c>
      <c r="Y81" s="17">
        <f>[83]summary!$AB$73+[83]summary!$AB$74</f>
        <v>0</v>
      </c>
      <c r="Z81" s="17">
        <f>[83]summary!$AG$73+[83]summary!$AG$74</f>
        <v>1736821</v>
      </c>
      <c r="AA81" s="17">
        <f>[83]summary!$AL$73+[83]summary!$AL$74</f>
        <v>245929</v>
      </c>
      <c r="AB81" s="17">
        <f>[83]summary!$AQ$73+[83]summary!$AQ$74</f>
        <v>1889237</v>
      </c>
      <c r="AC81" s="17">
        <f>[83]summary!$AV$73+[83]summary!$AV$74</f>
        <v>1146180</v>
      </c>
      <c r="AD81" s="17">
        <f>[83]summary!$BA$73+[83]summary!$BA$74</f>
        <v>1005353</v>
      </c>
      <c r="AE81" s="17">
        <f>[83]summary!$BF$73+[83]summary!$BF$74</f>
        <v>41798</v>
      </c>
      <c r="AF81" s="17">
        <f>[83]summary!$BK$73+[83]summary!$BK$74</f>
        <v>360442</v>
      </c>
      <c r="AG81" s="17">
        <f>[83]summary!$BP$73+[83]summary!$BP$74</f>
        <v>3730325</v>
      </c>
      <c r="AH81" s="485">
        <f>SUM(V81:AG81)</f>
        <v>11453893</v>
      </c>
      <c r="AI81" s="548"/>
      <c r="AJ81" s="514"/>
      <c r="AK81" s="541">
        <f t="shared" si="4"/>
        <v>0</v>
      </c>
      <c r="AL81" s="519">
        <f t="shared" si="25"/>
        <v>0</v>
      </c>
      <c r="AM81" s="519"/>
    </row>
    <row r="82" spans="1:39" x14ac:dyDescent="0.2">
      <c r="A82" s="510"/>
      <c r="B82" s="510"/>
      <c r="C82" s="524"/>
      <c r="D82" s="510"/>
      <c r="E82" s="510" t="s">
        <v>538</v>
      </c>
      <c r="F82" s="570"/>
      <c r="G82" s="17">
        <f>[40]summary!$H$70</f>
        <v>0</v>
      </c>
      <c r="H82" s="18">
        <f>[41]summary!$M$71</f>
        <v>34143659</v>
      </c>
      <c r="I82" s="18">
        <f>[42]cashbalances!$R$23</f>
        <v>-4349966</v>
      </c>
      <c r="J82" s="18">
        <f>[43]summary!$W$70</f>
        <v>2527515</v>
      </c>
      <c r="K82" s="18">
        <f>[44]summary!$AB$70</f>
        <v>-24856159</v>
      </c>
      <c r="L82" s="18">
        <f>[45]summary!$AG$70</f>
        <v>26866570</v>
      </c>
      <c r="M82" s="18">
        <f>[46]summary!$AL$70</f>
        <v>-5977613</v>
      </c>
      <c r="N82" s="18">
        <f>[53]summary!$AQ$70</f>
        <v>15416167</v>
      </c>
      <c r="O82" s="18">
        <f>[52]summary!$AV$70</f>
        <v>-315227</v>
      </c>
      <c r="P82" s="18">
        <f>[49]summary!$BA$70</f>
        <v>-6539100</v>
      </c>
      <c r="Q82" s="18">
        <f>[50]summary!$BF$70</f>
        <v>59957836</v>
      </c>
      <c r="R82" s="18">
        <f>[40]summary!$BK$70</f>
        <v>-1550683</v>
      </c>
      <c r="S82" s="18">
        <f>[51]summary!$BP$70</f>
        <v>-80682653</v>
      </c>
      <c r="T82" s="17">
        <f>SUM(H82:S82)</f>
        <v>14640346</v>
      </c>
      <c r="U82" s="17">
        <f>[41]summary!$BZ$71</f>
        <v>-17008126</v>
      </c>
      <c r="V82" s="18">
        <f>[83]summary!$M$71</f>
        <v>-17895405</v>
      </c>
      <c r="W82" s="18">
        <f>[83]summary!$R$71</f>
        <v>-2162772</v>
      </c>
      <c r="X82" s="18">
        <f>[83]summary!$W$71</f>
        <v>1746060</v>
      </c>
      <c r="Y82" s="18">
        <f>[83]summary!$AB$71</f>
        <v>9207825</v>
      </c>
      <c r="Z82" s="18">
        <f>[83]summary!$AG$71</f>
        <v>-8222766</v>
      </c>
      <c r="AA82" s="18">
        <f>[83]summary!$AL$71</f>
        <v>21412052</v>
      </c>
      <c r="AB82" s="18">
        <f>[83]summary!$AQ$71</f>
        <v>67094</v>
      </c>
      <c r="AC82" s="18">
        <f>[83]summary!$AV$71</f>
        <v>5423083</v>
      </c>
      <c r="AD82" s="18">
        <f>[83]summary!$BA$71</f>
        <v>3006040</v>
      </c>
      <c r="AE82" s="18">
        <f>[83]summary!$BF$71</f>
        <v>484408</v>
      </c>
      <c r="AF82" s="18">
        <f>[83]summary!$BK$71</f>
        <v>4553332</v>
      </c>
      <c r="AG82" s="18">
        <f>[83]summary!$BP$71</f>
        <v>-34627077</v>
      </c>
      <c r="AH82" s="485">
        <f>SUM(V82:AG82)</f>
        <v>-17008126</v>
      </c>
      <c r="AI82" s="548"/>
      <c r="AJ82" s="514"/>
      <c r="AK82" s="541">
        <f t="shared" ref="AK82:AK99" si="27">AH82-U82</f>
        <v>0</v>
      </c>
      <c r="AL82" s="519">
        <f t="shared" si="25"/>
        <v>0</v>
      </c>
      <c r="AM82" s="519"/>
    </row>
    <row r="83" spans="1:39" x14ac:dyDescent="0.2">
      <c r="A83" s="510"/>
      <c r="B83" s="510"/>
      <c r="C83" s="524"/>
      <c r="D83" s="510"/>
      <c r="E83" s="510" t="s">
        <v>328</v>
      </c>
      <c r="F83" s="514"/>
      <c r="G83" s="274">
        <f>[40]summary!$H$71</f>
        <v>0</v>
      </c>
      <c r="H83" s="17">
        <f>[41]summary!$M$72</f>
        <v>0</v>
      </c>
      <c r="I83" s="17">
        <f>[42]cashbalances!$R$25</f>
        <v>0</v>
      </c>
      <c r="J83" s="17">
        <f>[43]summary!$W$71</f>
        <v>0</v>
      </c>
      <c r="K83" s="17">
        <f>[44]summary!$AB$71</f>
        <v>0</v>
      </c>
      <c r="L83" s="17">
        <f>[45]summary!$AG$71</f>
        <v>0</v>
      </c>
      <c r="M83" s="17">
        <f>[46]summary!$AL$71</f>
        <v>0</v>
      </c>
      <c r="N83" s="17">
        <f>[53]summary!$AQ$71</f>
        <v>0</v>
      </c>
      <c r="O83" s="17">
        <f>[52]summary!$AV$71</f>
        <v>0</v>
      </c>
      <c r="P83" s="17">
        <f>[49]summary!$BA$71</f>
        <v>0</v>
      </c>
      <c r="Q83" s="17">
        <f>[50]summary!$BF$71</f>
        <v>0</v>
      </c>
      <c r="R83" s="17">
        <f>[40]summary!$BK$71</f>
        <v>0</v>
      </c>
      <c r="S83" s="17">
        <f>[51]summary!$BP$71</f>
        <v>0</v>
      </c>
      <c r="T83" s="17">
        <v>0</v>
      </c>
      <c r="U83" s="274">
        <f>+[48]summary!$BZ$71</f>
        <v>2087301.7651195501</v>
      </c>
      <c r="V83" s="17">
        <f>[94]summary!$BU$73</f>
        <v>0</v>
      </c>
      <c r="W83" s="17">
        <f>[83]summary!$R$72</f>
        <v>0</v>
      </c>
      <c r="X83" s="17">
        <v>0</v>
      </c>
      <c r="Y83" s="17">
        <v>0</v>
      </c>
      <c r="Z83" s="17">
        <v>0</v>
      </c>
      <c r="AA83" s="17">
        <f>[83]summary!$AL$72</f>
        <v>0</v>
      </c>
      <c r="AB83" s="17">
        <f>[83]summary!$AQ$72</f>
        <v>0</v>
      </c>
      <c r="AC83" s="17">
        <f>[83]summary!$AV$72</f>
        <v>0</v>
      </c>
      <c r="AD83" s="17">
        <f>[83]summary!$BA$72</f>
        <v>0</v>
      </c>
      <c r="AE83" s="17">
        <f>[83]summary!$BF$72</f>
        <v>0</v>
      </c>
      <c r="AF83" s="17">
        <f>[83]summary!$BK$72</f>
        <v>0</v>
      </c>
      <c r="AG83" s="17">
        <f>[51]summary!$EH$71</f>
        <v>2087301.7651195501</v>
      </c>
      <c r="AH83" s="485">
        <f>SUM(V83:AG83)</f>
        <v>2087301.7651195501</v>
      </c>
      <c r="AI83" s="548"/>
      <c r="AJ83" s="514"/>
      <c r="AK83" s="541">
        <f t="shared" si="27"/>
        <v>0</v>
      </c>
      <c r="AL83" s="519">
        <f t="shared" si="25"/>
        <v>0</v>
      </c>
      <c r="AM83" s="519"/>
    </row>
    <row r="84" spans="1:39" x14ac:dyDescent="0.2">
      <c r="A84" s="510"/>
      <c r="B84" s="510"/>
      <c r="C84" s="524"/>
      <c r="D84" s="510"/>
      <c r="E84" s="510" t="s">
        <v>539</v>
      </c>
      <c r="F84" s="514"/>
      <c r="G84" s="274">
        <f>+G88</f>
        <v>-58956332</v>
      </c>
      <c r="H84" s="17">
        <f>+H88</f>
        <v>-18484170</v>
      </c>
      <c r="I84" s="17">
        <f>+I88</f>
        <v>3349854</v>
      </c>
      <c r="J84" s="17">
        <f>+J88</f>
        <v>-22973000</v>
      </c>
      <c r="K84" s="17">
        <f>+K88</f>
        <v>-53649787</v>
      </c>
      <c r="L84" s="17">
        <f>L88</f>
        <v>41961434</v>
      </c>
      <c r="M84" s="17">
        <f t="shared" ref="M84:R84" si="28">M88</f>
        <v>-13252498</v>
      </c>
      <c r="N84" s="17">
        <f>N88</f>
        <v>-40961985</v>
      </c>
      <c r="O84" s="17">
        <f t="shared" si="28"/>
        <v>-19510192</v>
      </c>
      <c r="P84" s="17">
        <f>P88</f>
        <v>-18762903</v>
      </c>
      <c r="Q84" s="17">
        <f t="shared" si="28"/>
        <v>-420333</v>
      </c>
      <c r="R84" s="17">
        <f t="shared" si="28"/>
        <v>-11986294</v>
      </c>
      <c r="S84" s="17">
        <f>S88</f>
        <v>52747862</v>
      </c>
      <c r="T84" s="17">
        <f t="shared" ref="T84:Y84" si="29">+T88</f>
        <v>-101942012</v>
      </c>
      <c r="U84" s="274">
        <f t="shared" si="29"/>
        <v>2473985</v>
      </c>
      <c r="V84" s="17">
        <f t="shared" si="29"/>
        <v>39161985</v>
      </c>
      <c r="W84" s="17">
        <f t="shared" si="29"/>
        <v>6533576</v>
      </c>
      <c r="X84" s="17">
        <f t="shared" si="29"/>
        <v>-80194837</v>
      </c>
      <c r="Y84" s="17">
        <f t="shared" si="29"/>
        <v>71485782</v>
      </c>
      <c r="Z84" s="17">
        <f t="shared" ref="Z84:AG84" si="30">Z88</f>
        <v>10515236</v>
      </c>
      <c r="AA84" s="17">
        <f t="shared" si="30"/>
        <v>-104528279</v>
      </c>
      <c r="AB84" s="17">
        <f t="shared" si="30"/>
        <v>2731873</v>
      </c>
      <c r="AC84" s="17">
        <f t="shared" si="30"/>
        <v>-9369739</v>
      </c>
      <c r="AD84" s="17">
        <f t="shared" si="30"/>
        <v>-7896523</v>
      </c>
      <c r="AE84" s="17">
        <f t="shared" si="30"/>
        <v>33364654</v>
      </c>
      <c r="AF84" s="17">
        <f t="shared" si="30"/>
        <v>-27939762</v>
      </c>
      <c r="AG84" s="17">
        <f t="shared" si="30"/>
        <v>68610019</v>
      </c>
      <c r="AH84" s="485">
        <f>+AH88</f>
        <v>2473985</v>
      </c>
      <c r="AI84" s="548"/>
      <c r="AJ84" s="514"/>
      <c r="AK84" s="541">
        <f t="shared" si="27"/>
        <v>0</v>
      </c>
      <c r="AL84" s="519">
        <f t="shared" si="25"/>
        <v>0</v>
      </c>
      <c r="AM84" s="519"/>
    </row>
    <row r="85" spans="1:39" x14ac:dyDescent="0.2">
      <c r="A85" s="510"/>
      <c r="B85" s="510"/>
      <c r="C85" s="571"/>
      <c r="D85" s="572"/>
      <c r="E85" s="572"/>
      <c r="F85" s="573"/>
      <c r="G85" s="461"/>
      <c r="H85" s="574"/>
      <c r="I85" s="574"/>
      <c r="J85" s="574"/>
      <c r="K85" s="574"/>
      <c r="L85" s="574"/>
      <c r="M85" s="574"/>
      <c r="N85" s="574"/>
      <c r="O85" s="574"/>
      <c r="P85" s="574"/>
      <c r="Q85" s="574"/>
      <c r="R85" s="574"/>
      <c r="S85" s="574"/>
      <c r="T85" s="574"/>
      <c r="U85" s="461"/>
      <c r="V85" s="574"/>
      <c r="W85" s="574"/>
      <c r="X85" s="574"/>
      <c r="Y85" s="574"/>
      <c r="Z85" s="574"/>
      <c r="AA85" s="574"/>
      <c r="AB85" s="574"/>
      <c r="AC85" s="574"/>
      <c r="AD85" s="574"/>
      <c r="AE85" s="574"/>
      <c r="AF85" s="574"/>
      <c r="AG85" s="574"/>
      <c r="AH85" s="575"/>
      <c r="AI85" s="548"/>
      <c r="AJ85" s="514"/>
      <c r="AK85" s="541"/>
      <c r="AL85" s="519"/>
      <c r="AM85" s="519"/>
    </row>
    <row r="86" spans="1:39" x14ac:dyDescent="0.2">
      <c r="A86" s="510"/>
      <c r="B86" s="510"/>
      <c r="C86" s="510"/>
      <c r="D86" s="510"/>
      <c r="E86" s="510"/>
      <c r="F86" s="514"/>
      <c r="G86" s="576"/>
      <c r="H86" s="576"/>
      <c r="I86" s="576"/>
      <c r="J86" s="576"/>
      <c r="K86" s="576"/>
      <c r="L86" s="576"/>
      <c r="M86" s="576"/>
      <c r="N86" s="576"/>
      <c r="O86" s="576"/>
      <c r="P86" s="576"/>
      <c r="Q86" s="576"/>
      <c r="R86" s="576"/>
      <c r="S86" s="576"/>
      <c r="T86" s="576"/>
      <c r="U86" s="576"/>
      <c r="V86" s="576"/>
      <c r="W86" s="576"/>
      <c r="X86" s="576"/>
      <c r="Y86" s="576"/>
      <c r="Z86" s="576"/>
      <c r="AA86" s="576"/>
      <c r="AB86" s="576"/>
      <c r="AC86" s="576"/>
      <c r="AD86" s="576"/>
      <c r="AE86" s="576"/>
      <c r="AF86" s="576"/>
      <c r="AG86" s="576"/>
      <c r="AH86" s="576"/>
      <c r="AI86" s="514"/>
      <c r="AJ86" s="514"/>
      <c r="AK86" s="541"/>
      <c r="AL86" s="519"/>
      <c r="AM86" s="519"/>
    </row>
    <row r="87" spans="1:39" x14ac:dyDescent="0.2">
      <c r="A87" s="510"/>
      <c r="B87" s="520"/>
      <c r="C87" s="577"/>
      <c r="D87" s="578"/>
      <c r="E87" s="579"/>
      <c r="F87" s="580"/>
      <c r="G87" s="581"/>
      <c r="H87" s="582"/>
      <c r="I87" s="582"/>
      <c r="J87" s="582"/>
      <c r="K87" s="582"/>
      <c r="L87" s="582"/>
      <c r="M87" s="582"/>
      <c r="N87" s="582"/>
      <c r="O87" s="582"/>
      <c r="P87" s="582"/>
      <c r="Q87" s="582"/>
      <c r="R87" s="582"/>
      <c r="S87" s="582"/>
      <c r="T87" s="581"/>
      <c r="U87" s="581"/>
      <c r="V87" s="582"/>
      <c r="W87" s="582"/>
      <c r="X87" s="582"/>
      <c r="Y87" s="582"/>
      <c r="Z87" s="582"/>
      <c r="AA87" s="582"/>
      <c r="AB87" s="582"/>
      <c r="AC87" s="582"/>
      <c r="AD87" s="582"/>
      <c r="AE87" s="582"/>
      <c r="AF87" s="582"/>
      <c r="AG87" s="582"/>
      <c r="AH87" s="583"/>
      <c r="AI87" s="556"/>
      <c r="AJ87" s="514"/>
      <c r="AK87" s="541"/>
      <c r="AL87" s="519"/>
      <c r="AM87" s="519"/>
    </row>
    <row r="88" spans="1:39" s="557" customFormat="1" x14ac:dyDescent="0.2">
      <c r="A88" s="526"/>
      <c r="B88" s="552"/>
      <c r="C88" s="584" t="s">
        <v>540</v>
      </c>
      <c r="D88" s="585"/>
      <c r="E88" s="526"/>
      <c r="F88" s="545" t="s">
        <v>536</v>
      </c>
      <c r="G88" s="422">
        <f>+G90-G96</f>
        <v>-58956332</v>
      </c>
      <c r="H88" s="546">
        <f t="shared" ref="H88:AH88" si="31">+H90-H96</f>
        <v>-18484170</v>
      </c>
      <c r="I88" s="546">
        <f t="shared" si="31"/>
        <v>3349854</v>
      </c>
      <c r="J88" s="546">
        <f>+J90-J96</f>
        <v>-22973000</v>
      </c>
      <c r="K88" s="546">
        <f>+K90-K96</f>
        <v>-53649787</v>
      </c>
      <c r="L88" s="546">
        <f>+L90-L96</f>
        <v>41961434</v>
      </c>
      <c r="M88" s="546">
        <f t="shared" si="31"/>
        <v>-13252498</v>
      </c>
      <c r="N88" s="546">
        <f>+N90-N96</f>
        <v>-40961985</v>
      </c>
      <c r="O88" s="546">
        <f t="shared" si="31"/>
        <v>-19510192</v>
      </c>
      <c r="P88" s="546">
        <f t="shared" si="31"/>
        <v>-18762903</v>
      </c>
      <c r="Q88" s="546">
        <f>+Q90-Q96</f>
        <v>-420333</v>
      </c>
      <c r="R88" s="546">
        <f t="shared" si="31"/>
        <v>-11986294</v>
      </c>
      <c r="S88" s="546">
        <f t="shared" si="31"/>
        <v>52747862</v>
      </c>
      <c r="T88" s="422">
        <f>+T90-T96</f>
        <v>-101942012</v>
      </c>
      <c r="U88" s="422">
        <f t="shared" si="31"/>
        <v>2473985</v>
      </c>
      <c r="V88" s="546">
        <f t="shared" si="31"/>
        <v>39161985</v>
      </c>
      <c r="W88" s="546">
        <f t="shared" si="31"/>
        <v>6533576</v>
      </c>
      <c r="X88" s="546">
        <f t="shared" si="31"/>
        <v>-80194837</v>
      </c>
      <c r="Y88" s="546">
        <f t="shared" si="31"/>
        <v>71485782</v>
      </c>
      <c r="Z88" s="546">
        <f t="shared" si="31"/>
        <v>10515236</v>
      </c>
      <c r="AA88" s="546">
        <f t="shared" si="31"/>
        <v>-104528279</v>
      </c>
      <c r="AB88" s="546">
        <f t="shared" si="31"/>
        <v>2731873</v>
      </c>
      <c r="AC88" s="546">
        <f t="shared" si="31"/>
        <v>-9369739</v>
      </c>
      <c r="AD88" s="546">
        <f t="shared" si="31"/>
        <v>-7896523</v>
      </c>
      <c r="AE88" s="546">
        <f t="shared" si="31"/>
        <v>33364654</v>
      </c>
      <c r="AF88" s="546">
        <f t="shared" si="31"/>
        <v>-27939762</v>
      </c>
      <c r="AG88" s="546">
        <f t="shared" si="31"/>
        <v>68610019</v>
      </c>
      <c r="AH88" s="547">
        <f t="shared" si="31"/>
        <v>2473985</v>
      </c>
      <c r="AI88" s="548"/>
      <c r="AJ88" s="527"/>
      <c r="AK88" s="541">
        <f t="shared" si="27"/>
        <v>0</v>
      </c>
      <c r="AL88" s="519">
        <f t="shared" si="25"/>
        <v>0</v>
      </c>
      <c r="AM88" s="519"/>
    </row>
    <row r="89" spans="1:39" x14ac:dyDescent="0.2">
      <c r="A89" s="510"/>
      <c r="B89" s="520"/>
      <c r="C89" s="586"/>
      <c r="D89" s="587"/>
      <c r="E89" s="510"/>
      <c r="F89" s="514"/>
      <c r="G89" s="274"/>
      <c r="H89" s="17"/>
      <c r="I89" s="17"/>
      <c r="J89" s="17"/>
      <c r="K89" s="17"/>
      <c r="L89" s="17"/>
      <c r="M89" s="17"/>
      <c r="N89" s="17"/>
      <c r="O89" s="17"/>
      <c r="P89" s="17"/>
      <c r="Q89" s="17"/>
      <c r="R89" s="17"/>
      <c r="S89" s="17"/>
      <c r="T89" s="274"/>
      <c r="U89" s="274"/>
      <c r="V89" s="17"/>
      <c r="W89" s="17"/>
      <c r="X89" s="17"/>
      <c r="Y89" s="17"/>
      <c r="Z89" s="17"/>
      <c r="AA89" s="17"/>
      <c r="AB89" s="17"/>
      <c r="AC89" s="17"/>
      <c r="AD89" s="17"/>
      <c r="AE89" s="17"/>
      <c r="AF89" s="17"/>
      <c r="AG89" s="17"/>
      <c r="AH89" s="485"/>
      <c r="AI89" s="548"/>
      <c r="AJ89" s="514"/>
      <c r="AK89" s="541"/>
      <c r="AL89" s="519"/>
      <c r="AM89" s="519"/>
    </row>
    <row r="90" spans="1:39" x14ac:dyDescent="0.2">
      <c r="A90" s="510"/>
      <c r="B90" s="520"/>
      <c r="C90" s="524" t="s">
        <v>541</v>
      </c>
      <c r="D90" s="510"/>
      <c r="E90" s="510"/>
      <c r="F90" s="545" t="s">
        <v>542</v>
      </c>
      <c r="G90" s="588">
        <f>SUM(G91:G92)</f>
        <v>235661668</v>
      </c>
      <c r="H90" s="567">
        <f t="shared" ref="H90:T90" si="32">SUM(H91:H93)</f>
        <v>235661668</v>
      </c>
      <c r="I90" s="567">
        <f t="shared" si="32"/>
        <v>254145838</v>
      </c>
      <c r="J90" s="567">
        <f t="shared" si="32"/>
        <v>250795984</v>
      </c>
      <c r="K90" s="567">
        <f t="shared" si="32"/>
        <v>273768984</v>
      </c>
      <c r="L90" s="567">
        <f t="shared" si="32"/>
        <v>327418771</v>
      </c>
      <c r="M90" s="567">
        <f t="shared" si="32"/>
        <v>285457337</v>
      </c>
      <c r="N90" s="567">
        <f t="shared" si="32"/>
        <v>298709835</v>
      </c>
      <c r="O90" s="567">
        <f t="shared" si="32"/>
        <v>339671820</v>
      </c>
      <c r="P90" s="567">
        <f t="shared" si="32"/>
        <v>359182012</v>
      </c>
      <c r="Q90" s="567">
        <f t="shared" si="32"/>
        <v>377944915</v>
      </c>
      <c r="R90" s="567">
        <f t="shared" si="32"/>
        <v>378365248</v>
      </c>
      <c r="S90" s="567">
        <f t="shared" si="32"/>
        <v>390351542</v>
      </c>
      <c r="T90" s="566">
        <f t="shared" si="32"/>
        <v>235661668</v>
      </c>
      <c r="U90" s="588">
        <f>SUM(U91:U92)</f>
        <v>238135653</v>
      </c>
      <c r="V90" s="567">
        <f t="shared" ref="V90:AH90" si="33">SUM(V91:V93)</f>
        <v>238135653</v>
      </c>
      <c r="W90" s="567">
        <f t="shared" si="33"/>
        <v>198973668</v>
      </c>
      <c r="X90" s="567">
        <f t="shared" si="33"/>
        <v>192440092</v>
      </c>
      <c r="Y90" s="567">
        <f t="shared" si="33"/>
        <v>272634929</v>
      </c>
      <c r="Z90" s="567">
        <f t="shared" si="33"/>
        <v>201149147</v>
      </c>
      <c r="AA90" s="567">
        <f t="shared" si="33"/>
        <v>190633911</v>
      </c>
      <c r="AB90" s="567">
        <f t="shared" si="33"/>
        <v>295162190</v>
      </c>
      <c r="AC90" s="567">
        <f t="shared" si="33"/>
        <v>292430317</v>
      </c>
      <c r="AD90" s="567">
        <f t="shared" si="33"/>
        <v>301800056</v>
      </c>
      <c r="AE90" s="567">
        <f t="shared" si="33"/>
        <v>309696579</v>
      </c>
      <c r="AF90" s="567">
        <f>SUM(AF91:AF93)</f>
        <v>276331925</v>
      </c>
      <c r="AG90" s="567">
        <f t="shared" si="33"/>
        <v>304271687</v>
      </c>
      <c r="AH90" s="568">
        <f t="shared" si="33"/>
        <v>238135653</v>
      </c>
      <c r="AI90" s="548"/>
      <c r="AJ90" s="514"/>
      <c r="AK90" s="541">
        <f t="shared" si="27"/>
        <v>0</v>
      </c>
      <c r="AL90" s="519"/>
      <c r="AM90" s="519"/>
    </row>
    <row r="91" spans="1:39" x14ac:dyDescent="0.2">
      <c r="A91" s="510"/>
      <c r="B91" s="520"/>
      <c r="C91" s="589"/>
      <c r="D91" s="590"/>
      <c r="E91" s="510" t="s">
        <v>543</v>
      </c>
      <c r="F91" s="514"/>
      <c r="G91" s="274">
        <f>[44]cashbalances!$H$14</f>
        <v>191125443</v>
      </c>
      <c r="H91" s="30">
        <v>191125443</v>
      </c>
      <c r="I91" s="30">
        <f>H97</f>
        <v>188398825</v>
      </c>
      <c r="J91" s="30">
        <f>I97</f>
        <v>183966537</v>
      </c>
      <c r="K91" s="30">
        <f t="shared" ref="I91:M92" si="34">J97</f>
        <v>174786407</v>
      </c>
      <c r="L91" s="30">
        <f t="shared" si="34"/>
        <v>216993276</v>
      </c>
      <c r="M91" s="30">
        <f t="shared" si="34"/>
        <v>178904480</v>
      </c>
      <c r="N91" s="30">
        <f>M97</f>
        <v>162851119</v>
      </c>
      <c r="O91" s="30">
        <f>N97</f>
        <v>150789653</v>
      </c>
      <c r="P91" s="30">
        <f>O97</f>
        <v>150112405</v>
      </c>
      <c r="Q91" s="30">
        <f t="shared" ref="O91:Q92" si="35">P97</f>
        <v>143765580</v>
      </c>
      <c r="R91" s="30">
        <f>Q97</f>
        <v>142480438</v>
      </c>
      <c r="S91" s="30">
        <f>R97</f>
        <v>141649872</v>
      </c>
      <c r="T91" s="274">
        <f>H91</f>
        <v>191125443</v>
      </c>
      <c r="U91" s="274">
        <f>[41]cashbalances!$BZ$14</f>
        <v>174717635</v>
      </c>
      <c r="V91" s="30">
        <f>[41]cashbalances!$CE$14</f>
        <v>174717635</v>
      </c>
      <c r="W91" s="30">
        <f t="shared" ref="W91:AG92" si="36">V97</f>
        <v>171432024</v>
      </c>
      <c r="X91" s="30">
        <f t="shared" si="36"/>
        <v>159100607</v>
      </c>
      <c r="Y91" s="30">
        <f t="shared" si="36"/>
        <v>157556488</v>
      </c>
      <c r="Z91" s="30">
        <f t="shared" si="36"/>
        <v>154393121</v>
      </c>
      <c r="AA91" s="30">
        <f t="shared" si="36"/>
        <v>153790115</v>
      </c>
      <c r="AB91" s="30">
        <f t="shared" si="36"/>
        <v>226475319</v>
      </c>
      <c r="AC91" s="30">
        <f t="shared" si="36"/>
        <v>223710506</v>
      </c>
      <c r="AD91" s="30">
        <f t="shared" si="36"/>
        <v>222808884</v>
      </c>
      <c r="AE91" s="30">
        <f t="shared" si="36"/>
        <v>216296990</v>
      </c>
      <c r="AF91" s="30">
        <f t="shared" si="36"/>
        <v>214990489</v>
      </c>
      <c r="AG91" s="30">
        <f t="shared" si="36"/>
        <v>214239939</v>
      </c>
      <c r="AH91" s="485">
        <f>V91</f>
        <v>174717635</v>
      </c>
      <c r="AI91" s="548"/>
      <c r="AJ91" s="514"/>
      <c r="AK91" s="541">
        <f t="shared" si="27"/>
        <v>0</v>
      </c>
      <c r="AL91" s="519"/>
      <c r="AM91" s="519"/>
    </row>
    <row r="92" spans="1:39" x14ac:dyDescent="0.2">
      <c r="A92" s="510"/>
      <c r="B92" s="520"/>
      <c r="C92" s="589"/>
      <c r="D92" s="590"/>
      <c r="E92" s="510" t="s">
        <v>544</v>
      </c>
      <c r="F92" s="514"/>
      <c r="G92" s="274">
        <f>[44]cashbalances!$H$15</f>
        <v>44536225</v>
      </c>
      <c r="H92" s="30">
        <v>44536225</v>
      </c>
      <c r="I92" s="30">
        <f t="shared" si="34"/>
        <v>65747013</v>
      </c>
      <c r="J92" s="30">
        <f>I98</f>
        <v>66829447</v>
      </c>
      <c r="K92" s="30">
        <f t="shared" si="34"/>
        <v>98982577</v>
      </c>
      <c r="L92" s="30">
        <f t="shared" si="34"/>
        <v>110425495</v>
      </c>
      <c r="M92" s="30">
        <f t="shared" si="34"/>
        <v>106552857</v>
      </c>
      <c r="N92" s="30">
        <f>M98</f>
        <v>135858716</v>
      </c>
      <c r="O92" s="30">
        <f t="shared" si="35"/>
        <v>188882167</v>
      </c>
      <c r="P92" s="30">
        <f t="shared" si="35"/>
        <v>209069607</v>
      </c>
      <c r="Q92" s="30">
        <f t="shared" si="35"/>
        <v>234179335</v>
      </c>
      <c r="R92" s="30">
        <f>Q98</f>
        <v>235884810</v>
      </c>
      <c r="S92" s="30">
        <f>R98</f>
        <v>248701670</v>
      </c>
      <c r="T92" s="274">
        <f>H92</f>
        <v>44536225</v>
      </c>
      <c r="U92" s="274">
        <f>[41]cashbalances!$BZ$15</f>
        <v>63418018</v>
      </c>
      <c r="V92" s="30">
        <f>[41]cashbalances!$CE$15</f>
        <v>63418018</v>
      </c>
      <c r="W92" s="30">
        <f t="shared" si="36"/>
        <v>27541644</v>
      </c>
      <c r="X92" s="30">
        <f t="shared" si="36"/>
        <v>33339485</v>
      </c>
      <c r="Y92" s="30">
        <f t="shared" si="36"/>
        <v>115078441</v>
      </c>
      <c r="Z92" s="30">
        <f t="shared" si="36"/>
        <v>46756026</v>
      </c>
      <c r="AA92" s="30">
        <f t="shared" si="36"/>
        <v>36843796</v>
      </c>
      <c r="AB92" s="30">
        <f t="shared" si="36"/>
        <v>68686871</v>
      </c>
      <c r="AC92" s="30">
        <f t="shared" si="36"/>
        <v>68719811</v>
      </c>
      <c r="AD92" s="30">
        <f t="shared" si="36"/>
        <v>78991172</v>
      </c>
      <c r="AE92" s="30">
        <f t="shared" si="36"/>
        <v>93399589</v>
      </c>
      <c r="AF92" s="30">
        <f t="shared" si="36"/>
        <v>61341436</v>
      </c>
      <c r="AG92" s="30">
        <f t="shared" si="36"/>
        <v>90031748</v>
      </c>
      <c r="AH92" s="485">
        <f>V92</f>
        <v>63418018</v>
      </c>
      <c r="AI92" s="548"/>
      <c r="AJ92" s="514"/>
      <c r="AK92" s="541">
        <f t="shared" si="27"/>
        <v>0</v>
      </c>
      <c r="AL92" s="519"/>
      <c r="AM92" s="519"/>
    </row>
    <row r="93" spans="1:39" hidden="1" x14ac:dyDescent="0.2">
      <c r="A93" s="510"/>
      <c r="B93" s="520"/>
      <c r="C93" s="524"/>
      <c r="D93" s="510"/>
      <c r="E93" s="510" t="s">
        <v>545</v>
      </c>
      <c r="F93" s="514"/>
      <c r="G93" s="274">
        <v>0</v>
      </c>
      <c r="H93" s="17">
        <v>0</v>
      </c>
      <c r="I93" s="17">
        <v>0</v>
      </c>
      <c r="J93" s="17">
        <v>0</v>
      </c>
      <c r="K93" s="17">
        <v>0</v>
      </c>
      <c r="L93" s="17">
        <v>0</v>
      </c>
      <c r="M93" s="17">
        <v>0</v>
      </c>
      <c r="N93" s="17">
        <v>0</v>
      </c>
      <c r="O93" s="17">
        <v>0</v>
      </c>
      <c r="P93" s="17">
        <v>0</v>
      </c>
      <c r="Q93" s="17">
        <v>0</v>
      </c>
      <c r="R93" s="17">
        <v>0</v>
      </c>
      <c r="S93" s="17">
        <v>0</v>
      </c>
      <c r="T93" s="274">
        <f>H93</f>
        <v>0</v>
      </c>
      <c r="U93" s="274">
        <v>0</v>
      </c>
      <c r="V93" s="17">
        <v>0</v>
      </c>
      <c r="W93" s="17">
        <v>0</v>
      </c>
      <c r="X93" s="17">
        <v>0</v>
      </c>
      <c r="Y93" s="17">
        <v>0</v>
      </c>
      <c r="Z93" s="17">
        <v>0</v>
      </c>
      <c r="AA93" s="17">
        <v>0</v>
      </c>
      <c r="AB93" s="17">
        <v>0</v>
      </c>
      <c r="AC93" s="17">
        <v>0</v>
      </c>
      <c r="AD93" s="17">
        <v>0</v>
      </c>
      <c r="AE93" s="17">
        <v>0</v>
      </c>
      <c r="AF93" s="17">
        <v>0</v>
      </c>
      <c r="AG93" s="17">
        <v>0</v>
      </c>
      <c r="AH93" s="485">
        <f>V93</f>
        <v>0</v>
      </c>
      <c r="AI93" s="556"/>
      <c r="AJ93" s="514"/>
      <c r="AK93" s="541">
        <f t="shared" si="27"/>
        <v>0</v>
      </c>
      <c r="AL93" s="519"/>
      <c r="AM93" s="519"/>
    </row>
    <row r="94" spans="1:39" x14ac:dyDescent="0.2">
      <c r="A94" s="510"/>
      <c r="B94" s="520"/>
      <c r="C94" s="524"/>
      <c r="D94" s="510"/>
      <c r="E94" s="510"/>
      <c r="F94" s="514"/>
      <c r="G94" s="274"/>
      <c r="H94" s="17"/>
      <c r="I94" s="17"/>
      <c r="J94" s="17"/>
      <c r="K94" s="17"/>
      <c r="L94" s="17"/>
      <c r="M94" s="17"/>
      <c r="N94" s="17"/>
      <c r="O94" s="17"/>
      <c r="P94" s="17"/>
      <c r="Q94" s="17"/>
      <c r="R94" s="17"/>
      <c r="S94" s="17"/>
      <c r="T94" s="274"/>
      <c r="U94" s="274"/>
      <c r="V94" s="17"/>
      <c r="W94" s="17"/>
      <c r="X94" s="17"/>
      <c r="Y94" s="17"/>
      <c r="Z94" s="17"/>
      <c r="AA94" s="17"/>
      <c r="AB94" s="17"/>
      <c r="AC94" s="17"/>
      <c r="AD94" s="17"/>
      <c r="AE94" s="17"/>
      <c r="AF94" s="17"/>
      <c r="AG94" s="17"/>
      <c r="AH94" s="485"/>
      <c r="AI94" s="548"/>
      <c r="AJ94" s="514"/>
      <c r="AK94" s="541"/>
      <c r="AL94" s="519"/>
      <c r="AM94" s="519"/>
    </row>
    <row r="95" spans="1:39" hidden="1" x14ac:dyDescent="0.2">
      <c r="A95" s="510"/>
      <c r="B95" s="520"/>
      <c r="C95" s="524"/>
      <c r="D95" s="510"/>
      <c r="E95" s="510"/>
      <c r="F95" s="514"/>
      <c r="G95" s="274"/>
      <c r="H95" s="17"/>
      <c r="I95" s="17"/>
      <c r="J95" s="17"/>
      <c r="K95" s="17"/>
      <c r="L95" s="17"/>
      <c r="M95" s="17"/>
      <c r="N95" s="17"/>
      <c r="O95" s="17"/>
      <c r="P95" s="17"/>
      <c r="Q95" s="17"/>
      <c r="R95" s="17"/>
      <c r="S95" s="17"/>
      <c r="T95" s="274"/>
      <c r="U95" s="274"/>
      <c r="V95" s="17"/>
      <c r="W95" s="17"/>
      <c r="X95" s="17"/>
      <c r="Y95" s="17"/>
      <c r="Z95" s="17"/>
      <c r="AA95" s="17"/>
      <c r="AB95" s="17"/>
      <c r="AC95" s="17"/>
      <c r="AD95" s="17"/>
      <c r="AE95" s="17"/>
      <c r="AF95" s="17"/>
      <c r="AG95" s="17"/>
      <c r="AH95" s="485"/>
      <c r="AI95" s="548"/>
      <c r="AJ95" s="514"/>
      <c r="AK95" s="541">
        <f t="shared" si="27"/>
        <v>0</v>
      </c>
      <c r="AL95" s="519"/>
      <c r="AM95" s="519"/>
    </row>
    <row r="96" spans="1:39" x14ac:dyDescent="0.2">
      <c r="A96" s="510"/>
      <c r="B96" s="520"/>
      <c r="C96" s="524" t="s">
        <v>546</v>
      </c>
      <c r="D96" s="510"/>
      <c r="E96" s="510"/>
      <c r="F96" s="514"/>
      <c r="G96" s="30">
        <f>SUM(G97:G99)</f>
        <v>294618000</v>
      </c>
      <c r="H96" s="17">
        <f>SUM(H97:H99)</f>
        <v>254145838</v>
      </c>
      <c r="I96" s="17">
        <f>SUM(I97:I99)</f>
        <v>250795984</v>
      </c>
      <c r="J96" s="17">
        <f>SUM(J97:J99)</f>
        <v>273768984</v>
      </c>
      <c r="K96" s="17">
        <f t="shared" ref="K96:AD96" si="37">SUM(K97:K99)</f>
        <v>327418771</v>
      </c>
      <c r="L96" s="17">
        <f t="shared" si="37"/>
        <v>285457337</v>
      </c>
      <c r="M96" s="17">
        <f t="shared" si="37"/>
        <v>298709835</v>
      </c>
      <c r="N96" s="17">
        <f t="shared" si="37"/>
        <v>339671820</v>
      </c>
      <c r="O96" s="17">
        <f t="shared" si="37"/>
        <v>359182012</v>
      </c>
      <c r="P96" s="17">
        <f t="shared" si="37"/>
        <v>377944915</v>
      </c>
      <c r="Q96" s="17">
        <f>SUM(Q97:Q99)</f>
        <v>378365248</v>
      </c>
      <c r="R96" s="17">
        <f t="shared" si="37"/>
        <v>390351542</v>
      </c>
      <c r="S96" s="17">
        <f t="shared" si="37"/>
        <v>337603680</v>
      </c>
      <c r="T96" s="274">
        <f t="shared" si="37"/>
        <v>337603680</v>
      </c>
      <c r="U96" s="30">
        <f t="shared" si="37"/>
        <v>235661668</v>
      </c>
      <c r="V96" s="17">
        <f t="shared" si="37"/>
        <v>198973668</v>
      </c>
      <c r="W96" s="17">
        <f t="shared" si="37"/>
        <v>192440092</v>
      </c>
      <c r="X96" s="17">
        <f t="shared" si="37"/>
        <v>272634929</v>
      </c>
      <c r="Y96" s="17">
        <f t="shared" si="37"/>
        <v>201149147</v>
      </c>
      <c r="Z96" s="17">
        <f t="shared" si="37"/>
        <v>190633911</v>
      </c>
      <c r="AA96" s="17">
        <f t="shared" si="37"/>
        <v>295162190</v>
      </c>
      <c r="AB96" s="17">
        <f t="shared" si="37"/>
        <v>292430317</v>
      </c>
      <c r="AC96" s="17">
        <f t="shared" si="37"/>
        <v>301800056</v>
      </c>
      <c r="AD96" s="17">
        <f t="shared" si="37"/>
        <v>309696579</v>
      </c>
      <c r="AE96" s="17">
        <f>SUM(AE97:AE99)</f>
        <v>276331925</v>
      </c>
      <c r="AF96" s="17">
        <f>SUM(AF97:AF99)</f>
        <v>304271687</v>
      </c>
      <c r="AG96" s="17">
        <f>SUM(AG97:AG99)</f>
        <v>235661668</v>
      </c>
      <c r="AH96" s="485">
        <f>SUM(AH97:AH99)</f>
        <v>235661668</v>
      </c>
      <c r="AI96" s="548"/>
      <c r="AJ96" s="514"/>
      <c r="AK96" s="541">
        <f>AH96-U96</f>
        <v>0</v>
      </c>
      <c r="AL96" s="519"/>
      <c r="AM96" s="519"/>
    </row>
    <row r="97" spans="1:39" x14ac:dyDescent="0.2">
      <c r="A97" s="510"/>
      <c r="B97" s="520"/>
      <c r="C97" s="524"/>
      <c r="D97" s="510"/>
      <c r="E97" s="510" t="s">
        <v>543</v>
      </c>
      <c r="F97" s="514"/>
      <c r="G97" s="274">
        <f>[40]cashbalances!$H$18</f>
        <v>160266000</v>
      </c>
      <c r="H97" s="30">
        <f>[41]cashbalances!$M$18</f>
        <v>188398825</v>
      </c>
      <c r="I97" s="30">
        <f>[42]cashbalances!$R$18</f>
        <v>183966537</v>
      </c>
      <c r="J97" s="30">
        <f>[43]cashbalances!$W$18</f>
        <v>174786407</v>
      </c>
      <c r="K97" s="30">
        <f>[44]cashbalances!$AB$18</f>
        <v>216993276</v>
      </c>
      <c r="L97" s="30">
        <f>[45]cashbalances!$AG$18</f>
        <v>178904480</v>
      </c>
      <c r="M97" s="30">
        <f>[46]cashbalances!$AL$18</f>
        <v>162851119</v>
      </c>
      <c r="N97" s="30">
        <f>[53]cashbalances!$AQ$18</f>
        <v>150789653</v>
      </c>
      <c r="O97" s="30">
        <f>[52]cashbalances!$AV$18</f>
        <v>150112405</v>
      </c>
      <c r="P97" s="30">
        <f>[49]cashbalances!$BA$18</f>
        <v>143765580</v>
      </c>
      <c r="Q97" s="30">
        <f>[50]cashbalances!$BF$18</f>
        <v>142480438</v>
      </c>
      <c r="R97" s="30">
        <f>[40]cashbalances!$BK$18</f>
        <v>141649872</v>
      </c>
      <c r="S97" s="30">
        <f>[51]cashbalances!$BP$18</f>
        <v>139049630</v>
      </c>
      <c r="T97" s="274">
        <f>S97</f>
        <v>139049630</v>
      </c>
      <c r="U97" s="274">
        <f>[41]cashbalances!$BZ$18</f>
        <v>191125443</v>
      </c>
      <c r="V97" s="30">
        <f>[41]cashbalances!$CE$18</f>
        <v>171432024</v>
      </c>
      <c r="W97" s="30">
        <f>[83]cashbalances!$R$18</f>
        <v>159100607</v>
      </c>
      <c r="X97" s="30">
        <f>[83]cashbalances!$W$18</f>
        <v>157556488</v>
      </c>
      <c r="Y97" s="30">
        <f>[83]cashbalances!$AB$18</f>
        <v>154393121</v>
      </c>
      <c r="Z97" s="30">
        <f>[83]cashbalances!$AG$18</f>
        <v>153790115</v>
      </c>
      <c r="AA97" s="30">
        <f>[83]cashbalances!$AL$18</f>
        <v>226475319</v>
      </c>
      <c r="AB97" s="30">
        <f>[83]cashbalances!$AQ$18</f>
        <v>223710506</v>
      </c>
      <c r="AC97" s="30">
        <f>[83]cashbalances!$AV$18</f>
        <v>222808884</v>
      </c>
      <c r="AD97" s="30">
        <f>[83]cashbalances!$BA$18</f>
        <v>216296990</v>
      </c>
      <c r="AE97" s="30">
        <f>[83]cashbalances!$BF$18</f>
        <v>214990489</v>
      </c>
      <c r="AF97" s="30">
        <f>[83]cashbalances!$BK$18</f>
        <v>214239939</v>
      </c>
      <c r="AG97" s="30">
        <f>[83]cashbalances!$BP$18</f>
        <v>191125443</v>
      </c>
      <c r="AH97" s="149">
        <f>AG97</f>
        <v>191125443</v>
      </c>
      <c r="AI97" s="548"/>
      <c r="AJ97" s="514"/>
      <c r="AK97" s="541">
        <f>AH97-U97</f>
        <v>0</v>
      </c>
      <c r="AL97" s="519"/>
      <c r="AM97" s="519"/>
    </row>
    <row r="98" spans="1:39" x14ac:dyDescent="0.2">
      <c r="A98" s="510"/>
      <c r="B98" s="520"/>
      <c r="C98" s="524"/>
      <c r="D98" s="510"/>
      <c r="E98" s="510" t="s">
        <v>547</v>
      </c>
      <c r="F98" s="545"/>
      <c r="G98" s="274">
        <f>[40]cashbalances!$H$19</f>
        <v>134352000</v>
      </c>
      <c r="H98" s="30">
        <f>[41]cashbalances!$M$19</f>
        <v>65747013</v>
      </c>
      <c r="I98" s="30">
        <f>[42]cashbalances!$R$19</f>
        <v>66829447</v>
      </c>
      <c r="J98" s="30">
        <f>[43]cashbalances!$W$19</f>
        <v>98982577</v>
      </c>
      <c r="K98" s="30">
        <f>[44]cashbalances!$AB$19</f>
        <v>110425495</v>
      </c>
      <c r="L98" s="30">
        <f>[45]cashbalances!$AG$19</f>
        <v>106552857</v>
      </c>
      <c r="M98" s="30">
        <f>[46]cashbalances!$AL$19</f>
        <v>135858716</v>
      </c>
      <c r="N98" s="30">
        <f>[53]cashbalances!$AQ$19</f>
        <v>188882167</v>
      </c>
      <c r="O98" s="30">
        <f>[52]cashbalances!$AV$19</f>
        <v>209069607</v>
      </c>
      <c r="P98" s="30">
        <f>[49]cashbalances!$BA$19</f>
        <v>234179335</v>
      </c>
      <c r="Q98" s="30">
        <f>[50]cashbalances!$BF$19</f>
        <v>235884810</v>
      </c>
      <c r="R98" s="30">
        <f>[40]cashbalances!$BK$19</f>
        <v>248701670</v>
      </c>
      <c r="S98" s="30">
        <f>[51]cashbalances!$BP$19</f>
        <v>198554050</v>
      </c>
      <c r="T98" s="274">
        <f>S98</f>
        <v>198554050</v>
      </c>
      <c r="U98" s="274">
        <f>[41]cashbalances!$BZ$19</f>
        <v>44536225</v>
      </c>
      <c r="V98" s="30">
        <f>[41]cashbalances!$CE$19</f>
        <v>27541644</v>
      </c>
      <c r="W98" s="30">
        <f>[83]cashbalances!$R$19</f>
        <v>33339485</v>
      </c>
      <c r="X98" s="30">
        <f>[83]cashbalances!$W$19</f>
        <v>115078441</v>
      </c>
      <c r="Y98" s="30">
        <f>[83]cashbalances!$AB$19</f>
        <v>46756026</v>
      </c>
      <c r="Z98" s="30">
        <f>[83]cashbalances!$AG$19</f>
        <v>36843796</v>
      </c>
      <c r="AA98" s="30">
        <f>[83]cashbalances!$AL$19</f>
        <v>68686871</v>
      </c>
      <c r="AB98" s="30">
        <f>[83]cashbalances!$AQ$19</f>
        <v>68719811</v>
      </c>
      <c r="AC98" s="30">
        <f>[83]cashbalances!$AV$19</f>
        <v>78991172</v>
      </c>
      <c r="AD98" s="30">
        <f>[83]cashbalances!$BA$19</f>
        <v>93399589</v>
      </c>
      <c r="AE98" s="30">
        <f>[83]cashbalances!$BF$19</f>
        <v>61341436</v>
      </c>
      <c r="AF98" s="30">
        <f>[83]cashbalances!$BK$19</f>
        <v>90031748</v>
      </c>
      <c r="AG98" s="30">
        <f>[83]cashbalances!$BP$19</f>
        <v>44536225</v>
      </c>
      <c r="AH98" s="149">
        <f>AG98</f>
        <v>44536225</v>
      </c>
      <c r="AI98" s="548"/>
      <c r="AJ98" s="514"/>
      <c r="AK98" s="541">
        <f>AH98-U98</f>
        <v>0</v>
      </c>
      <c r="AL98" s="519"/>
      <c r="AM98" s="519"/>
    </row>
    <row r="99" spans="1:39" hidden="1" x14ac:dyDescent="0.2">
      <c r="A99" s="510"/>
      <c r="B99" s="510"/>
      <c r="C99" s="524"/>
      <c r="D99" s="510"/>
      <c r="E99" s="510" t="s">
        <v>545</v>
      </c>
      <c r="F99" s="514"/>
      <c r="G99" s="274">
        <v>0</v>
      </c>
      <c r="H99" s="274">
        <v>0</v>
      </c>
      <c r="I99" s="274">
        <v>0</v>
      </c>
      <c r="J99" s="274">
        <v>0</v>
      </c>
      <c r="K99" s="274">
        <v>0</v>
      </c>
      <c r="L99" s="274">
        <v>0</v>
      </c>
      <c r="M99" s="274">
        <v>0</v>
      </c>
      <c r="N99" s="274">
        <v>0</v>
      </c>
      <c r="O99" s="274">
        <v>0</v>
      </c>
      <c r="P99" s="274">
        <v>0</v>
      </c>
      <c r="Q99" s="274">
        <v>0</v>
      </c>
      <c r="R99" s="274">
        <v>0</v>
      </c>
      <c r="S99" s="274">
        <v>0</v>
      </c>
      <c r="T99" s="17">
        <f>J99</f>
        <v>0</v>
      </c>
      <c r="U99" s="274">
        <v>0</v>
      </c>
      <c r="V99" s="274">
        <v>0</v>
      </c>
      <c r="W99" s="274">
        <v>0</v>
      </c>
      <c r="X99" s="274">
        <v>0</v>
      </c>
      <c r="Y99" s="274">
        <v>0</v>
      </c>
      <c r="Z99" s="274">
        <v>0</v>
      </c>
      <c r="AA99" s="274">
        <v>0</v>
      </c>
      <c r="AB99" s="274">
        <v>0</v>
      </c>
      <c r="AC99" s="274">
        <v>0</v>
      </c>
      <c r="AD99" s="274">
        <v>0</v>
      </c>
      <c r="AE99" s="274">
        <v>0</v>
      </c>
      <c r="AF99" s="274">
        <v>0</v>
      </c>
      <c r="AG99" s="274">
        <v>0</v>
      </c>
      <c r="AH99" s="485">
        <f>X99</f>
        <v>0</v>
      </c>
      <c r="AI99" s="556"/>
      <c r="AJ99" s="514"/>
      <c r="AK99" s="541">
        <f t="shared" si="27"/>
        <v>0</v>
      </c>
      <c r="AL99" s="519">
        <f t="shared" si="25"/>
        <v>0</v>
      </c>
      <c r="AM99" s="519"/>
    </row>
    <row r="100" spans="1:39" x14ac:dyDescent="0.2">
      <c r="A100" s="510"/>
      <c r="B100" s="510"/>
      <c r="C100" s="571"/>
      <c r="D100" s="572"/>
      <c r="E100" s="572"/>
      <c r="F100" s="573"/>
      <c r="G100" s="461"/>
      <c r="H100" s="461"/>
      <c r="I100" s="461"/>
      <c r="J100" s="461"/>
      <c r="K100" s="461"/>
      <c r="L100" s="461"/>
      <c r="M100" s="461"/>
      <c r="N100" s="461"/>
      <c r="O100" s="574"/>
      <c r="P100" s="461"/>
      <c r="Q100" s="574"/>
      <c r="R100" s="574"/>
      <c r="S100" s="461"/>
      <c r="T100" s="574"/>
      <c r="U100" s="574"/>
      <c r="V100" s="461"/>
      <c r="W100" s="574"/>
      <c r="X100" s="461"/>
      <c r="Y100" s="574"/>
      <c r="Z100" s="574"/>
      <c r="AA100" s="574"/>
      <c r="AB100" s="461"/>
      <c r="AC100" s="574"/>
      <c r="AD100" s="461"/>
      <c r="AE100" s="574"/>
      <c r="AF100" s="574"/>
      <c r="AG100" s="574"/>
      <c r="AH100" s="575"/>
      <c r="AI100" s="548"/>
      <c r="AJ100" s="514"/>
      <c r="AK100" s="541"/>
      <c r="AL100" s="519"/>
      <c r="AM100" s="519"/>
    </row>
    <row r="101" spans="1:39" x14ac:dyDescent="0.2">
      <c r="A101" s="510"/>
      <c r="B101" s="510"/>
      <c r="C101" s="591" t="s">
        <v>548</v>
      </c>
      <c r="D101" s="591"/>
      <c r="E101" s="592"/>
      <c r="F101" s="514"/>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514"/>
      <c r="AJ101" s="514"/>
      <c r="AK101" s="541"/>
      <c r="AL101" s="519"/>
      <c r="AM101" s="519"/>
    </row>
    <row r="102" spans="1:39" x14ac:dyDescent="0.2">
      <c r="A102" s="510"/>
      <c r="B102" s="510"/>
      <c r="C102" s="591" t="s">
        <v>549</v>
      </c>
      <c r="D102" s="591"/>
      <c r="E102" s="593"/>
      <c r="F102" s="514"/>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514"/>
      <c r="AJ102" s="514"/>
      <c r="AK102" s="541"/>
      <c r="AL102" s="519"/>
      <c r="AM102" s="519"/>
    </row>
    <row r="103" spans="1:39" x14ac:dyDescent="0.2">
      <c r="A103" s="510"/>
      <c r="B103" s="510"/>
      <c r="C103" s="591" t="s">
        <v>550</v>
      </c>
      <c r="D103" s="591"/>
      <c r="E103" s="593"/>
      <c r="F103" s="514"/>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514"/>
      <c r="AJ103" s="514"/>
      <c r="AK103" s="541"/>
      <c r="AL103" s="519"/>
      <c r="AM103" s="519"/>
    </row>
    <row r="104" spans="1:39" x14ac:dyDescent="0.2">
      <c r="A104" s="510"/>
      <c r="B104" s="510"/>
      <c r="C104" s="594" t="s">
        <v>551</v>
      </c>
      <c r="D104" s="595"/>
      <c r="E104" s="595"/>
      <c r="F104" s="596"/>
      <c r="G104" s="595"/>
      <c r="H104" s="595"/>
      <c r="I104" s="595"/>
      <c r="J104" s="595"/>
      <c r="K104" s="595"/>
      <c r="L104" s="595"/>
      <c r="M104" s="595"/>
      <c r="N104" s="595"/>
      <c r="O104" s="595"/>
      <c r="P104" s="595"/>
      <c r="Q104" s="595"/>
      <c r="R104" s="595"/>
      <c r="S104" s="595"/>
      <c r="T104" s="595"/>
      <c r="U104" s="595"/>
      <c r="V104" s="595"/>
      <c r="W104" s="595"/>
      <c r="X104" s="595"/>
      <c r="Y104" s="19"/>
      <c r="Z104" s="19"/>
      <c r="AA104" s="19"/>
      <c r="AB104" s="19"/>
      <c r="AC104" s="19"/>
      <c r="AD104" s="19"/>
      <c r="AE104" s="19"/>
      <c r="AF104" s="19"/>
      <c r="AG104" s="19"/>
      <c r="AH104" s="19"/>
      <c r="AI104" s="514"/>
      <c r="AJ104" s="514"/>
      <c r="AK104" s="541"/>
      <c r="AL104" s="519"/>
      <c r="AM104" s="519"/>
    </row>
    <row r="105" spans="1:39" x14ac:dyDescent="0.2">
      <c r="A105" s="510"/>
      <c r="B105" s="510"/>
      <c r="C105" s="597"/>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514"/>
      <c r="AJ105" s="514"/>
      <c r="AK105" s="598"/>
      <c r="AM105" s="519"/>
    </row>
    <row r="106" spans="1:39" s="510" customFormat="1" ht="13.5" x14ac:dyDescent="0.2">
      <c r="C106" s="599"/>
      <c r="F106" s="514"/>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514"/>
      <c r="AJ106" s="514"/>
      <c r="AK106" s="514"/>
      <c r="AM106" s="511"/>
    </row>
    <row r="107" spans="1:39" s="510" customFormat="1" x14ac:dyDescent="0.2">
      <c r="F107" s="514"/>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514"/>
      <c r="AJ107" s="514"/>
      <c r="AK107" s="514"/>
      <c r="AM107" s="511"/>
    </row>
    <row r="108" spans="1:39" s="510" customFormat="1" x14ac:dyDescent="0.2">
      <c r="F108" s="514"/>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514"/>
      <c r="AJ108" s="514"/>
      <c r="AK108" s="514"/>
      <c r="AM108" s="511"/>
    </row>
    <row r="109" spans="1:39" s="510" customFormat="1" x14ac:dyDescent="0.2">
      <c r="F109" s="514"/>
      <c r="G109" s="19"/>
      <c r="H109" s="19"/>
      <c r="I109" s="602"/>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514"/>
      <c r="AJ109" s="514"/>
      <c r="AK109" s="514"/>
      <c r="AL109" s="511"/>
      <c r="AM109" s="511"/>
    </row>
    <row r="110" spans="1:39" s="510" customFormat="1" x14ac:dyDescent="0.2">
      <c r="F110" s="514"/>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514"/>
      <c r="AJ110" s="514"/>
      <c r="AK110" s="514"/>
      <c r="AM110" s="511"/>
    </row>
    <row r="111" spans="1:39" s="510" customFormat="1" x14ac:dyDescent="0.2">
      <c r="F111" s="514"/>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514"/>
      <c r="AJ111" s="514"/>
      <c r="AK111" s="514"/>
      <c r="AM111" s="511"/>
    </row>
    <row r="112" spans="1:39" s="510" customFormat="1" x14ac:dyDescent="0.2">
      <c r="F112" s="514"/>
      <c r="G112" s="19"/>
      <c r="H112" s="19"/>
      <c r="I112" s="19"/>
      <c r="J112" s="14"/>
      <c r="K112" s="19"/>
      <c r="L112" s="19"/>
      <c r="M112" s="19"/>
      <c r="N112" s="19"/>
      <c r="O112" s="19"/>
      <c r="P112" s="19"/>
      <c r="Q112" s="19"/>
      <c r="R112" s="19"/>
      <c r="S112" s="19"/>
      <c r="T112" s="14"/>
      <c r="U112" s="14"/>
      <c r="V112" s="14"/>
      <c r="W112" s="14"/>
      <c r="X112" s="14"/>
      <c r="Y112" s="14"/>
      <c r="Z112" s="14"/>
      <c r="AA112" s="14"/>
      <c r="AB112" s="14"/>
      <c r="AC112" s="14"/>
      <c r="AD112" s="14"/>
      <c r="AE112" s="14"/>
      <c r="AF112" s="14"/>
      <c r="AG112" s="14"/>
      <c r="AH112" s="14"/>
      <c r="AI112" s="514"/>
      <c r="AJ112" s="514"/>
      <c r="AK112" s="514"/>
      <c r="AM112" s="511"/>
    </row>
    <row r="113" spans="6:39" s="510" customFormat="1" x14ac:dyDescent="0.2">
      <c r="F113" s="514"/>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514"/>
      <c r="AJ113" s="514"/>
      <c r="AK113" s="514"/>
      <c r="AM113" s="511"/>
    </row>
    <row r="114" spans="6:39" s="510" customFormat="1" x14ac:dyDescent="0.2">
      <c r="F114" s="514"/>
      <c r="G114" s="600"/>
      <c r="H114" s="19"/>
      <c r="I114" s="19"/>
      <c r="J114" s="19"/>
      <c r="K114" s="19"/>
      <c r="L114" s="601"/>
      <c r="M114" s="19"/>
      <c r="N114" s="19"/>
      <c r="O114" s="19"/>
      <c r="P114" s="425"/>
      <c r="Q114" s="19"/>
      <c r="R114" s="19"/>
      <c r="S114" s="19"/>
      <c r="T114" s="19"/>
      <c r="U114" s="19"/>
      <c r="V114" s="19"/>
      <c r="W114" s="19"/>
      <c r="X114" s="19"/>
      <c r="Y114" s="19"/>
      <c r="Z114" s="19"/>
      <c r="AA114" s="19"/>
      <c r="AB114" s="19"/>
      <c r="AC114" s="19"/>
      <c r="AD114" s="19"/>
      <c r="AE114" s="19"/>
      <c r="AF114" s="19"/>
      <c r="AG114" s="19"/>
      <c r="AH114" s="19"/>
      <c r="AI114" s="514"/>
      <c r="AJ114" s="514"/>
      <c r="AK114" s="514"/>
      <c r="AM114" s="511"/>
    </row>
    <row r="115" spans="6:39" s="510" customFormat="1" x14ac:dyDescent="0.2">
      <c r="F115" s="514"/>
      <c r="G115" s="425"/>
      <c r="H115" s="19"/>
      <c r="I115" s="19"/>
      <c r="J115" s="19"/>
      <c r="K115" s="19"/>
      <c r="L115" s="19"/>
      <c r="M115" s="19"/>
      <c r="N115" s="19"/>
      <c r="O115" s="19"/>
      <c r="P115" s="19"/>
      <c r="Q115" s="19"/>
      <c r="R115" s="425"/>
      <c r="S115" s="19"/>
      <c r="T115" s="19"/>
      <c r="U115" s="19"/>
      <c r="V115" s="19"/>
      <c r="W115" s="19"/>
      <c r="X115" s="19"/>
      <c r="Y115" s="19"/>
      <c r="Z115" s="19"/>
      <c r="AA115" s="19"/>
      <c r="AB115" s="19"/>
      <c r="AC115" s="19"/>
      <c r="AD115" s="19"/>
      <c r="AE115" s="19"/>
      <c r="AF115" s="19"/>
      <c r="AG115" s="19"/>
      <c r="AH115" s="19"/>
      <c r="AI115" s="514"/>
      <c r="AJ115" s="514"/>
      <c r="AK115" s="514"/>
      <c r="AM115" s="511"/>
    </row>
    <row r="116" spans="6:39" s="510" customFormat="1" x14ac:dyDescent="0.2">
      <c r="F116" s="514"/>
      <c r="G116" s="425"/>
      <c r="H116" s="19"/>
      <c r="I116" s="19"/>
      <c r="J116" s="19"/>
      <c r="K116" s="19"/>
      <c r="L116" s="19"/>
      <c r="M116" s="19"/>
      <c r="N116" s="19"/>
      <c r="O116" s="425"/>
      <c r="P116" s="19"/>
      <c r="Q116" s="19"/>
      <c r="R116" s="19"/>
      <c r="S116" s="19"/>
      <c r="T116" s="19"/>
      <c r="U116" s="19"/>
      <c r="V116" s="19"/>
      <c r="W116" s="19"/>
      <c r="X116" s="19"/>
      <c r="Y116" s="19"/>
      <c r="Z116" s="19"/>
      <c r="AA116" s="19"/>
      <c r="AB116" s="19"/>
      <c r="AC116" s="19"/>
      <c r="AD116" s="19"/>
      <c r="AE116" s="19"/>
      <c r="AF116" s="19"/>
      <c r="AG116" s="19"/>
      <c r="AH116" s="19"/>
      <c r="AI116" s="514"/>
      <c r="AJ116" s="514"/>
      <c r="AK116" s="514"/>
      <c r="AM116" s="511"/>
    </row>
    <row r="117" spans="6:39" s="510" customFormat="1" x14ac:dyDescent="0.2">
      <c r="F117" s="514"/>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514"/>
      <c r="AJ117" s="514"/>
      <c r="AK117" s="514"/>
      <c r="AM117" s="511"/>
    </row>
    <row r="118" spans="6:39" s="510" customFormat="1" x14ac:dyDescent="0.2">
      <c r="F118" s="514"/>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514"/>
      <c r="AJ118" s="514"/>
      <c r="AK118" s="514"/>
      <c r="AM118" s="511"/>
    </row>
    <row r="119" spans="6:39" s="510" customFormat="1" x14ac:dyDescent="0.2">
      <c r="F119" s="514"/>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514"/>
      <c r="AJ119" s="514"/>
      <c r="AK119" s="514"/>
      <c r="AM119" s="511"/>
    </row>
    <row r="120" spans="6:39" s="510" customFormat="1" x14ac:dyDescent="0.2">
      <c r="F120" s="514"/>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514"/>
      <c r="AJ120" s="514"/>
      <c r="AK120" s="514"/>
      <c r="AM120" s="511"/>
    </row>
    <row r="121" spans="6:39" s="510" customFormat="1" x14ac:dyDescent="0.2">
      <c r="F121" s="514"/>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514"/>
      <c r="AJ121" s="514"/>
      <c r="AK121" s="514"/>
      <c r="AM121" s="511"/>
    </row>
    <row r="122" spans="6:39" s="510" customFormat="1" x14ac:dyDescent="0.2">
      <c r="F122" s="514"/>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514"/>
      <c r="AJ122" s="514"/>
      <c r="AK122" s="514"/>
      <c r="AM122" s="511"/>
    </row>
    <row r="123" spans="6:39" s="510" customFormat="1" x14ac:dyDescent="0.2">
      <c r="F123" s="514"/>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514"/>
      <c r="AJ123" s="514"/>
      <c r="AK123" s="514"/>
      <c r="AM123" s="511"/>
    </row>
    <row r="124" spans="6:39" s="510" customFormat="1" x14ac:dyDescent="0.2">
      <c r="F124" s="514"/>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514"/>
      <c r="AJ124" s="514"/>
      <c r="AK124" s="514"/>
      <c r="AM124" s="511"/>
    </row>
    <row r="125" spans="6:39" s="510" customFormat="1" x14ac:dyDescent="0.2">
      <c r="F125" s="514"/>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514"/>
      <c r="AJ125" s="514"/>
      <c r="AK125" s="514"/>
      <c r="AM125" s="511"/>
    </row>
    <row r="126" spans="6:39" s="510" customFormat="1" x14ac:dyDescent="0.2">
      <c r="F126" s="514"/>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514"/>
      <c r="AJ126" s="514"/>
      <c r="AK126" s="514"/>
      <c r="AM126" s="511"/>
    </row>
    <row r="127" spans="6:39" s="510" customFormat="1" x14ac:dyDescent="0.2">
      <c r="F127" s="514"/>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514"/>
      <c r="AJ127" s="514"/>
      <c r="AK127" s="514"/>
      <c r="AM127" s="511"/>
    </row>
    <row r="128" spans="6:39" s="510" customFormat="1" x14ac:dyDescent="0.2">
      <c r="F128" s="514"/>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514"/>
      <c r="AJ128" s="514"/>
      <c r="AK128" s="514"/>
      <c r="AM128" s="511"/>
    </row>
    <row r="129" spans="2:39" s="510" customFormat="1" x14ac:dyDescent="0.2">
      <c r="F129" s="514"/>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514"/>
      <c r="AJ129" s="514"/>
      <c r="AK129" s="514"/>
      <c r="AM129" s="511"/>
    </row>
    <row r="130" spans="2:39" s="510" customFormat="1" x14ac:dyDescent="0.2">
      <c r="B130" s="593"/>
      <c r="F130" s="514"/>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514"/>
      <c r="AJ130" s="514"/>
      <c r="AK130" s="514"/>
      <c r="AM130" s="511"/>
    </row>
    <row r="131" spans="2:39" s="510" customFormat="1" x14ac:dyDescent="0.2">
      <c r="F131" s="514"/>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514"/>
      <c r="AJ131" s="514"/>
      <c r="AK131" s="514"/>
      <c r="AM131" s="511"/>
    </row>
    <row r="132" spans="2:39" s="510" customFormat="1" x14ac:dyDescent="0.2">
      <c r="F132" s="514"/>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514"/>
      <c r="AJ132" s="514"/>
      <c r="AK132" s="514"/>
      <c r="AM132" s="511"/>
    </row>
    <row r="133" spans="2:39" s="510" customFormat="1" x14ac:dyDescent="0.2">
      <c r="F133" s="514"/>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514"/>
      <c r="AJ133" s="514"/>
      <c r="AK133" s="514"/>
      <c r="AM133" s="511"/>
    </row>
    <row r="134" spans="2:39" s="510" customFormat="1" x14ac:dyDescent="0.2">
      <c r="F134" s="514"/>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514"/>
      <c r="AJ134" s="514"/>
      <c r="AK134" s="514"/>
      <c r="AM134" s="511"/>
    </row>
    <row r="135" spans="2:39" s="510" customFormat="1" x14ac:dyDescent="0.2">
      <c r="F135" s="514"/>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514"/>
      <c r="AJ135" s="514"/>
      <c r="AK135" s="514"/>
      <c r="AM135" s="511"/>
    </row>
    <row r="136" spans="2:39" s="510" customFormat="1" x14ac:dyDescent="0.2">
      <c r="F136" s="514"/>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514"/>
      <c r="AJ136" s="514"/>
      <c r="AK136" s="514"/>
      <c r="AM136" s="511"/>
    </row>
    <row r="137" spans="2:39" s="510" customFormat="1" x14ac:dyDescent="0.2">
      <c r="F137" s="514"/>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514"/>
      <c r="AJ137" s="514"/>
      <c r="AK137" s="514"/>
      <c r="AM137" s="511"/>
    </row>
    <row r="138" spans="2:39" s="510" customFormat="1" x14ac:dyDescent="0.2">
      <c r="F138" s="514"/>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514"/>
      <c r="AJ138" s="514"/>
      <c r="AK138" s="514"/>
      <c r="AM138" s="511"/>
    </row>
    <row r="139" spans="2:39" s="510" customFormat="1" x14ac:dyDescent="0.2">
      <c r="F139" s="514"/>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514"/>
      <c r="AJ139" s="514"/>
      <c r="AK139" s="514"/>
      <c r="AM139" s="511"/>
    </row>
    <row r="140" spans="2:39" s="510" customFormat="1" x14ac:dyDescent="0.2">
      <c r="F140" s="514"/>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514"/>
      <c r="AJ140" s="514"/>
      <c r="AK140" s="514"/>
      <c r="AM140" s="511"/>
    </row>
    <row r="141" spans="2:39" s="510" customFormat="1" x14ac:dyDescent="0.2">
      <c r="F141" s="514"/>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514"/>
      <c r="AJ141" s="514"/>
      <c r="AK141" s="514"/>
      <c r="AM141" s="511"/>
    </row>
    <row r="142" spans="2:39" s="510" customFormat="1" x14ac:dyDescent="0.2">
      <c r="F142" s="514"/>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514"/>
      <c r="AJ142" s="514"/>
      <c r="AK142" s="514"/>
      <c r="AM142" s="511"/>
    </row>
    <row r="143" spans="2:39" s="510" customFormat="1" x14ac:dyDescent="0.2">
      <c r="F143" s="514"/>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514"/>
      <c r="AJ143" s="514"/>
      <c r="AK143" s="514"/>
      <c r="AM143" s="511"/>
    </row>
    <row r="144" spans="2:39" s="510" customFormat="1" x14ac:dyDescent="0.2">
      <c r="F144" s="514"/>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514"/>
      <c r="AJ144" s="514"/>
      <c r="AK144" s="514"/>
      <c r="AM144" s="511"/>
    </row>
    <row r="145" spans="6:39" s="510" customFormat="1" x14ac:dyDescent="0.2">
      <c r="F145" s="514"/>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514"/>
      <c r="AJ145" s="514"/>
      <c r="AK145" s="514"/>
      <c r="AM145" s="511"/>
    </row>
    <row r="146" spans="6:39" s="510" customFormat="1" x14ac:dyDescent="0.2">
      <c r="F146" s="514"/>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514"/>
      <c r="AJ146" s="514"/>
      <c r="AK146" s="514"/>
      <c r="AM146" s="511"/>
    </row>
    <row r="147" spans="6:39" s="510" customFormat="1" x14ac:dyDescent="0.2">
      <c r="F147" s="514"/>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514"/>
      <c r="AJ147" s="514"/>
      <c r="AK147" s="514"/>
      <c r="AM147" s="511"/>
    </row>
    <row r="148" spans="6:39" s="510" customFormat="1" x14ac:dyDescent="0.2">
      <c r="F148" s="514"/>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514"/>
      <c r="AJ148" s="514"/>
      <c r="AK148" s="514"/>
      <c r="AM148" s="511"/>
    </row>
    <row r="149" spans="6:39" s="510" customFormat="1" x14ac:dyDescent="0.2">
      <c r="F149" s="514"/>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514"/>
      <c r="AJ149" s="514"/>
      <c r="AK149" s="514"/>
      <c r="AM149" s="511"/>
    </row>
    <row r="150" spans="6:39" s="510" customFormat="1" x14ac:dyDescent="0.2">
      <c r="F150" s="514"/>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514"/>
      <c r="AJ150" s="514"/>
      <c r="AK150" s="514"/>
      <c r="AM150" s="511"/>
    </row>
    <row r="151" spans="6:39" s="510" customFormat="1" x14ac:dyDescent="0.2">
      <c r="F151" s="514"/>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514"/>
      <c r="AJ151" s="514"/>
      <c r="AK151" s="514"/>
      <c r="AM151" s="511"/>
    </row>
    <row r="152" spans="6:39" s="510" customFormat="1" x14ac:dyDescent="0.2">
      <c r="F152" s="514"/>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514"/>
      <c r="AJ152" s="514"/>
      <c r="AK152" s="514"/>
      <c r="AM152" s="511"/>
    </row>
    <row r="153" spans="6:39" s="510" customFormat="1" x14ac:dyDescent="0.2">
      <c r="F153" s="514"/>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514"/>
      <c r="AJ153" s="514"/>
      <c r="AK153" s="514"/>
      <c r="AM153" s="511"/>
    </row>
    <row r="154" spans="6:39" s="510" customFormat="1" x14ac:dyDescent="0.2">
      <c r="F154" s="514"/>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514"/>
      <c r="AJ154" s="514"/>
      <c r="AK154" s="514"/>
      <c r="AM154" s="511"/>
    </row>
    <row r="155" spans="6:39" s="510" customFormat="1" x14ac:dyDescent="0.2">
      <c r="F155" s="514"/>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514"/>
      <c r="AJ155" s="514"/>
      <c r="AK155" s="514"/>
      <c r="AM155" s="511"/>
    </row>
    <row r="156" spans="6:39" s="510" customFormat="1" x14ac:dyDescent="0.2">
      <c r="F156" s="514"/>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514"/>
      <c r="AJ156" s="514"/>
      <c r="AK156" s="514"/>
      <c r="AM156" s="511"/>
    </row>
    <row r="157" spans="6:39" s="510" customFormat="1" x14ac:dyDescent="0.2">
      <c r="F157" s="514"/>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514"/>
      <c r="AJ157" s="514"/>
      <c r="AK157" s="514"/>
      <c r="AM157" s="511"/>
    </row>
    <row r="158" spans="6:39" s="510" customFormat="1" x14ac:dyDescent="0.2">
      <c r="F158" s="514"/>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514"/>
      <c r="AJ158" s="514"/>
      <c r="AK158" s="514"/>
      <c r="AM158" s="511"/>
    </row>
    <row r="159" spans="6:39" s="510" customFormat="1" x14ac:dyDescent="0.2">
      <c r="F159" s="514"/>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514"/>
      <c r="AJ159" s="514"/>
      <c r="AK159" s="514"/>
      <c r="AM159" s="511"/>
    </row>
    <row r="160" spans="6:39" s="510" customFormat="1" x14ac:dyDescent="0.2">
      <c r="F160" s="514"/>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514"/>
      <c r="AJ160" s="514"/>
      <c r="AK160" s="514"/>
      <c r="AM160" s="511"/>
    </row>
    <row r="161" spans="6:39" s="510" customFormat="1" x14ac:dyDescent="0.2">
      <c r="F161" s="514"/>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514"/>
      <c r="AJ161" s="514"/>
      <c r="AK161" s="514"/>
      <c r="AM161" s="511"/>
    </row>
    <row r="162" spans="6:39" s="510" customFormat="1" x14ac:dyDescent="0.2">
      <c r="F162" s="514"/>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514"/>
      <c r="AJ162" s="514"/>
      <c r="AK162" s="514"/>
      <c r="AM162" s="511"/>
    </row>
    <row r="163" spans="6:39" s="510" customFormat="1" x14ac:dyDescent="0.2">
      <c r="F163" s="514"/>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514"/>
      <c r="AJ163" s="514"/>
      <c r="AK163" s="514"/>
      <c r="AM163" s="511"/>
    </row>
    <row r="164" spans="6:39" s="510" customFormat="1" x14ac:dyDescent="0.2">
      <c r="F164" s="514"/>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514"/>
      <c r="AJ164" s="514"/>
      <c r="AK164" s="514"/>
      <c r="AM164" s="511"/>
    </row>
    <row r="165" spans="6:39" s="510" customFormat="1" x14ac:dyDescent="0.2">
      <c r="F165" s="514"/>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514"/>
      <c r="AJ165" s="514"/>
      <c r="AK165" s="514"/>
      <c r="AM165" s="511"/>
    </row>
    <row r="166" spans="6:39" s="510" customFormat="1" x14ac:dyDescent="0.2">
      <c r="F166" s="514"/>
      <c r="G166" s="19"/>
      <c r="H166" s="19"/>
      <c r="I166" s="19"/>
      <c r="J166" s="19"/>
      <c r="K166" s="19"/>
      <c r="L166" s="19"/>
      <c r="M166" s="19"/>
      <c r="N166" s="19"/>
      <c r="O166" s="19"/>
      <c r="P166" s="19"/>
      <c r="Q166" s="19"/>
      <c r="R166" s="19"/>
      <c r="S166" s="19"/>
      <c r="T166" s="19"/>
      <c r="U166" s="19"/>
      <c r="V166" s="19"/>
      <c r="W166" s="19"/>
      <c r="X166" s="514"/>
      <c r="Y166" s="514"/>
      <c r="Z166" s="514"/>
      <c r="AA166" s="514"/>
      <c r="AB166" s="514"/>
      <c r="AC166" s="514"/>
      <c r="AD166" s="514"/>
      <c r="AE166" s="514"/>
      <c r="AF166" s="514"/>
      <c r="AG166" s="514"/>
      <c r="AH166" s="514"/>
      <c r="AI166" s="514"/>
      <c r="AJ166" s="514"/>
      <c r="AK166" s="514"/>
      <c r="AM166" s="511"/>
    </row>
    <row r="167" spans="6:39" s="510" customFormat="1" x14ac:dyDescent="0.2">
      <c r="F167" s="514"/>
      <c r="G167" s="19"/>
      <c r="H167" s="19"/>
      <c r="I167" s="19"/>
      <c r="J167" s="19"/>
      <c r="K167" s="19"/>
      <c r="L167" s="19"/>
      <c r="M167" s="19"/>
      <c r="N167" s="19"/>
      <c r="O167" s="19"/>
      <c r="P167" s="19"/>
      <c r="Q167" s="19"/>
      <c r="R167" s="19"/>
      <c r="S167" s="19"/>
      <c r="T167" s="19"/>
      <c r="U167" s="19"/>
      <c r="V167" s="19"/>
      <c r="W167" s="19"/>
      <c r="X167" s="514"/>
      <c r="Y167" s="514"/>
      <c r="Z167" s="514"/>
      <c r="AA167" s="514"/>
      <c r="AB167" s="514"/>
      <c r="AC167" s="514"/>
      <c r="AD167" s="514"/>
      <c r="AE167" s="514"/>
      <c r="AF167" s="514"/>
      <c r="AG167" s="514"/>
      <c r="AH167" s="514"/>
      <c r="AI167" s="514"/>
      <c r="AJ167" s="514"/>
      <c r="AK167" s="514"/>
      <c r="AM167" s="511"/>
    </row>
    <row r="168" spans="6:39" s="510" customFormat="1" x14ac:dyDescent="0.2">
      <c r="F168" s="514"/>
      <c r="G168" s="19"/>
      <c r="H168" s="19"/>
      <c r="I168" s="19"/>
      <c r="J168" s="19"/>
      <c r="K168" s="19"/>
      <c r="L168" s="19"/>
      <c r="M168" s="19"/>
      <c r="N168" s="19"/>
      <c r="O168" s="19"/>
      <c r="P168" s="19"/>
      <c r="Q168" s="19"/>
      <c r="R168" s="19"/>
      <c r="S168" s="19"/>
      <c r="T168" s="19"/>
      <c r="U168" s="19"/>
      <c r="V168" s="19"/>
      <c r="W168" s="19"/>
      <c r="X168" s="514"/>
      <c r="Y168" s="514"/>
      <c r="Z168" s="514"/>
      <c r="AA168" s="514"/>
      <c r="AB168" s="514"/>
      <c r="AC168" s="514"/>
      <c r="AD168" s="514"/>
      <c r="AE168" s="514"/>
      <c r="AF168" s="514"/>
      <c r="AG168" s="514"/>
      <c r="AH168" s="514"/>
      <c r="AI168" s="514"/>
      <c r="AJ168" s="514"/>
      <c r="AK168" s="514"/>
      <c r="AM168" s="511"/>
    </row>
    <row r="169" spans="6:39" s="510" customFormat="1" x14ac:dyDescent="0.2">
      <c r="F169" s="514"/>
      <c r="G169" s="19"/>
      <c r="H169" s="19"/>
      <c r="I169" s="19"/>
      <c r="J169" s="19"/>
      <c r="K169" s="19"/>
      <c r="L169" s="19"/>
      <c r="M169" s="19"/>
      <c r="N169" s="19"/>
      <c r="O169" s="19"/>
      <c r="P169" s="19"/>
      <c r="Q169" s="19"/>
      <c r="R169" s="19"/>
      <c r="S169" s="19"/>
      <c r="T169" s="19"/>
      <c r="U169" s="19"/>
      <c r="V169" s="19"/>
      <c r="W169" s="19"/>
      <c r="X169" s="514"/>
      <c r="Y169" s="514"/>
      <c r="Z169" s="514"/>
      <c r="AA169" s="514"/>
      <c r="AB169" s="514"/>
      <c r="AC169" s="514"/>
      <c r="AD169" s="514"/>
      <c r="AE169" s="514"/>
      <c r="AF169" s="514"/>
      <c r="AG169" s="514"/>
      <c r="AH169" s="514"/>
      <c r="AI169" s="514"/>
      <c r="AJ169" s="514"/>
      <c r="AK169" s="514"/>
      <c r="AM169" s="511"/>
    </row>
    <row r="170" spans="6:39" s="510" customFormat="1" x14ac:dyDescent="0.2">
      <c r="F170" s="514"/>
      <c r="G170" s="19"/>
      <c r="H170" s="19"/>
      <c r="I170" s="19"/>
      <c r="J170" s="19"/>
      <c r="K170" s="19"/>
      <c r="L170" s="19"/>
      <c r="M170" s="19"/>
      <c r="N170" s="19"/>
      <c r="O170" s="19"/>
      <c r="P170" s="19"/>
      <c r="Q170" s="19"/>
      <c r="R170" s="19"/>
      <c r="S170" s="19"/>
      <c r="T170" s="19"/>
      <c r="U170" s="19"/>
      <c r="V170" s="19"/>
      <c r="W170" s="19"/>
      <c r="X170" s="514"/>
      <c r="Y170" s="514"/>
      <c r="Z170" s="514"/>
      <c r="AA170" s="514"/>
      <c r="AB170" s="514"/>
      <c r="AC170" s="514"/>
      <c r="AD170" s="514"/>
      <c r="AE170" s="514"/>
      <c r="AF170" s="514"/>
      <c r="AG170" s="514"/>
      <c r="AH170" s="514"/>
      <c r="AI170" s="514"/>
      <c r="AJ170" s="514"/>
      <c r="AK170" s="514"/>
      <c r="AM170" s="511"/>
    </row>
    <row r="171" spans="6:39" s="510" customFormat="1" x14ac:dyDescent="0.2">
      <c r="F171" s="514"/>
      <c r="G171" s="19"/>
      <c r="H171" s="19"/>
      <c r="I171" s="19"/>
      <c r="J171" s="19"/>
      <c r="K171" s="19"/>
      <c r="L171" s="19"/>
      <c r="M171" s="19"/>
      <c r="N171" s="19"/>
      <c r="O171" s="19"/>
      <c r="P171" s="19"/>
      <c r="Q171" s="19"/>
      <c r="R171" s="19"/>
      <c r="S171" s="19"/>
      <c r="T171" s="19"/>
      <c r="U171" s="19"/>
      <c r="V171" s="19"/>
      <c r="W171" s="19"/>
      <c r="X171" s="514"/>
      <c r="Y171" s="514"/>
      <c r="Z171" s="514"/>
      <c r="AA171" s="514"/>
      <c r="AB171" s="514"/>
      <c r="AC171" s="514"/>
      <c r="AD171" s="514"/>
      <c r="AE171" s="514"/>
      <c r="AF171" s="514"/>
      <c r="AG171" s="514"/>
      <c r="AH171" s="514"/>
      <c r="AI171" s="514"/>
      <c r="AJ171" s="514"/>
      <c r="AK171" s="514"/>
      <c r="AM171" s="511"/>
    </row>
    <row r="172" spans="6:39" s="510" customFormat="1" x14ac:dyDescent="0.2">
      <c r="F172" s="514"/>
      <c r="G172" s="19"/>
      <c r="H172" s="19"/>
      <c r="I172" s="19"/>
      <c r="J172" s="19"/>
      <c r="K172" s="19"/>
      <c r="L172" s="19"/>
      <c r="M172" s="19"/>
      <c r="N172" s="19"/>
      <c r="O172" s="19"/>
      <c r="P172" s="19"/>
      <c r="Q172" s="19"/>
      <c r="R172" s="19"/>
      <c r="S172" s="19"/>
      <c r="T172" s="19"/>
      <c r="U172" s="19"/>
      <c r="V172" s="19"/>
      <c r="W172" s="19"/>
      <c r="X172" s="514"/>
      <c r="Y172" s="514"/>
      <c r="Z172" s="514"/>
      <c r="AA172" s="514"/>
      <c r="AB172" s="514"/>
      <c r="AC172" s="514"/>
      <c r="AD172" s="514"/>
      <c r="AE172" s="514"/>
      <c r="AF172" s="514"/>
      <c r="AG172" s="514"/>
      <c r="AH172" s="514"/>
      <c r="AI172" s="514"/>
      <c r="AJ172" s="514"/>
      <c r="AK172" s="514"/>
      <c r="AM172" s="511"/>
    </row>
    <row r="173" spans="6:39" s="510" customFormat="1" x14ac:dyDescent="0.2">
      <c r="F173" s="514"/>
      <c r="G173" s="19"/>
      <c r="H173" s="19"/>
      <c r="I173" s="19"/>
      <c r="J173" s="19"/>
      <c r="K173" s="19"/>
      <c r="L173" s="19"/>
      <c r="M173" s="19"/>
      <c r="N173" s="19"/>
      <c r="O173" s="19"/>
      <c r="P173" s="19"/>
      <c r="Q173" s="19"/>
      <c r="R173" s="19"/>
      <c r="S173" s="19"/>
      <c r="T173" s="19"/>
      <c r="U173" s="19"/>
      <c r="V173" s="19"/>
      <c r="W173" s="19"/>
      <c r="X173" s="514"/>
      <c r="Y173" s="514"/>
      <c r="Z173" s="514"/>
      <c r="AA173" s="514"/>
      <c r="AB173" s="514"/>
      <c r="AC173" s="514"/>
      <c r="AD173" s="514"/>
      <c r="AE173" s="514"/>
      <c r="AF173" s="514"/>
      <c r="AG173" s="514"/>
      <c r="AH173" s="514"/>
      <c r="AI173" s="514"/>
      <c r="AJ173" s="514"/>
      <c r="AK173" s="514"/>
      <c r="AM173" s="511"/>
    </row>
    <row r="174" spans="6:39" s="510" customFormat="1" x14ac:dyDescent="0.2">
      <c r="F174" s="514"/>
      <c r="G174" s="19"/>
      <c r="H174" s="19"/>
      <c r="I174" s="19"/>
      <c r="J174" s="19"/>
      <c r="K174" s="19"/>
      <c r="L174" s="19"/>
      <c r="M174" s="19"/>
      <c r="N174" s="19"/>
      <c r="O174" s="19"/>
      <c r="P174" s="19"/>
      <c r="Q174" s="19"/>
      <c r="R174" s="19"/>
      <c r="S174" s="19"/>
      <c r="T174" s="19"/>
      <c r="U174" s="19"/>
      <c r="V174" s="19"/>
      <c r="W174" s="19"/>
      <c r="X174" s="514"/>
      <c r="Y174" s="514"/>
      <c r="Z174" s="514"/>
      <c r="AA174" s="514"/>
      <c r="AB174" s="514"/>
      <c r="AC174" s="514"/>
      <c r="AD174" s="514"/>
      <c r="AE174" s="514"/>
      <c r="AF174" s="514"/>
      <c r="AG174" s="514"/>
      <c r="AH174" s="514"/>
      <c r="AI174" s="514"/>
      <c r="AJ174" s="514"/>
      <c r="AK174" s="514"/>
      <c r="AM174" s="511"/>
    </row>
    <row r="175" spans="6:39" s="510" customFormat="1" x14ac:dyDescent="0.2">
      <c r="F175" s="514"/>
      <c r="G175" s="19"/>
      <c r="H175" s="19"/>
      <c r="I175" s="19"/>
      <c r="J175" s="19"/>
      <c r="K175" s="19"/>
      <c r="L175" s="19"/>
      <c r="M175" s="19"/>
      <c r="N175" s="19"/>
      <c r="O175" s="19"/>
      <c r="P175" s="19"/>
      <c r="Q175" s="19"/>
      <c r="R175" s="19"/>
      <c r="S175" s="19"/>
      <c r="T175" s="19"/>
      <c r="U175" s="19"/>
      <c r="V175" s="19"/>
      <c r="W175" s="19"/>
      <c r="X175" s="514"/>
      <c r="Y175" s="514"/>
      <c r="Z175" s="514"/>
      <c r="AA175" s="514"/>
      <c r="AB175" s="514"/>
      <c r="AC175" s="514"/>
      <c r="AD175" s="514"/>
      <c r="AE175" s="514"/>
      <c r="AF175" s="514"/>
      <c r="AG175" s="514"/>
      <c r="AH175" s="514"/>
      <c r="AI175" s="514"/>
      <c r="AJ175" s="514"/>
      <c r="AK175" s="514"/>
      <c r="AM175" s="511"/>
    </row>
    <row r="176" spans="6:39" s="510" customFormat="1" x14ac:dyDescent="0.2">
      <c r="F176" s="514"/>
      <c r="G176" s="19"/>
      <c r="H176" s="19"/>
      <c r="I176" s="19"/>
      <c r="J176" s="19"/>
      <c r="K176" s="19"/>
      <c r="L176" s="19"/>
      <c r="M176" s="19"/>
      <c r="N176" s="19"/>
      <c r="O176" s="19"/>
      <c r="P176" s="19"/>
      <c r="Q176" s="19"/>
      <c r="R176" s="19"/>
      <c r="S176" s="19"/>
      <c r="T176" s="19"/>
      <c r="U176" s="19"/>
      <c r="V176" s="19"/>
      <c r="W176" s="19"/>
      <c r="X176" s="514"/>
      <c r="Y176" s="514"/>
      <c r="Z176" s="514"/>
      <c r="AA176" s="514"/>
      <c r="AB176" s="514"/>
      <c r="AC176" s="514"/>
      <c r="AD176" s="514"/>
      <c r="AE176" s="514"/>
      <c r="AF176" s="514"/>
      <c r="AG176" s="514"/>
      <c r="AH176" s="514"/>
      <c r="AI176" s="514"/>
      <c r="AJ176" s="514"/>
      <c r="AK176" s="514"/>
      <c r="AM176" s="511"/>
    </row>
    <row r="177" spans="6:39" s="510" customFormat="1" x14ac:dyDescent="0.2">
      <c r="F177" s="514"/>
      <c r="G177" s="19"/>
      <c r="H177" s="19"/>
      <c r="I177" s="19"/>
      <c r="J177" s="19"/>
      <c r="K177" s="19"/>
      <c r="L177" s="19"/>
      <c r="M177" s="19"/>
      <c r="N177" s="19"/>
      <c r="O177" s="19"/>
      <c r="P177" s="19"/>
      <c r="Q177" s="19"/>
      <c r="R177" s="19"/>
      <c r="S177" s="19"/>
      <c r="T177" s="19"/>
      <c r="U177" s="19"/>
      <c r="V177" s="19"/>
      <c r="W177" s="19"/>
      <c r="X177" s="514"/>
      <c r="Y177" s="514"/>
      <c r="Z177" s="514"/>
      <c r="AA177" s="514"/>
      <c r="AB177" s="514"/>
      <c r="AC177" s="514"/>
      <c r="AD177" s="514"/>
      <c r="AE177" s="514"/>
      <c r="AF177" s="514"/>
      <c r="AG177" s="514"/>
      <c r="AH177" s="514"/>
      <c r="AI177" s="514"/>
      <c r="AJ177" s="514"/>
      <c r="AK177" s="514"/>
      <c r="AM177" s="511"/>
    </row>
    <row r="178" spans="6:39" s="510" customFormat="1" x14ac:dyDescent="0.2">
      <c r="F178" s="514"/>
      <c r="G178" s="19"/>
      <c r="H178" s="19"/>
      <c r="I178" s="19"/>
      <c r="J178" s="19"/>
      <c r="K178" s="19"/>
      <c r="L178" s="19"/>
      <c r="M178" s="19"/>
      <c r="N178" s="19"/>
      <c r="O178" s="19"/>
      <c r="P178" s="19"/>
      <c r="Q178" s="19"/>
      <c r="R178" s="19"/>
      <c r="S178" s="19"/>
      <c r="T178" s="19"/>
      <c r="U178" s="19"/>
      <c r="V178" s="19"/>
      <c r="W178" s="19"/>
      <c r="X178" s="514"/>
      <c r="Y178" s="514"/>
      <c r="Z178" s="514"/>
      <c r="AA178" s="514"/>
      <c r="AB178" s="514"/>
      <c r="AC178" s="514"/>
      <c r="AD178" s="514"/>
      <c r="AE178" s="514"/>
      <c r="AF178" s="514"/>
      <c r="AG178" s="514"/>
      <c r="AH178" s="514"/>
      <c r="AI178" s="514"/>
      <c r="AJ178" s="514"/>
      <c r="AK178" s="514"/>
      <c r="AM178" s="511"/>
    </row>
    <row r="179" spans="6:39" s="510" customFormat="1" x14ac:dyDescent="0.2">
      <c r="F179" s="514"/>
      <c r="G179" s="19"/>
      <c r="H179" s="19"/>
      <c r="I179" s="19"/>
      <c r="J179" s="19"/>
      <c r="K179" s="19"/>
      <c r="L179" s="19"/>
      <c r="M179" s="19"/>
      <c r="N179" s="19"/>
      <c r="O179" s="19"/>
      <c r="P179" s="19"/>
      <c r="Q179" s="19"/>
      <c r="R179" s="19"/>
      <c r="S179" s="19"/>
      <c r="T179" s="19"/>
      <c r="U179" s="19"/>
      <c r="V179" s="19"/>
      <c r="W179" s="19"/>
      <c r="X179" s="514"/>
      <c r="Y179" s="514"/>
      <c r="Z179" s="514"/>
      <c r="AA179" s="514"/>
      <c r="AB179" s="514"/>
      <c r="AC179" s="514"/>
      <c r="AD179" s="514"/>
      <c r="AE179" s="514"/>
      <c r="AF179" s="514"/>
      <c r="AG179" s="514"/>
      <c r="AH179" s="514"/>
      <c r="AI179" s="514"/>
      <c r="AJ179" s="514"/>
      <c r="AK179" s="514"/>
      <c r="AM179" s="511"/>
    </row>
    <row r="180" spans="6:39" s="510" customFormat="1" x14ac:dyDescent="0.2">
      <c r="F180" s="514"/>
      <c r="G180" s="19"/>
      <c r="H180" s="19"/>
      <c r="I180" s="19"/>
      <c r="J180" s="19"/>
      <c r="K180" s="19"/>
      <c r="L180" s="19"/>
      <c r="M180" s="19"/>
      <c r="N180" s="19"/>
      <c r="O180" s="19"/>
      <c r="P180" s="19"/>
      <c r="Q180" s="19"/>
      <c r="R180" s="19"/>
      <c r="S180" s="19"/>
      <c r="T180" s="19"/>
      <c r="U180" s="19"/>
      <c r="V180" s="19"/>
      <c r="W180" s="19"/>
      <c r="X180" s="514"/>
      <c r="Y180" s="514"/>
      <c r="Z180" s="514"/>
      <c r="AA180" s="514"/>
      <c r="AB180" s="514"/>
      <c r="AC180" s="514"/>
      <c r="AD180" s="514"/>
      <c r="AE180" s="514"/>
      <c r="AF180" s="514"/>
      <c r="AG180" s="514"/>
      <c r="AH180" s="514"/>
      <c r="AI180" s="514"/>
      <c r="AJ180" s="514"/>
      <c r="AK180" s="514"/>
      <c r="AM180" s="511"/>
    </row>
    <row r="181" spans="6:39" s="510" customFormat="1" x14ac:dyDescent="0.2">
      <c r="F181" s="514"/>
      <c r="G181" s="19"/>
      <c r="H181" s="19"/>
      <c r="I181" s="19"/>
      <c r="J181" s="19"/>
      <c r="K181" s="19"/>
      <c r="L181" s="19"/>
      <c r="M181" s="19"/>
      <c r="N181" s="19"/>
      <c r="O181" s="19"/>
      <c r="P181" s="19"/>
      <c r="Q181" s="19"/>
      <c r="R181" s="19"/>
      <c r="S181" s="19"/>
      <c r="T181" s="19"/>
      <c r="U181" s="19"/>
      <c r="V181" s="19"/>
      <c r="W181" s="19"/>
      <c r="X181" s="514"/>
      <c r="Y181" s="514"/>
      <c r="Z181" s="514"/>
      <c r="AA181" s="514"/>
      <c r="AB181" s="514"/>
      <c r="AC181" s="514"/>
      <c r="AD181" s="514"/>
      <c r="AE181" s="514"/>
      <c r="AF181" s="514"/>
      <c r="AG181" s="514"/>
      <c r="AH181" s="514"/>
      <c r="AI181" s="514"/>
      <c r="AJ181" s="514"/>
      <c r="AK181" s="514"/>
      <c r="AM181" s="511"/>
    </row>
    <row r="182" spans="6:39" s="510" customFormat="1" x14ac:dyDescent="0.2">
      <c r="F182" s="514"/>
      <c r="G182" s="19"/>
      <c r="H182" s="19"/>
      <c r="I182" s="19"/>
      <c r="J182" s="19"/>
      <c r="K182" s="19"/>
      <c r="L182" s="19"/>
      <c r="M182" s="19"/>
      <c r="N182" s="19"/>
      <c r="O182" s="19"/>
      <c r="P182" s="19"/>
      <c r="Q182" s="19"/>
      <c r="R182" s="19"/>
      <c r="S182" s="19"/>
      <c r="T182" s="19"/>
      <c r="U182" s="19"/>
      <c r="V182" s="19"/>
      <c r="W182" s="19"/>
      <c r="X182" s="514"/>
      <c r="Y182" s="514"/>
      <c r="Z182" s="514"/>
      <c r="AA182" s="514"/>
      <c r="AB182" s="514"/>
      <c r="AC182" s="514"/>
      <c r="AD182" s="514"/>
      <c r="AE182" s="514"/>
      <c r="AF182" s="514"/>
      <c r="AG182" s="514"/>
      <c r="AH182" s="514"/>
      <c r="AI182" s="514"/>
      <c r="AJ182" s="514"/>
      <c r="AK182" s="514"/>
      <c r="AM182" s="511"/>
    </row>
    <row r="183" spans="6:39" s="510" customFormat="1" x14ac:dyDescent="0.2">
      <c r="F183" s="514"/>
      <c r="G183" s="19"/>
      <c r="H183" s="19"/>
      <c r="I183" s="19"/>
      <c r="J183" s="19"/>
      <c r="K183" s="19"/>
      <c r="L183" s="19"/>
      <c r="M183" s="19"/>
      <c r="N183" s="19"/>
      <c r="O183" s="19"/>
      <c r="P183" s="19"/>
      <c r="Q183" s="19"/>
      <c r="R183" s="19"/>
      <c r="S183" s="19"/>
      <c r="T183" s="19"/>
      <c r="U183" s="19"/>
      <c r="V183" s="19"/>
      <c r="W183" s="19"/>
      <c r="X183" s="514"/>
      <c r="Y183" s="514"/>
      <c r="Z183" s="514"/>
      <c r="AA183" s="514"/>
      <c r="AB183" s="514"/>
      <c r="AC183" s="514"/>
      <c r="AD183" s="514"/>
      <c r="AE183" s="514"/>
      <c r="AF183" s="514"/>
      <c r="AG183" s="514"/>
      <c r="AH183" s="514"/>
      <c r="AI183" s="514"/>
      <c r="AJ183" s="514"/>
      <c r="AK183" s="514"/>
      <c r="AM183" s="511"/>
    </row>
    <row r="184" spans="6:39" s="510" customFormat="1" x14ac:dyDescent="0.2">
      <c r="F184" s="514"/>
      <c r="G184" s="19"/>
      <c r="H184" s="19"/>
      <c r="I184" s="19"/>
      <c r="J184" s="19"/>
      <c r="K184" s="19"/>
      <c r="L184" s="19"/>
      <c r="M184" s="19"/>
      <c r="N184" s="19"/>
      <c r="O184" s="19"/>
      <c r="P184" s="19"/>
      <c r="Q184" s="19"/>
      <c r="R184" s="19"/>
      <c r="S184" s="19"/>
      <c r="T184" s="19"/>
      <c r="U184" s="19"/>
      <c r="V184" s="19"/>
      <c r="W184" s="19"/>
      <c r="X184" s="514"/>
      <c r="Y184" s="514"/>
      <c r="Z184" s="514"/>
      <c r="AA184" s="514"/>
      <c r="AB184" s="514"/>
      <c r="AC184" s="514"/>
      <c r="AD184" s="514"/>
      <c r="AE184" s="514"/>
      <c r="AF184" s="514"/>
      <c r="AG184" s="514"/>
      <c r="AH184" s="514"/>
      <c r="AI184" s="514"/>
      <c r="AJ184" s="514"/>
      <c r="AK184" s="514"/>
      <c r="AM184" s="511"/>
    </row>
    <row r="185" spans="6:39" s="510" customFormat="1" x14ac:dyDescent="0.2">
      <c r="F185" s="514"/>
      <c r="G185" s="19"/>
      <c r="H185" s="19"/>
      <c r="I185" s="19"/>
      <c r="J185" s="19"/>
      <c r="K185" s="19"/>
      <c r="L185" s="19"/>
      <c r="M185" s="19"/>
      <c r="N185" s="19"/>
      <c r="O185" s="19"/>
      <c r="P185" s="19"/>
      <c r="Q185" s="19"/>
      <c r="R185" s="19"/>
      <c r="S185" s="19"/>
      <c r="T185" s="19"/>
      <c r="U185" s="19"/>
      <c r="V185" s="19"/>
      <c r="W185" s="19"/>
      <c r="X185" s="514"/>
      <c r="Y185" s="514"/>
      <c r="Z185" s="514"/>
      <c r="AA185" s="514"/>
      <c r="AB185" s="514"/>
      <c r="AC185" s="514"/>
      <c r="AD185" s="514"/>
      <c r="AE185" s="514"/>
      <c r="AF185" s="514"/>
      <c r="AG185" s="514"/>
      <c r="AH185" s="514"/>
      <c r="AI185" s="514"/>
      <c r="AJ185" s="514"/>
      <c r="AK185" s="514"/>
      <c r="AM185" s="511"/>
    </row>
    <row r="186" spans="6:39" s="510" customFormat="1" x14ac:dyDescent="0.2">
      <c r="F186" s="514"/>
      <c r="G186" s="19"/>
      <c r="H186" s="19"/>
      <c r="I186" s="19"/>
      <c r="J186" s="19"/>
      <c r="K186" s="19"/>
      <c r="L186" s="19"/>
      <c r="M186" s="19"/>
      <c r="N186" s="19"/>
      <c r="O186" s="19"/>
      <c r="P186" s="19"/>
      <c r="Q186" s="19"/>
      <c r="R186" s="19"/>
      <c r="S186" s="19"/>
      <c r="T186" s="19"/>
      <c r="U186" s="19"/>
      <c r="V186" s="19"/>
      <c r="W186" s="19"/>
      <c r="X186" s="514"/>
      <c r="Y186" s="514"/>
      <c r="Z186" s="514"/>
      <c r="AA186" s="514"/>
      <c r="AB186" s="514"/>
      <c r="AC186" s="514"/>
      <c r="AD186" s="514"/>
      <c r="AE186" s="514"/>
      <c r="AF186" s="514"/>
      <c r="AG186" s="514"/>
      <c r="AH186" s="514"/>
      <c r="AI186" s="514"/>
      <c r="AJ186" s="514"/>
      <c r="AK186" s="514"/>
      <c r="AM186" s="511"/>
    </row>
    <row r="187" spans="6:39" s="510" customFormat="1" x14ac:dyDescent="0.2">
      <c r="F187" s="514"/>
      <c r="G187" s="19"/>
      <c r="H187" s="19"/>
      <c r="I187" s="19"/>
      <c r="J187" s="19"/>
      <c r="K187" s="19"/>
      <c r="L187" s="19"/>
      <c r="M187" s="19"/>
      <c r="N187" s="19"/>
      <c r="O187" s="19"/>
      <c r="P187" s="19"/>
      <c r="Q187" s="19"/>
      <c r="R187" s="19"/>
      <c r="S187" s="19"/>
      <c r="T187" s="19"/>
      <c r="U187" s="19"/>
      <c r="V187" s="19"/>
      <c r="W187" s="19"/>
      <c r="X187" s="514"/>
      <c r="Y187" s="514"/>
      <c r="Z187" s="514"/>
      <c r="AA187" s="514"/>
      <c r="AB187" s="514"/>
      <c r="AC187" s="514"/>
      <c r="AD187" s="514"/>
      <c r="AE187" s="514"/>
      <c r="AF187" s="514"/>
      <c r="AG187" s="514"/>
      <c r="AH187" s="514"/>
      <c r="AI187" s="514"/>
      <c r="AJ187" s="514"/>
      <c r="AK187" s="514"/>
      <c r="AM187" s="511"/>
    </row>
    <row r="188" spans="6:39" s="510" customFormat="1" x14ac:dyDescent="0.2">
      <c r="F188" s="514"/>
      <c r="G188" s="19"/>
      <c r="H188" s="19"/>
      <c r="I188" s="19"/>
      <c r="J188" s="19"/>
      <c r="K188" s="19"/>
      <c r="L188" s="19"/>
      <c r="M188" s="19"/>
      <c r="N188" s="19"/>
      <c r="O188" s="19"/>
      <c r="P188" s="19"/>
      <c r="Q188" s="19"/>
      <c r="R188" s="19"/>
      <c r="S188" s="19"/>
      <c r="T188" s="19"/>
      <c r="U188" s="19"/>
      <c r="V188" s="19"/>
      <c r="W188" s="19"/>
      <c r="X188" s="514"/>
      <c r="Y188" s="514"/>
      <c r="Z188" s="514"/>
      <c r="AA188" s="514"/>
      <c r="AB188" s="514"/>
      <c r="AC188" s="514"/>
      <c r="AD188" s="514"/>
      <c r="AE188" s="514"/>
      <c r="AF188" s="514"/>
      <c r="AG188" s="514"/>
      <c r="AH188" s="514"/>
      <c r="AI188" s="514"/>
      <c r="AJ188" s="514"/>
      <c r="AK188" s="514"/>
      <c r="AM188" s="511"/>
    </row>
    <row r="189" spans="6:39" s="510" customFormat="1" x14ac:dyDescent="0.2">
      <c r="F189" s="514"/>
      <c r="G189" s="19"/>
      <c r="H189" s="19"/>
      <c r="I189" s="19"/>
      <c r="J189" s="19"/>
      <c r="K189" s="19"/>
      <c r="L189" s="19"/>
      <c r="M189" s="19"/>
      <c r="N189" s="19"/>
      <c r="O189" s="19"/>
      <c r="P189" s="19"/>
      <c r="Q189" s="19"/>
      <c r="R189" s="19"/>
      <c r="S189" s="19"/>
      <c r="T189" s="19"/>
      <c r="U189" s="19"/>
      <c r="V189" s="19"/>
      <c r="W189" s="19"/>
      <c r="X189" s="514"/>
      <c r="Y189" s="514"/>
      <c r="Z189" s="514"/>
      <c r="AA189" s="514"/>
      <c r="AB189" s="514"/>
      <c r="AC189" s="514"/>
      <c r="AD189" s="514"/>
      <c r="AE189" s="514"/>
      <c r="AF189" s="514"/>
      <c r="AG189" s="514"/>
      <c r="AH189" s="514"/>
      <c r="AI189" s="514"/>
      <c r="AJ189" s="514"/>
      <c r="AK189" s="514"/>
      <c r="AM189" s="511"/>
    </row>
    <row r="190" spans="6:39" s="510" customFormat="1" x14ac:dyDescent="0.2">
      <c r="F190" s="514"/>
      <c r="G190" s="19"/>
      <c r="H190" s="19"/>
      <c r="I190" s="19"/>
      <c r="J190" s="19"/>
      <c r="K190" s="19"/>
      <c r="L190" s="19"/>
      <c r="M190" s="19"/>
      <c r="N190" s="19"/>
      <c r="O190" s="19"/>
      <c r="P190" s="19"/>
      <c r="Q190" s="19"/>
      <c r="R190" s="19"/>
      <c r="S190" s="19"/>
      <c r="T190" s="19"/>
      <c r="U190" s="514"/>
      <c r="V190" s="514"/>
      <c r="W190" s="514"/>
      <c r="X190" s="514"/>
      <c r="Y190" s="514"/>
      <c r="Z190" s="514"/>
      <c r="AA190" s="514"/>
      <c r="AB190" s="514"/>
      <c r="AC190" s="514"/>
      <c r="AD190" s="514"/>
      <c r="AE190" s="514"/>
      <c r="AF190" s="514"/>
      <c r="AG190" s="514"/>
      <c r="AH190" s="514"/>
      <c r="AI190" s="514"/>
      <c r="AJ190" s="514"/>
      <c r="AK190" s="514"/>
      <c r="AM190" s="511"/>
    </row>
    <row r="191" spans="6:39" s="510" customFormat="1" x14ac:dyDescent="0.2">
      <c r="F191" s="514"/>
      <c r="G191" s="19"/>
      <c r="H191" s="19"/>
      <c r="I191" s="19"/>
      <c r="J191" s="19"/>
      <c r="K191" s="19"/>
      <c r="L191" s="19"/>
      <c r="M191" s="19"/>
      <c r="N191" s="19"/>
      <c r="O191" s="19"/>
      <c r="P191" s="19"/>
      <c r="Q191" s="19"/>
      <c r="R191" s="19"/>
      <c r="S191" s="19"/>
      <c r="T191" s="19"/>
      <c r="U191" s="514"/>
      <c r="V191" s="514"/>
      <c r="W191" s="514"/>
      <c r="X191" s="514"/>
      <c r="Y191" s="514"/>
      <c r="Z191" s="514"/>
      <c r="AA191" s="514"/>
      <c r="AB191" s="514"/>
      <c r="AC191" s="514"/>
      <c r="AD191" s="514"/>
      <c r="AE191" s="514"/>
      <c r="AF191" s="514"/>
      <c r="AG191" s="514"/>
      <c r="AH191" s="514"/>
      <c r="AI191" s="514"/>
      <c r="AJ191" s="514"/>
      <c r="AK191" s="514"/>
      <c r="AM191" s="511"/>
    </row>
    <row r="192" spans="6:39" s="510" customFormat="1" x14ac:dyDescent="0.2">
      <c r="F192" s="514"/>
      <c r="G192" s="19"/>
      <c r="H192" s="19"/>
      <c r="I192" s="19"/>
      <c r="J192" s="19"/>
      <c r="K192" s="19"/>
      <c r="L192" s="19"/>
      <c r="M192" s="19"/>
      <c r="N192" s="19"/>
      <c r="O192" s="19"/>
      <c r="P192" s="19"/>
      <c r="Q192" s="19"/>
      <c r="R192" s="19"/>
      <c r="S192" s="19"/>
      <c r="T192" s="19"/>
      <c r="U192" s="514"/>
      <c r="V192" s="514"/>
      <c r="W192" s="514"/>
      <c r="X192" s="514"/>
      <c r="Y192" s="514"/>
      <c r="Z192" s="514"/>
      <c r="AA192" s="514"/>
      <c r="AB192" s="514"/>
      <c r="AC192" s="514"/>
      <c r="AD192" s="514"/>
      <c r="AE192" s="514"/>
      <c r="AF192" s="514"/>
      <c r="AG192" s="514"/>
      <c r="AH192" s="514"/>
      <c r="AI192" s="514"/>
      <c r="AJ192" s="514"/>
      <c r="AK192" s="514"/>
      <c r="AM192" s="511"/>
    </row>
    <row r="193" spans="6:39" s="510" customFormat="1" x14ac:dyDescent="0.2">
      <c r="F193" s="514"/>
      <c r="G193" s="19"/>
      <c r="H193" s="19"/>
      <c r="I193" s="19"/>
      <c r="J193" s="19"/>
      <c r="K193" s="19"/>
      <c r="L193" s="19"/>
      <c r="M193" s="19"/>
      <c r="N193" s="19"/>
      <c r="O193" s="19"/>
      <c r="P193" s="19"/>
      <c r="Q193" s="19"/>
      <c r="R193" s="19"/>
      <c r="S193" s="19"/>
      <c r="T193" s="19"/>
      <c r="U193" s="514"/>
      <c r="V193" s="514"/>
      <c r="W193" s="514"/>
      <c r="X193" s="514"/>
      <c r="Y193" s="514"/>
      <c r="Z193" s="514"/>
      <c r="AA193" s="514"/>
      <c r="AB193" s="514"/>
      <c r="AC193" s="514"/>
      <c r="AD193" s="514"/>
      <c r="AE193" s="514"/>
      <c r="AF193" s="514"/>
      <c r="AG193" s="514"/>
      <c r="AH193" s="514"/>
      <c r="AI193" s="514"/>
      <c r="AJ193" s="514"/>
      <c r="AK193" s="514"/>
      <c r="AM193" s="511"/>
    </row>
    <row r="194" spans="6:39" s="510" customFormat="1" x14ac:dyDescent="0.2">
      <c r="F194" s="514"/>
      <c r="G194" s="19"/>
      <c r="H194" s="19"/>
      <c r="I194" s="19"/>
      <c r="J194" s="19"/>
      <c r="K194" s="19"/>
      <c r="L194" s="19"/>
      <c r="M194" s="19"/>
      <c r="N194" s="19"/>
      <c r="O194" s="19"/>
      <c r="P194" s="19"/>
      <c r="Q194" s="19"/>
      <c r="R194" s="19"/>
      <c r="S194" s="19"/>
      <c r="T194" s="19"/>
      <c r="U194" s="514"/>
      <c r="V194" s="514"/>
      <c r="W194" s="514"/>
      <c r="X194" s="514"/>
      <c r="Y194" s="514"/>
      <c r="Z194" s="514"/>
      <c r="AA194" s="514"/>
      <c r="AB194" s="514"/>
      <c r="AC194" s="514"/>
      <c r="AD194" s="514"/>
      <c r="AE194" s="514"/>
      <c r="AF194" s="514"/>
      <c r="AG194" s="514"/>
      <c r="AH194" s="514"/>
      <c r="AI194" s="514"/>
      <c r="AJ194" s="514"/>
      <c r="AK194" s="514"/>
      <c r="AM194" s="511"/>
    </row>
    <row r="195" spans="6:39" s="510" customFormat="1" x14ac:dyDescent="0.2">
      <c r="F195" s="514"/>
      <c r="G195" s="19"/>
      <c r="H195" s="19"/>
      <c r="I195" s="19"/>
      <c r="J195" s="19"/>
      <c r="K195" s="19"/>
      <c r="L195" s="19"/>
      <c r="M195" s="19"/>
      <c r="N195" s="19"/>
      <c r="O195" s="19"/>
      <c r="P195" s="19"/>
      <c r="Q195" s="19"/>
      <c r="R195" s="19"/>
      <c r="S195" s="19"/>
      <c r="T195" s="19"/>
      <c r="U195" s="514"/>
      <c r="V195" s="514"/>
      <c r="W195" s="514"/>
      <c r="X195" s="514"/>
      <c r="Y195" s="514"/>
      <c r="Z195" s="514"/>
      <c r="AA195" s="514"/>
      <c r="AB195" s="514"/>
      <c r="AC195" s="514"/>
      <c r="AD195" s="514"/>
      <c r="AE195" s="514"/>
      <c r="AF195" s="514"/>
      <c r="AG195" s="514"/>
      <c r="AH195" s="514"/>
      <c r="AI195" s="514"/>
      <c r="AJ195" s="514"/>
      <c r="AK195" s="514"/>
      <c r="AM195" s="511"/>
    </row>
    <row r="196" spans="6:39" s="510" customFormat="1" x14ac:dyDescent="0.2">
      <c r="F196" s="514"/>
      <c r="G196" s="19"/>
      <c r="H196" s="19"/>
      <c r="I196" s="19"/>
      <c r="J196" s="19"/>
      <c r="K196" s="19"/>
      <c r="L196" s="19"/>
      <c r="M196" s="19"/>
      <c r="N196" s="19"/>
      <c r="O196" s="19"/>
      <c r="P196" s="19"/>
      <c r="Q196" s="19"/>
      <c r="R196" s="19"/>
      <c r="S196" s="19"/>
      <c r="T196" s="19"/>
      <c r="U196" s="514"/>
      <c r="V196" s="514"/>
      <c r="W196" s="514"/>
      <c r="X196" s="514"/>
      <c r="Y196" s="514"/>
      <c r="Z196" s="514"/>
      <c r="AA196" s="514"/>
      <c r="AB196" s="514"/>
      <c r="AC196" s="514"/>
      <c r="AD196" s="514"/>
      <c r="AE196" s="514"/>
      <c r="AF196" s="514"/>
      <c r="AG196" s="514"/>
      <c r="AH196" s="514"/>
      <c r="AI196" s="514"/>
      <c r="AJ196" s="514"/>
      <c r="AK196" s="514"/>
      <c r="AM196" s="511"/>
    </row>
    <row r="197" spans="6:39" s="510" customFormat="1" x14ac:dyDescent="0.2">
      <c r="F197" s="514"/>
      <c r="G197" s="19"/>
      <c r="H197" s="19"/>
      <c r="I197" s="19"/>
      <c r="J197" s="19"/>
      <c r="K197" s="19"/>
      <c r="L197" s="19"/>
      <c r="M197" s="19"/>
      <c r="N197" s="19"/>
      <c r="O197" s="19"/>
      <c r="P197" s="19"/>
      <c r="Q197" s="19"/>
      <c r="R197" s="19"/>
      <c r="S197" s="19"/>
      <c r="T197" s="19"/>
      <c r="U197" s="514"/>
      <c r="V197" s="514"/>
      <c r="W197" s="514"/>
      <c r="X197" s="514"/>
      <c r="Y197" s="514"/>
      <c r="Z197" s="514"/>
      <c r="AA197" s="514"/>
      <c r="AB197" s="514"/>
      <c r="AC197" s="514"/>
      <c r="AD197" s="514"/>
      <c r="AE197" s="514"/>
      <c r="AF197" s="514"/>
      <c r="AG197" s="514"/>
      <c r="AH197" s="514"/>
      <c r="AI197" s="514"/>
      <c r="AJ197" s="514"/>
      <c r="AK197" s="514"/>
      <c r="AM197" s="511"/>
    </row>
    <row r="198" spans="6:39" s="510" customFormat="1" x14ac:dyDescent="0.2">
      <c r="F198" s="514"/>
      <c r="G198" s="19"/>
      <c r="H198" s="19"/>
      <c r="I198" s="19"/>
      <c r="J198" s="19"/>
      <c r="K198" s="19"/>
      <c r="L198" s="19"/>
      <c r="M198" s="19"/>
      <c r="N198" s="19"/>
      <c r="O198" s="19"/>
      <c r="P198" s="19"/>
      <c r="Q198" s="19"/>
      <c r="R198" s="19"/>
      <c r="S198" s="19"/>
      <c r="T198" s="19"/>
      <c r="U198" s="514"/>
      <c r="V198" s="514"/>
      <c r="W198" s="514"/>
      <c r="X198" s="514"/>
      <c r="Y198" s="514"/>
      <c r="Z198" s="514"/>
      <c r="AA198" s="514"/>
      <c r="AB198" s="514"/>
      <c r="AC198" s="514"/>
      <c r="AD198" s="514"/>
      <c r="AE198" s="514"/>
      <c r="AF198" s="514"/>
      <c r="AG198" s="514"/>
      <c r="AH198" s="514"/>
      <c r="AI198" s="514"/>
      <c r="AJ198" s="514"/>
      <c r="AK198" s="514"/>
      <c r="AM198" s="511"/>
    </row>
    <row r="199" spans="6:39" s="510" customFormat="1" x14ac:dyDescent="0.2">
      <c r="F199" s="514"/>
      <c r="G199" s="19"/>
      <c r="H199" s="19"/>
      <c r="I199" s="19"/>
      <c r="J199" s="19"/>
      <c r="K199" s="19"/>
      <c r="L199" s="19"/>
      <c r="M199" s="19"/>
      <c r="N199" s="19"/>
      <c r="O199" s="19"/>
      <c r="P199" s="19"/>
      <c r="Q199" s="19"/>
      <c r="R199" s="19"/>
      <c r="S199" s="19"/>
      <c r="T199" s="19"/>
      <c r="U199" s="514"/>
      <c r="V199" s="514"/>
      <c r="W199" s="514"/>
      <c r="X199" s="514"/>
      <c r="Y199" s="514"/>
      <c r="Z199" s="514"/>
      <c r="AA199" s="514"/>
      <c r="AB199" s="514"/>
      <c r="AC199" s="514"/>
      <c r="AD199" s="514"/>
      <c r="AE199" s="514"/>
      <c r="AF199" s="514"/>
      <c r="AG199" s="514"/>
      <c r="AH199" s="514"/>
      <c r="AI199" s="514"/>
      <c r="AJ199" s="514"/>
      <c r="AK199" s="514"/>
      <c r="AM199" s="511"/>
    </row>
    <row r="200" spans="6:39" s="510" customFormat="1" x14ac:dyDescent="0.2">
      <c r="F200" s="514"/>
      <c r="G200" s="19"/>
      <c r="H200" s="19"/>
      <c r="I200" s="19"/>
      <c r="J200" s="19"/>
      <c r="K200" s="19"/>
      <c r="L200" s="19"/>
      <c r="M200" s="19"/>
      <c r="N200" s="19"/>
      <c r="O200" s="19"/>
      <c r="P200" s="19"/>
      <c r="Q200" s="19"/>
      <c r="R200" s="19"/>
      <c r="S200" s="19"/>
      <c r="T200" s="19"/>
      <c r="U200" s="514"/>
      <c r="V200" s="514"/>
      <c r="W200" s="514"/>
      <c r="X200" s="514"/>
      <c r="Y200" s="514"/>
      <c r="Z200" s="514"/>
      <c r="AA200" s="514"/>
      <c r="AB200" s="514"/>
      <c r="AC200" s="514"/>
      <c r="AD200" s="514"/>
      <c r="AE200" s="514"/>
      <c r="AF200" s="514"/>
      <c r="AG200" s="514"/>
      <c r="AH200" s="514"/>
      <c r="AI200" s="514"/>
      <c r="AJ200" s="514"/>
      <c r="AK200" s="514"/>
      <c r="AM200" s="511"/>
    </row>
    <row r="201" spans="6:39" s="510" customFormat="1" x14ac:dyDescent="0.2">
      <c r="F201" s="514"/>
      <c r="G201" s="19"/>
      <c r="H201" s="19"/>
      <c r="I201" s="19"/>
      <c r="J201" s="19"/>
      <c r="K201" s="19"/>
      <c r="L201" s="19"/>
      <c r="M201" s="19"/>
      <c r="N201" s="19"/>
      <c r="O201" s="19"/>
      <c r="P201" s="19"/>
      <c r="Q201" s="19"/>
      <c r="R201" s="19"/>
      <c r="S201" s="19"/>
      <c r="T201" s="19"/>
      <c r="U201" s="514"/>
      <c r="V201" s="514"/>
      <c r="W201" s="514"/>
      <c r="X201" s="514"/>
      <c r="Y201" s="514"/>
      <c r="Z201" s="514"/>
      <c r="AA201" s="514"/>
      <c r="AB201" s="514"/>
      <c r="AC201" s="514"/>
      <c r="AD201" s="514"/>
      <c r="AE201" s="514"/>
      <c r="AF201" s="514"/>
      <c r="AG201" s="514"/>
      <c r="AH201" s="514"/>
      <c r="AI201" s="514"/>
      <c r="AJ201" s="514"/>
      <c r="AK201" s="514"/>
      <c r="AM201" s="511"/>
    </row>
    <row r="202" spans="6:39" s="510" customFormat="1" x14ac:dyDescent="0.2">
      <c r="F202" s="514"/>
      <c r="G202" s="19"/>
      <c r="H202" s="19"/>
      <c r="I202" s="19"/>
      <c r="J202" s="19"/>
      <c r="K202" s="19"/>
      <c r="L202" s="19"/>
      <c r="M202" s="19"/>
      <c r="N202" s="19"/>
      <c r="O202" s="19"/>
      <c r="P202" s="19"/>
      <c r="Q202" s="19"/>
      <c r="R202" s="19"/>
      <c r="S202" s="19"/>
      <c r="T202" s="19"/>
      <c r="U202" s="514"/>
      <c r="V202" s="514"/>
      <c r="W202" s="514"/>
      <c r="X202" s="514"/>
      <c r="Y202" s="514"/>
      <c r="Z202" s="514"/>
      <c r="AA202" s="514"/>
      <c r="AB202" s="514"/>
      <c r="AC202" s="514"/>
      <c r="AD202" s="514"/>
      <c r="AE202" s="514"/>
      <c r="AF202" s="514"/>
      <c r="AG202" s="514"/>
      <c r="AH202" s="514"/>
      <c r="AI202" s="514"/>
      <c r="AJ202" s="514"/>
      <c r="AK202" s="514"/>
      <c r="AM202" s="511"/>
    </row>
    <row r="203" spans="6:39" s="510" customFormat="1" x14ac:dyDescent="0.2">
      <c r="F203" s="514"/>
      <c r="G203" s="19"/>
      <c r="H203" s="19"/>
      <c r="I203" s="19"/>
      <c r="J203" s="19"/>
      <c r="K203" s="19"/>
      <c r="L203" s="19"/>
      <c r="M203" s="19"/>
      <c r="N203" s="19"/>
      <c r="O203" s="19"/>
      <c r="P203" s="19"/>
      <c r="Q203" s="19"/>
      <c r="R203" s="19"/>
      <c r="S203" s="19"/>
      <c r="T203" s="19"/>
      <c r="U203" s="514"/>
      <c r="V203" s="514"/>
      <c r="W203" s="514"/>
      <c r="X203" s="514"/>
      <c r="Y203" s="514"/>
      <c r="Z203" s="514"/>
      <c r="AA203" s="514"/>
      <c r="AB203" s="514"/>
      <c r="AC203" s="514"/>
      <c r="AD203" s="514"/>
      <c r="AE203" s="514"/>
      <c r="AF203" s="514"/>
      <c r="AG203" s="514"/>
      <c r="AH203" s="514"/>
      <c r="AI203" s="514"/>
      <c r="AJ203" s="514"/>
      <c r="AK203" s="514"/>
      <c r="AM203" s="511"/>
    </row>
    <row r="204" spans="6:39" s="510" customFormat="1" x14ac:dyDescent="0.2">
      <c r="F204" s="514"/>
      <c r="G204" s="19"/>
      <c r="H204" s="19"/>
      <c r="I204" s="19"/>
      <c r="J204" s="19"/>
      <c r="K204" s="19"/>
      <c r="L204" s="19"/>
      <c r="M204" s="19"/>
      <c r="N204" s="19"/>
      <c r="O204" s="19"/>
      <c r="P204" s="19"/>
      <c r="Q204" s="19"/>
      <c r="R204" s="19"/>
      <c r="S204" s="19"/>
      <c r="T204" s="19"/>
      <c r="U204" s="514"/>
      <c r="V204" s="514"/>
      <c r="W204" s="514"/>
      <c r="X204" s="514"/>
      <c r="Y204" s="514"/>
      <c r="Z204" s="514"/>
      <c r="AA204" s="514"/>
      <c r="AB204" s="514"/>
      <c r="AC204" s="514"/>
      <c r="AD204" s="514"/>
      <c r="AE204" s="514"/>
      <c r="AF204" s="514"/>
      <c r="AG204" s="514"/>
      <c r="AH204" s="514"/>
      <c r="AI204" s="514"/>
      <c r="AJ204" s="514"/>
      <c r="AK204" s="514"/>
      <c r="AM204" s="511"/>
    </row>
    <row r="205" spans="6:39" s="510" customFormat="1" x14ac:dyDescent="0.2">
      <c r="F205" s="514"/>
      <c r="G205" s="19"/>
      <c r="H205" s="19"/>
      <c r="I205" s="19"/>
      <c r="J205" s="19"/>
      <c r="K205" s="19"/>
      <c r="L205" s="19"/>
      <c r="M205" s="19"/>
      <c r="N205" s="19"/>
      <c r="O205" s="19"/>
      <c r="P205" s="19"/>
      <c r="Q205" s="19"/>
      <c r="R205" s="19"/>
      <c r="S205" s="19"/>
      <c r="T205" s="19"/>
      <c r="U205" s="514"/>
      <c r="V205" s="514"/>
      <c r="W205" s="514"/>
      <c r="X205" s="514"/>
      <c r="Y205" s="514"/>
      <c r="Z205" s="514"/>
      <c r="AA205" s="514"/>
      <c r="AB205" s="514"/>
      <c r="AC205" s="514"/>
      <c r="AD205" s="514"/>
      <c r="AE205" s="514"/>
      <c r="AF205" s="514"/>
      <c r="AG205" s="514"/>
      <c r="AH205" s="514"/>
      <c r="AI205" s="514"/>
      <c r="AJ205" s="514"/>
      <c r="AK205" s="514"/>
      <c r="AM205" s="511"/>
    </row>
    <row r="206" spans="6:39" s="510" customFormat="1" x14ac:dyDescent="0.2">
      <c r="F206" s="514"/>
      <c r="G206" s="19"/>
      <c r="H206" s="19"/>
      <c r="I206" s="19"/>
      <c r="J206" s="19"/>
      <c r="K206" s="19"/>
      <c r="L206" s="19"/>
      <c r="M206" s="19"/>
      <c r="N206" s="19"/>
      <c r="O206" s="19"/>
      <c r="P206" s="19"/>
      <c r="Q206" s="19"/>
      <c r="R206" s="19"/>
      <c r="S206" s="19"/>
      <c r="T206" s="19"/>
      <c r="U206" s="514"/>
      <c r="V206" s="514"/>
      <c r="W206" s="514"/>
      <c r="X206" s="514"/>
      <c r="Y206" s="514"/>
      <c r="Z206" s="514"/>
      <c r="AA206" s="514"/>
      <c r="AB206" s="514"/>
      <c r="AC206" s="514"/>
      <c r="AD206" s="514"/>
      <c r="AE206" s="514"/>
      <c r="AF206" s="514"/>
      <c r="AG206" s="514"/>
      <c r="AH206" s="514"/>
      <c r="AI206" s="514"/>
      <c r="AJ206" s="514"/>
      <c r="AK206" s="514"/>
      <c r="AM206" s="511"/>
    </row>
    <row r="207" spans="6:39" s="510" customFormat="1" x14ac:dyDescent="0.2">
      <c r="F207" s="514"/>
      <c r="G207" s="19"/>
      <c r="H207" s="19"/>
      <c r="I207" s="19"/>
      <c r="J207" s="19"/>
      <c r="K207" s="19"/>
      <c r="L207" s="19"/>
      <c r="M207" s="19"/>
      <c r="N207" s="19"/>
      <c r="O207" s="19"/>
      <c r="P207" s="19"/>
      <c r="Q207" s="19"/>
      <c r="R207" s="19"/>
      <c r="S207" s="19"/>
      <c r="T207" s="19"/>
      <c r="U207" s="514"/>
      <c r="V207" s="514"/>
      <c r="W207" s="514"/>
      <c r="X207" s="514"/>
      <c r="Y207" s="514"/>
      <c r="Z207" s="514"/>
      <c r="AA207" s="514"/>
      <c r="AB207" s="514"/>
      <c r="AC207" s="514"/>
      <c r="AD207" s="514"/>
      <c r="AE207" s="514"/>
      <c r="AF207" s="514"/>
      <c r="AG207" s="514"/>
      <c r="AH207" s="514"/>
      <c r="AI207" s="514"/>
      <c r="AJ207" s="514"/>
      <c r="AK207" s="514"/>
      <c r="AM207" s="511"/>
    </row>
    <row r="208" spans="6:39" s="510" customFormat="1" x14ac:dyDescent="0.2">
      <c r="F208" s="514"/>
      <c r="G208" s="19"/>
      <c r="H208" s="19"/>
      <c r="I208" s="19"/>
      <c r="J208" s="19"/>
      <c r="K208" s="19"/>
      <c r="L208" s="19"/>
      <c r="M208" s="19"/>
      <c r="N208" s="19"/>
      <c r="O208" s="19"/>
      <c r="P208" s="19"/>
      <c r="Q208" s="19"/>
      <c r="R208" s="19"/>
      <c r="S208" s="19"/>
      <c r="T208" s="19"/>
      <c r="U208" s="514"/>
      <c r="V208" s="514"/>
      <c r="W208" s="514"/>
      <c r="X208" s="514"/>
      <c r="Y208" s="514"/>
      <c r="Z208" s="514"/>
      <c r="AA208" s="514"/>
      <c r="AB208" s="514"/>
      <c r="AC208" s="514"/>
      <c r="AD208" s="514"/>
      <c r="AE208" s="514"/>
      <c r="AF208" s="514"/>
      <c r="AG208" s="514"/>
      <c r="AH208" s="514"/>
      <c r="AI208" s="514"/>
      <c r="AJ208" s="514"/>
      <c r="AK208" s="514"/>
      <c r="AM208" s="511"/>
    </row>
    <row r="209" spans="6:39" s="510" customFormat="1" x14ac:dyDescent="0.2">
      <c r="F209" s="514"/>
      <c r="G209" s="19"/>
      <c r="H209" s="19"/>
      <c r="I209" s="19"/>
      <c r="J209" s="19"/>
      <c r="K209" s="19"/>
      <c r="L209" s="19"/>
      <c r="M209" s="19"/>
      <c r="N209" s="19"/>
      <c r="O209" s="19"/>
      <c r="P209" s="19"/>
      <c r="Q209" s="19"/>
      <c r="R209" s="19"/>
      <c r="S209" s="19"/>
      <c r="T209" s="19"/>
      <c r="U209" s="514"/>
      <c r="V209" s="514"/>
      <c r="W209" s="514"/>
      <c r="X209" s="514"/>
      <c r="Y209" s="514"/>
      <c r="Z209" s="514"/>
      <c r="AA209" s="514"/>
      <c r="AB209" s="514"/>
      <c r="AC209" s="514"/>
      <c r="AD209" s="514"/>
      <c r="AE209" s="514"/>
      <c r="AF209" s="514"/>
      <c r="AG209" s="514"/>
      <c r="AH209" s="514"/>
      <c r="AI209" s="514"/>
      <c r="AJ209" s="514"/>
      <c r="AK209" s="514"/>
      <c r="AM209" s="511"/>
    </row>
    <row r="210" spans="6:39" s="510" customFormat="1" x14ac:dyDescent="0.2">
      <c r="F210" s="514"/>
      <c r="G210" s="19"/>
      <c r="H210" s="19"/>
      <c r="I210" s="19"/>
      <c r="J210" s="19"/>
      <c r="K210" s="19"/>
      <c r="L210" s="19"/>
      <c r="M210" s="19"/>
      <c r="N210" s="19"/>
      <c r="O210" s="19"/>
      <c r="P210" s="19"/>
      <c r="Q210" s="19"/>
      <c r="R210" s="19"/>
      <c r="S210" s="19"/>
      <c r="T210" s="19"/>
      <c r="U210" s="514"/>
      <c r="V210" s="514"/>
      <c r="W210" s="514"/>
      <c r="X210" s="514"/>
      <c r="Y210" s="514"/>
      <c r="Z210" s="514"/>
      <c r="AA210" s="514"/>
      <c r="AB210" s="514"/>
      <c r="AC210" s="514"/>
      <c r="AD210" s="514"/>
      <c r="AE210" s="514"/>
      <c r="AF210" s="514"/>
      <c r="AG210" s="514"/>
      <c r="AH210" s="514"/>
      <c r="AI210" s="514"/>
      <c r="AJ210" s="514"/>
      <c r="AK210" s="514"/>
      <c r="AM210" s="511"/>
    </row>
    <row r="211" spans="6:39" s="510" customFormat="1" x14ac:dyDescent="0.2">
      <c r="F211" s="514"/>
      <c r="G211" s="19"/>
      <c r="H211" s="19"/>
      <c r="I211" s="19"/>
      <c r="J211" s="19"/>
      <c r="K211" s="19"/>
      <c r="L211" s="19"/>
      <c r="M211" s="19"/>
      <c r="N211" s="19"/>
      <c r="O211" s="19"/>
      <c r="P211" s="19"/>
      <c r="Q211" s="19"/>
      <c r="R211" s="19"/>
      <c r="S211" s="19"/>
      <c r="T211" s="19"/>
      <c r="U211" s="514"/>
      <c r="V211" s="514"/>
      <c r="W211" s="514"/>
      <c r="X211" s="514"/>
      <c r="Y211" s="514"/>
      <c r="Z211" s="514"/>
      <c r="AA211" s="514"/>
      <c r="AB211" s="514"/>
      <c r="AC211" s="514"/>
      <c r="AD211" s="514"/>
      <c r="AE211" s="514"/>
      <c r="AF211" s="514"/>
      <c r="AG211" s="514"/>
      <c r="AH211" s="514"/>
      <c r="AI211" s="514"/>
      <c r="AJ211" s="514"/>
      <c r="AK211" s="514"/>
      <c r="AM211" s="511"/>
    </row>
    <row r="212" spans="6:39" s="510" customFormat="1" x14ac:dyDescent="0.2">
      <c r="F212" s="514"/>
      <c r="G212" s="19"/>
      <c r="H212" s="19"/>
      <c r="I212" s="19"/>
      <c r="J212" s="19"/>
      <c r="K212" s="19"/>
      <c r="L212" s="19"/>
      <c r="M212" s="19"/>
      <c r="N212" s="19"/>
      <c r="O212" s="19"/>
      <c r="P212" s="19"/>
      <c r="Q212" s="19"/>
      <c r="R212" s="19"/>
      <c r="S212" s="19"/>
      <c r="T212" s="19"/>
      <c r="U212" s="514"/>
      <c r="V212" s="514"/>
      <c r="W212" s="514"/>
      <c r="X212" s="514"/>
      <c r="Y212" s="514"/>
      <c r="Z212" s="514"/>
      <c r="AA212" s="514"/>
      <c r="AB212" s="514"/>
      <c r="AC212" s="514"/>
      <c r="AD212" s="514"/>
      <c r="AE212" s="514"/>
      <c r="AF212" s="514"/>
      <c r="AG212" s="514"/>
      <c r="AH212" s="514"/>
      <c r="AI212" s="514"/>
      <c r="AJ212" s="514"/>
      <c r="AK212" s="514"/>
      <c r="AM212" s="511"/>
    </row>
    <row r="213" spans="6:39" s="510" customFormat="1" x14ac:dyDescent="0.2">
      <c r="F213" s="514"/>
      <c r="G213" s="19"/>
      <c r="H213" s="19"/>
      <c r="I213" s="19"/>
      <c r="J213" s="19"/>
      <c r="K213" s="19"/>
      <c r="L213" s="19"/>
      <c r="M213" s="19"/>
      <c r="N213" s="19"/>
      <c r="O213" s="19"/>
      <c r="P213" s="19"/>
      <c r="Q213" s="19"/>
      <c r="R213" s="19"/>
      <c r="S213" s="19"/>
      <c r="T213" s="19"/>
      <c r="U213" s="514"/>
      <c r="V213" s="514"/>
      <c r="W213" s="514"/>
      <c r="X213" s="514"/>
      <c r="Y213" s="514"/>
      <c r="Z213" s="514"/>
      <c r="AA213" s="514"/>
      <c r="AB213" s="514"/>
      <c r="AC213" s="514"/>
      <c r="AD213" s="514"/>
      <c r="AE213" s="514"/>
      <c r="AF213" s="514"/>
      <c r="AG213" s="514"/>
      <c r="AH213" s="514"/>
      <c r="AI213" s="514"/>
      <c r="AJ213" s="514"/>
      <c r="AK213" s="514"/>
      <c r="AM213" s="511"/>
    </row>
    <row r="214" spans="6:39" s="510" customFormat="1" x14ac:dyDescent="0.2">
      <c r="F214" s="514"/>
      <c r="G214" s="19"/>
      <c r="H214" s="19"/>
      <c r="I214" s="19"/>
      <c r="J214" s="19"/>
      <c r="K214" s="19"/>
      <c r="L214" s="19"/>
      <c r="M214" s="19"/>
      <c r="N214" s="19"/>
      <c r="O214" s="19"/>
      <c r="P214" s="19"/>
      <c r="Q214" s="19"/>
      <c r="R214" s="19"/>
      <c r="S214" s="19"/>
      <c r="T214" s="19"/>
      <c r="U214" s="514"/>
      <c r="V214" s="514"/>
      <c r="W214" s="514"/>
      <c r="X214" s="514"/>
      <c r="Y214" s="514"/>
      <c r="Z214" s="514"/>
      <c r="AA214" s="514"/>
      <c r="AB214" s="514"/>
      <c r="AC214" s="514"/>
      <c r="AD214" s="514"/>
      <c r="AE214" s="514"/>
      <c r="AF214" s="514"/>
      <c r="AG214" s="514"/>
      <c r="AH214" s="514"/>
      <c r="AI214" s="514"/>
      <c r="AJ214" s="514"/>
      <c r="AK214" s="514"/>
      <c r="AM214" s="511"/>
    </row>
    <row r="215" spans="6:39" s="510" customFormat="1" x14ac:dyDescent="0.2">
      <c r="F215" s="514"/>
      <c r="G215" s="19"/>
      <c r="H215" s="19"/>
      <c r="I215" s="19"/>
      <c r="J215" s="19"/>
      <c r="K215" s="19"/>
      <c r="L215" s="19"/>
      <c r="M215" s="19"/>
      <c r="N215" s="19"/>
      <c r="O215" s="19"/>
      <c r="P215" s="19"/>
      <c r="Q215" s="19"/>
      <c r="R215" s="19"/>
      <c r="S215" s="19"/>
      <c r="T215" s="19"/>
      <c r="U215" s="514"/>
      <c r="V215" s="514"/>
      <c r="W215" s="514"/>
      <c r="X215" s="514"/>
      <c r="Y215" s="514"/>
      <c r="Z215" s="514"/>
      <c r="AA215" s="514"/>
      <c r="AB215" s="514"/>
      <c r="AC215" s="514"/>
      <c r="AD215" s="514"/>
      <c r="AE215" s="514"/>
      <c r="AF215" s="514"/>
      <c r="AG215" s="514"/>
      <c r="AH215" s="514"/>
      <c r="AI215" s="514"/>
      <c r="AJ215" s="514"/>
      <c r="AK215" s="514"/>
      <c r="AM215" s="511"/>
    </row>
    <row r="216" spans="6:39" s="510" customFormat="1" x14ac:dyDescent="0.2">
      <c r="F216" s="514"/>
      <c r="G216" s="19"/>
      <c r="H216" s="19"/>
      <c r="I216" s="19"/>
      <c r="J216" s="19"/>
      <c r="K216" s="19"/>
      <c r="L216" s="19"/>
      <c r="M216" s="19"/>
      <c r="N216" s="19"/>
      <c r="O216" s="19"/>
      <c r="P216" s="19"/>
      <c r="Q216" s="19"/>
      <c r="R216" s="19"/>
      <c r="S216" s="19"/>
      <c r="T216" s="19"/>
      <c r="U216" s="514"/>
      <c r="V216" s="514"/>
      <c r="W216" s="514"/>
      <c r="X216" s="514"/>
      <c r="Y216" s="514"/>
      <c r="Z216" s="514"/>
      <c r="AA216" s="514"/>
      <c r="AB216" s="514"/>
      <c r="AC216" s="514"/>
      <c r="AD216" s="514"/>
      <c r="AE216" s="514"/>
      <c r="AF216" s="514"/>
      <c r="AG216" s="514"/>
      <c r="AH216" s="514"/>
      <c r="AI216" s="514"/>
      <c r="AJ216" s="514"/>
      <c r="AK216" s="514"/>
      <c r="AM216" s="511"/>
    </row>
    <row r="217" spans="6:39" s="510" customFormat="1" x14ac:dyDescent="0.2">
      <c r="F217" s="514"/>
      <c r="G217" s="19"/>
      <c r="H217" s="19"/>
      <c r="I217" s="514"/>
      <c r="J217" s="514"/>
      <c r="K217" s="514"/>
      <c r="L217" s="514"/>
      <c r="M217" s="514"/>
      <c r="N217" s="514"/>
      <c r="O217" s="514"/>
      <c r="P217" s="514"/>
      <c r="Q217" s="514"/>
      <c r="R217" s="514"/>
      <c r="S217" s="514"/>
      <c r="T217" s="514"/>
      <c r="U217" s="514"/>
      <c r="V217" s="514"/>
      <c r="W217" s="514"/>
      <c r="X217" s="514"/>
      <c r="Y217" s="514"/>
      <c r="Z217" s="514"/>
      <c r="AA217" s="514"/>
      <c r="AB217" s="514"/>
      <c r="AC217" s="514"/>
      <c r="AD217" s="514"/>
      <c r="AE217" s="514"/>
      <c r="AF217" s="514"/>
      <c r="AG217" s="514"/>
      <c r="AH217" s="514"/>
      <c r="AI217" s="514"/>
      <c r="AJ217" s="514"/>
      <c r="AK217" s="514"/>
    </row>
    <row r="218" spans="6:39" s="510" customFormat="1" x14ac:dyDescent="0.2">
      <c r="F218" s="514"/>
      <c r="G218" s="19"/>
      <c r="H218" s="514"/>
      <c r="I218" s="514"/>
      <c r="J218" s="514"/>
      <c r="K218" s="514"/>
      <c r="L218" s="514"/>
      <c r="M218" s="514"/>
      <c r="N218" s="514"/>
      <c r="O218" s="514"/>
      <c r="P218" s="514"/>
      <c r="Q218" s="514"/>
      <c r="R218" s="514"/>
      <c r="S218" s="514"/>
      <c r="T218" s="514"/>
      <c r="U218" s="514"/>
      <c r="V218" s="514"/>
      <c r="W218" s="514"/>
      <c r="X218" s="514"/>
      <c r="Y218" s="514"/>
      <c r="Z218" s="514"/>
      <c r="AA218" s="514"/>
      <c r="AB218" s="514"/>
      <c r="AC218" s="514"/>
      <c r="AD218" s="514"/>
      <c r="AE218" s="514"/>
      <c r="AF218" s="514"/>
      <c r="AG218" s="514"/>
      <c r="AH218" s="514"/>
      <c r="AI218" s="514"/>
      <c r="AJ218" s="514"/>
      <c r="AK218" s="514"/>
    </row>
    <row r="219" spans="6:39" s="510" customFormat="1" x14ac:dyDescent="0.2">
      <c r="F219" s="514"/>
      <c r="G219" s="19"/>
      <c r="H219" s="514"/>
      <c r="I219" s="514"/>
      <c r="J219" s="514"/>
      <c r="K219" s="514"/>
      <c r="L219" s="514"/>
      <c r="M219" s="514"/>
      <c r="N219" s="514"/>
      <c r="O219" s="514"/>
      <c r="P219" s="514"/>
      <c r="Q219" s="514"/>
      <c r="R219" s="514"/>
      <c r="S219" s="514"/>
      <c r="T219" s="514"/>
      <c r="U219" s="514"/>
      <c r="V219" s="514"/>
      <c r="W219" s="514"/>
      <c r="X219" s="514"/>
      <c r="Y219" s="514"/>
      <c r="Z219" s="514"/>
      <c r="AA219" s="514"/>
      <c r="AB219" s="514"/>
      <c r="AC219" s="514"/>
      <c r="AD219" s="514"/>
      <c r="AE219" s="514"/>
      <c r="AF219" s="514"/>
      <c r="AG219" s="514"/>
      <c r="AH219" s="514"/>
      <c r="AI219" s="514"/>
      <c r="AJ219" s="514"/>
      <c r="AK219" s="514"/>
    </row>
    <row r="220" spans="6:39" s="510" customFormat="1" x14ac:dyDescent="0.2">
      <c r="F220" s="514"/>
      <c r="G220" s="19"/>
      <c r="H220" s="514"/>
      <c r="I220" s="514"/>
      <c r="J220" s="514"/>
      <c r="K220" s="514"/>
      <c r="L220" s="514"/>
      <c r="M220" s="514"/>
      <c r="N220" s="514"/>
      <c r="O220" s="514"/>
      <c r="P220" s="514"/>
      <c r="Q220" s="514"/>
      <c r="R220" s="514"/>
      <c r="S220" s="514"/>
      <c r="T220" s="514"/>
      <c r="U220" s="514"/>
      <c r="V220" s="514"/>
      <c r="W220" s="514"/>
      <c r="X220" s="514"/>
      <c r="Y220" s="514"/>
      <c r="Z220" s="514"/>
      <c r="AA220" s="514"/>
      <c r="AB220" s="514"/>
      <c r="AC220" s="514"/>
      <c r="AD220" s="514"/>
      <c r="AE220" s="514"/>
      <c r="AF220" s="514"/>
      <c r="AG220" s="514"/>
      <c r="AH220" s="514"/>
      <c r="AI220" s="514"/>
      <c r="AJ220" s="514"/>
      <c r="AK220" s="514"/>
    </row>
    <row r="221" spans="6:39" s="510" customFormat="1" x14ac:dyDescent="0.2">
      <c r="F221" s="514"/>
      <c r="G221" s="19"/>
      <c r="H221" s="514"/>
      <c r="I221" s="514"/>
      <c r="J221" s="514"/>
      <c r="K221" s="514"/>
      <c r="L221" s="514"/>
      <c r="M221" s="514"/>
      <c r="N221" s="514"/>
      <c r="O221" s="514"/>
      <c r="P221" s="514"/>
      <c r="Q221" s="514"/>
      <c r="R221" s="514"/>
      <c r="S221" s="514"/>
      <c r="T221" s="514"/>
      <c r="U221" s="514"/>
      <c r="V221" s="514"/>
      <c r="W221" s="514"/>
      <c r="X221" s="514"/>
      <c r="Y221" s="514"/>
      <c r="Z221" s="514"/>
      <c r="AA221" s="514"/>
      <c r="AB221" s="514"/>
      <c r="AC221" s="514"/>
      <c r="AD221" s="514"/>
      <c r="AE221" s="514"/>
      <c r="AF221" s="514"/>
      <c r="AG221" s="514"/>
      <c r="AH221" s="514"/>
      <c r="AI221" s="514"/>
      <c r="AJ221" s="514"/>
      <c r="AK221" s="514"/>
    </row>
    <row r="222" spans="6:39" s="510" customFormat="1" x14ac:dyDescent="0.2">
      <c r="F222" s="514"/>
      <c r="G222" s="19"/>
      <c r="H222" s="514"/>
      <c r="I222" s="514"/>
      <c r="J222" s="514"/>
      <c r="K222" s="514"/>
      <c r="L222" s="514"/>
      <c r="M222" s="514"/>
      <c r="N222" s="514"/>
      <c r="O222" s="514"/>
      <c r="P222" s="514"/>
      <c r="Q222" s="514"/>
      <c r="R222" s="514"/>
      <c r="S222" s="514"/>
      <c r="T222" s="514"/>
      <c r="U222" s="514"/>
      <c r="V222" s="514"/>
      <c r="W222" s="514"/>
      <c r="X222" s="514"/>
      <c r="Y222" s="514"/>
      <c r="Z222" s="514"/>
      <c r="AA222" s="514"/>
      <c r="AB222" s="514"/>
      <c r="AC222" s="514"/>
      <c r="AD222" s="514"/>
      <c r="AE222" s="514"/>
      <c r="AF222" s="514"/>
      <c r="AG222" s="514"/>
      <c r="AH222" s="514"/>
      <c r="AI222" s="514"/>
      <c r="AJ222" s="514"/>
      <c r="AK222" s="514"/>
    </row>
    <row r="223" spans="6:39" s="510" customFormat="1" x14ac:dyDescent="0.2">
      <c r="F223" s="514"/>
      <c r="G223" s="19"/>
      <c r="H223" s="514"/>
      <c r="I223" s="514"/>
      <c r="J223" s="514"/>
      <c r="K223" s="514"/>
      <c r="L223" s="514"/>
      <c r="M223" s="514"/>
      <c r="N223" s="514"/>
      <c r="O223" s="514"/>
      <c r="P223" s="514"/>
      <c r="Q223" s="514"/>
      <c r="R223" s="514"/>
      <c r="S223" s="514"/>
      <c r="T223" s="514"/>
      <c r="U223" s="514"/>
      <c r="V223" s="514"/>
      <c r="W223" s="514"/>
      <c r="X223" s="514"/>
      <c r="Y223" s="514"/>
      <c r="Z223" s="514"/>
      <c r="AA223" s="514"/>
      <c r="AB223" s="514"/>
      <c r="AC223" s="514"/>
      <c r="AD223" s="514"/>
      <c r="AE223" s="514"/>
      <c r="AF223" s="514"/>
      <c r="AG223" s="514"/>
      <c r="AH223" s="514"/>
      <c r="AI223" s="514"/>
      <c r="AJ223" s="514"/>
      <c r="AK223" s="514"/>
    </row>
    <row r="224" spans="6:39" s="510" customFormat="1" x14ac:dyDescent="0.2">
      <c r="F224" s="514"/>
      <c r="G224" s="19"/>
      <c r="H224" s="514"/>
      <c r="I224" s="514"/>
      <c r="J224" s="514"/>
      <c r="K224" s="514"/>
      <c r="L224" s="514"/>
      <c r="M224" s="514"/>
      <c r="N224" s="514"/>
      <c r="O224" s="514"/>
      <c r="P224" s="514"/>
      <c r="Q224" s="514"/>
      <c r="R224" s="514"/>
      <c r="S224" s="514"/>
      <c r="T224" s="514"/>
      <c r="U224" s="514"/>
      <c r="V224" s="514"/>
      <c r="W224" s="514"/>
      <c r="X224" s="514"/>
      <c r="Y224" s="514"/>
      <c r="Z224" s="514"/>
      <c r="AA224" s="514"/>
      <c r="AB224" s="514"/>
      <c r="AC224" s="514"/>
      <c r="AD224" s="514"/>
      <c r="AE224" s="514"/>
      <c r="AF224" s="514"/>
      <c r="AG224" s="514"/>
      <c r="AH224" s="514"/>
      <c r="AI224" s="514"/>
      <c r="AJ224" s="514"/>
      <c r="AK224" s="514"/>
    </row>
    <row r="225" spans="6:37" s="510" customFormat="1" x14ac:dyDescent="0.2">
      <c r="F225" s="514"/>
      <c r="G225" s="19"/>
      <c r="H225" s="514"/>
      <c r="I225" s="514"/>
      <c r="J225" s="514"/>
      <c r="K225" s="514"/>
      <c r="L225" s="514"/>
      <c r="M225" s="514"/>
      <c r="N225" s="514"/>
      <c r="O225" s="514"/>
      <c r="P225" s="514"/>
      <c r="Q225" s="514"/>
      <c r="R225" s="514"/>
      <c r="S225" s="514"/>
      <c r="T225" s="514"/>
      <c r="U225" s="514"/>
      <c r="V225" s="514"/>
      <c r="W225" s="514"/>
      <c r="X225" s="514"/>
      <c r="Y225" s="514"/>
      <c r="Z225" s="514"/>
      <c r="AA225" s="514"/>
      <c r="AB225" s="514"/>
      <c r="AC225" s="514"/>
      <c r="AD225" s="514"/>
      <c r="AE225" s="514"/>
      <c r="AF225" s="514"/>
      <c r="AG225" s="514"/>
      <c r="AH225" s="514"/>
      <c r="AI225" s="514"/>
      <c r="AJ225" s="514"/>
      <c r="AK225" s="514"/>
    </row>
    <row r="226" spans="6:37" s="510" customFormat="1" x14ac:dyDescent="0.2">
      <c r="F226" s="514"/>
      <c r="G226" s="19"/>
      <c r="H226" s="514"/>
      <c r="I226" s="514"/>
      <c r="J226" s="514"/>
      <c r="K226" s="514"/>
      <c r="L226" s="514"/>
      <c r="M226" s="514"/>
      <c r="N226" s="514"/>
      <c r="O226" s="514"/>
      <c r="P226" s="514"/>
      <c r="Q226" s="514"/>
      <c r="R226" s="514"/>
      <c r="S226" s="514"/>
      <c r="T226" s="514"/>
      <c r="U226" s="514"/>
      <c r="V226" s="514"/>
      <c r="W226" s="514"/>
      <c r="X226" s="514"/>
      <c r="Y226" s="514"/>
      <c r="Z226" s="514"/>
      <c r="AA226" s="514"/>
      <c r="AB226" s="514"/>
      <c r="AC226" s="514"/>
      <c r="AD226" s="514"/>
      <c r="AE226" s="514"/>
      <c r="AF226" s="514"/>
      <c r="AG226" s="514"/>
      <c r="AH226" s="514"/>
      <c r="AI226" s="514"/>
      <c r="AJ226" s="514"/>
      <c r="AK226" s="514"/>
    </row>
    <row r="227" spans="6:37" s="510" customFormat="1" x14ac:dyDescent="0.2">
      <c r="F227" s="514"/>
      <c r="G227" s="19"/>
      <c r="H227" s="514"/>
      <c r="I227" s="514"/>
      <c r="J227" s="514"/>
      <c r="K227" s="514"/>
      <c r="L227" s="514"/>
      <c r="M227" s="514"/>
      <c r="N227" s="514"/>
      <c r="O227" s="514"/>
      <c r="P227" s="514"/>
      <c r="Q227" s="514"/>
      <c r="R227" s="514"/>
      <c r="S227" s="514"/>
      <c r="T227" s="514"/>
      <c r="U227" s="514"/>
      <c r="V227" s="514"/>
      <c r="W227" s="514"/>
      <c r="X227" s="514"/>
      <c r="Y227" s="514"/>
      <c r="Z227" s="514"/>
      <c r="AA227" s="514"/>
      <c r="AB227" s="514"/>
      <c r="AC227" s="514"/>
      <c r="AD227" s="514"/>
      <c r="AE227" s="514"/>
      <c r="AF227" s="514"/>
      <c r="AG227" s="514"/>
      <c r="AH227" s="514"/>
      <c r="AI227" s="514"/>
      <c r="AJ227" s="514"/>
      <c r="AK227" s="514"/>
    </row>
    <row r="228" spans="6:37" s="510" customFormat="1" x14ac:dyDescent="0.2">
      <c r="F228" s="514"/>
      <c r="G228" s="19"/>
      <c r="H228" s="514"/>
      <c r="I228" s="514"/>
      <c r="J228" s="514"/>
      <c r="K228" s="514"/>
      <c r="L228" s="514"/>
      <c r="M228" s="514"/>
      <c r="N228" s="514"/>
      <c r="O228" s="514"/>
      <c r="P228" s="514"/>
      <c r="Q228" s="514"/>
      <c r="R228" s="514"/>
      <c r="S228" s="514"/>
      <c r="T228" s="514"/>
      <c r="U228" s="514"/>
      <c r="V228" s="514"/>
      <c r="W228" s="514"/>
      <c r="X228" s="514"/>
      <c r="Y228" s="514"/>
      <c r="Z228" s="514"/>
      <c r="AA228" s="514"/>
      <c r="AB228" s="514"/>
      <c r="AC228" s="514"/>
      <c r="AD228" s="514"/>
      <c r="AE228" s="514"/>
      <c r="AF228" s="514"/>
      <c r="AG228" s="514"/>
      <c r="AH228" s="514"/>
      <c r="AI228" s="514"/>
      <c r="AJ228" s="514"/>
      <c r="AK228" s="514"/>
    </row>
    <row r="229" spans="6:37" s="510" customFormat="1" x14ac:dyDescent="0.2">
      <c r="F229" s="514"/>
      <c r="G229" s="19"/>
      <c r="H229" s="514"/>
      <c r="I229" s="514"/>
      <c r="J229" s="514"/>
      <c r="K229" s="514"/>
      <c r="L229" s="514"/>
      <c r="M229" s="514"/>
      <c r="N229" s="514"/>
      <c r="O229" s="514"/>
      <c r="P229" s="514"/>
      <c r="Q229" s="514"/>
      <c r="R229" s="514"/>
      <c r="S229" s="514"/>
      <c r="T229" s="514"/>
      <c r="U229" s="514"/>
      <c r="V229" s="514"/>
      <c r="W229" s="514"/>
      <c r="X229" s="514"/>
      <c r="Y229" s="514"/>
      <c r="Z229" s="514"/>
      <c r="AA229" s="514"/>
      <c r="AB229" s="514"/>
      <c r="AC229" s="514"/>
      <c r="AD229" s="514"/>
      <c r="AE229" s="514"/>
      <c r="AF229" s="514"/>
      <c r="AG229" s="514"/>
      <c r="AH229" s="514"/>
      <c r="AI229" s="514"/>
      <c r="AJ229" s="514"/>
      <c r="AK229" s="514"/>
    </row>
    <row r="230" spans="6:37" s="510" customFormat="1" x14ac:dyDescent="0.2">
      <c r="F230" s="514"/>
      <c r="G230" s="19"/>
      <c r="H230" s="514"/>
      <c r="I230" s="514"/>
      <c r="J230" s="514"/>
      <c r="K230" s="514"/>
      <c r="L230" s="514"/>
      <c r="M230" s="514"/>
      <c r="N230" s="514"/>
      <c r="O230" s="514"/>
      <c r="P230" s="514"/>
      <c r="Q230" s="514"/>
      <c r="R230" s="514"/>
      <c r="S230" s="514"/>
      <c r="T230" s="514"/>
      <c r="U230" s="514"/>
      <c r="V230" s="514"/>
      <c r="W230" s="514"/>
      <c r="X230" s="514"/>
      <c r="Y230" s="514"/>
      <c r="Z230" s="514"/>
      <c r="AA230" s="514"/>
      <c r="AB230" s="514"/>
      <c r="AC230" s="514"/>
      <c r="AD230" s="514"/>
      <c r="AE230" s="514"/>
      <c r="AF230" s="514"/>
      <c r="AG230" s="514"/>
      <c r="AH230" s="514"/>
      <c r="AI230" s="514"/>
      <c r="AJ230" s="514"/>
      <c r="AK230" s="514"/>
    </row>
    <row r="231" spans="6:37" s="510" customFormat="1" x14ac:dyDescent="0.2">
      <c r="F231" s="514"/>
      <c r="G231" s="19"/>
      <c r="H231" s="514"/>
      <c r="I231" s="514"/>
      <c r="J231" s="514"/>
      <c r="K231" s="514"/>
      <c r="L231" s="514"/>
      <c r="M231" s="514"/>
      <c r="N231" s="514"/>
      <c r="O231" s="514"/>
      <c r="P231" s="514"/>
      <c r="Q231" s="514"/>
      <c r="R231" s="514"/>
      <c r="S231" s="514"/>
      <c r="T231" s="514"/>
      <c r="U231" s="514"/>
      <c r="V231" s="514"/>
      <c r="W231" s="514"/>
      <c r="X231" s="514"/>
      <c r="Y231" s="514"/>
      <c r="Z231" s="514"/>
      <c r="AA231" s="514"/>
      <c r="AB231" s="514"/>
      <c r="AC231" s="514"/>
      <c r="AD231" s="514"/>
      <c r="AE231" s="514"/>
      <c r="AF231" s="514"/>
      <c r="AG231" s="514"/>
      <c r="AH231" s="514"/>
      <c r="AI231" s="514"/>
      <c r="AJ231" s="514"/>
      <c r="AK231" s="514"/>
    </row>
    <row r="232" spans="6:37" s="510" customFormat="1" x14ac:dyDescent="0.2">
      <c r="F232" s="514"/>
      <c r="G232" s="19"/>
      <c r="H232" s="514"/>
      <c r="I232" s="514"/>
      <c r="J232" s="514"/>
      <c r="K232" s="514"/>
      <c r="L232" s="514"/>
      <c r="M232" s="514"/>
      <c r="N232" s="514"/>
      <c r="O232" s="514"/>
      <c r="P232" s="514"/>
      <c r="Q232" s="514"/>
      <c r="R232" s="514"/>
      <c r="S232" s="514"/>
      <c r="T232" s="514"/>
      <c r="U232" s="514"/>
      <c r="V232" s="514"/>
      <c r="W232" s="514"/>
      <c r="X232" s="514"/>
      <c r="Y232" s="514"/>
      <c r="Z232" s="514"/>
      <c r="AA232" s="514"/>
      <c r="AB232" s="514"/>
      <c r="AC232" s="514"/>
      <c r="AD232" s="514"/>
      <c r="AE232" s="514"/>
      <c r="AF232" s="514"/>
      <c r="AG232" s="514"/>
      <c r="AH232" s="514"/>
      <c r="AI232" s="514"/>
      <c r="AJ232" s="514"/>
      <c r="AK232" s="514"/>
    </row>
    <row r="233" spans="6:37" s="510" customFormat="1" x14ac:dyDescent="0.2">
      <c r="F233" s="514"/>
      <c r="G233" s="19"/>
      <c r="H233" s="514"/>
      <c r="I233" s="514"/>
      <c r="J233" s="514"/>
      <c r="K233" s="514"/>
      <c r="L233" s="514"/>
      <c r="M233" s="514"/>
      <c r="N233" s="514"/>
      <c r="O233" s="514"/>
      <c r="P233" s="514"/>
      <c r="Q233" s="514"/>
      <c r="R233" s="514"/>
      <c r="S233" s="514"/>
      <c r="T233" s="514"/>
      <c r="U233" s="514"/>
      <c r="V233" s="514"/>
      <c r="W233" s="514"/>
      <c r="X233" s="514"/>
      <c r="Y233" s="514"/>
      <c r="Z233" s="514"/>
      <c r="AA233" s="514"/>
      <c r="AB233" s="514"/>
      <c r="AC233" s="514"/>
      <c r="AD233" s="514"/>
      <c r="AE233" s="514"/>
      <c r="AF233" s="514"/>
      <c r="AG233" s="514"/>
      <c r="AH233" s="514"/>
      <c r="AI233" s="514"/>
      <c r="AJ233" s="514"/>
      <c r="AK233" s="514"/>
    </row>
    <row r="234" spans="6:37" s="510" customFormat="1" x14ac:dyDescent="0.2">
      <c r="F234" s="514"/>
      <c r="G234" s="19"/>
      <c r="H234" s="514"/>
      <c r="I234" s="514"/>
      <c r="J234" s="514"/>
      <c r="K234" s="514"/>
      <c r="L234" s="514"/>
      <c r="M234" s="514"/>
      <c r="N234" s="514"/>
      <c r="O234" s="514"/>
      <c r="P234" s="514"/>
      <c r="Q234" s="514"/>
      <c r="R234" s="514"/>
      <c r="S234" s="514"/>
      <c r="T234" s="514"/>
      <c r="U234" s="514"/>
      <c r="V234" s="514"/>
      <c r="W234" s="514"/>
      <c r="X234" s="514"/>
      <c r="Y234" s="514"/>
      <c r="Z234" s="514"/>
      <c r="AA234" s="514"/>
      <c r="AB234" s="514"/>
      <c r="AC234" s="514"/>
      <c r="AD234" s="514"/>
      <c r="AE234" s="514"/>
      <c r="AF234" s="514"/>
      <c r="AG234" s="514"/>
      <c r="AH234" s="514"/>
      <c r="AI234" s="514"/>
      <c r="AJ234" s="514"/>
      <c r="AK234" s="514"/>
    </row>
    <row r="235" spans="6:37" s="510" customFormat="1" x14ac:dyDescent="0.2">
      <c r="F235" s="514"/>
      <c r="G235" s="19"/>
      <c r="H235" s="514"/>
      <c r="I235" s="514"/>
      <c r="J235" s="514"/>
      <c r="K235" s="514"/>
      <c r="L235" s="514"/>
      <c r="M235" s="514"/>
      <c r="N235" s="514"/>
      <c r="O235" s="514"/>
      <c r="P235" s="514"/>
      <c r="Q235" s="514"/>
      <c r="R235" s="514"/>
      <c r="S235" s="514"/>
      <c r="T235" s="514"/>
      <c r="U235" s="514"/>
      <c r="V235" s="514"/>
      <c r="W235" s="514"/>
      <c r="X235" s="514"/>
      <c r="Y235" s="514"/>
      <c r="Z235" s="514"/>
      <c r="AA235" s="514"/>
      <c r="AB235" s="514"/>
      <c r="AC235" s="514"/>
      <c r="AD235" s="514"/>
      <c r="AE235" s="514"/>
      <c r="AF235" s="514"/>
      <c r="AG235" s="514"/>
      <c r="AH235" s="514"/>
      <c r="AI235" s="514"/>
      <c r="AJ235" s="514"/>
      <c r="AK235" s="514"/>
    </row>
    <row r="236" spans="6:37" s="510" customFormat="1" x14ac:dyDescent="0.2">
      <c r="F236" s="514"/>
      <c r="G236" s="514"/>
      <c r="H236" s="514"/>
      <c r="I236" s="514"/>
      <c r="J236" s="514"/>
      <c r="K236" s="514"/>
      <c r="L236" s="514"/>
      <c r="M236" s="514"/>
      <c r="N236" s="514"/>
      <c r="O236" s="514"/>
      <c r="P236" s="514"/>
      <c r="Q236" s="514"/>
      <c r="R236" s="514"/>
      <c r="S236" s="514"/>
      <c r="T236" s="514"/>
      <c r="U236" s="514"/>
      <c r="V236" s="514"/>
      <c r="W236" s="514"/>
      <c r="X236" s="514"/>
      <c r="Y236" s="514"/>
      <c r="Z236" s="514"/>
      <c r="AA236" s="514"/>
      <c r="AB236" s="514"/>
      <c r="AC236" s="514"/>
      <c r="AD236" s="514"/>
      <c r="AE236" s="514"/>
      <c r="AF236" s="514"/>
      <c r="AG236" s="514"/>
      <c r="AH236" s="514"/>
      <c r="AI236" s="514"/>
      <c r="AJ236" s="514"/>
      <c r="AK236" s="514"/>
    </row>
    <row r="237" spans="6:37" s="510" customFormat="1" x14ac:dyDescent="0.2">
      <c r="F237" s="514"/>
      <c r="G237" s="514"/>
      <c r="H237" s="514"/>
      <c r="I237" s="514"/>
      <c r="J237" s="514"/>
      <c r="K237" s="514"/>
      <c r="L237" s="514"/>
      <c r="M237" s="514"/>
      <c r="N237" s="514"/>
      <c r="O237" s="514"/>
      <c r="P237" s="514"/>
      <c r="Q237" s="514"/>
      <c r="R237" s="514"/>
      <c r="S237" s="514"/>
      <c r="T237" s="514"/>
      <c r="U237" s="514"/>
      <c r="V237" s="514"/>
      <c r="W237" s="514"/>
      <c r="X237" s="514"/>
      <c r="Y237" s="514"/>
      <c r="Z237" s="514"/>
      <c r="AA237" s="514"/>
      <c r="AB237" s="514"/>
      <c r="AC237" s="514"/>
      <c r="AD237" s="514"/>
      <c r="AE237" s="514"/>
      <c r="AF237" s="514"/>
      <c r="AG237" s="514"/>
      <c r="AH237" s="514"/>
      <c r="AI237" s="514"/>
      <c r="AJ237" s="514"/>
      <c r="AK237" s="514"/>
    </row>
    <row r="238" spans="6:37" s="510" customFormat="1" x14ac:dyDescent="0.2">
      <c r="F238" s="514"/>
      <c r="G238" s="514"/>
      <c r="H238" s="514"/>
      <c r="I238" s="514"/>
      <c r="J238" s="514"/>
      <c r="K238" s="514"/>
      <c r="L238" s="514"/>
      <c r="M238" s="514"/>
      <c r="N238" s="514"/>
      <c r="O238" s="514"/>
      <c r="P238" s="514"/>
      <c r="Q238" s="514"/>
      <c r="R238" s="514"/>
      <c r="S238" s="514"/>
      <c r="T238" s="514"/>
      <c r="U238" s="514"/>
      <c r="V238" s="514"/>
      <c r="W238" s="514"/>
      <c r="X238" s="514"/>
      <c r="Y238" s="514"/>
      <c r="Z238" s="514"/>
      <c r="AA238" s="514"/>
      <c r="AB238" s="514"/>
      <c r="AC238" s="514"/>
      <c r="AD238" s="514"/>
      <c r="AE238" s="514"/>
      <c r="AF238" s="514"/>
      <c r="AG238" s="514"/>
      <c r="AH238" s="514"/>
      <c r="AI238" s="514"/>
      <c r="AJ238" s="514"/>
      <c r="AK238" s="514"/>
    </row>
    <row r="239" spans="6:37" s="510" customFormat="1" x14ac:dyDescent="0.2">
      <c r="F239" s="514"/>
      <c r="G239" s="514"/>
      <c r="H239" s="514"/>
      <c r="I239" s="514"/>
      <c r="J239" s="514"/>
      <c r="K239" s="514"/>
      <c r="L239" s="514"/>
      <c r="M239" s="514"/>
      <c r="N239" s="514"/>
      <c r="O239" s="514"/>
      <c r="P239" s="514"/>
      <c r="Q239" s="514"/>
      <c r="R239" s="514"/>
      <c r="S239" s="514"/>
      <c r="T239" s="514"/>
      <c r="U239" s="514"/>
      <c r="V239" s="514"/>
      <c r="W239" s="514"/>
      <c r="X239" s="514"/>
      <c r="Y239" s="514"/>
      <c r="Z239" s="514"/>
      <c r="AA239" s="514"/>
      <c r="AB239" s="514"/>
      <c r="AC239" s="514"/>
      <c r="AD239" s="514"/>
      <c r="AE239" s="514"/>
      <c r="AF239" s="514"/>
      <c r="AG239" s="514"/>
      <c r="AH239" s="514"/>
      <c r="AI239" s="514"/>
      <c r="AJ239" s="514"/>
      <c r="AK239" s="514"/>
    </row>
    <row r="240" spans="6:37" s="510" customFormat="1" x14ac:dyDescent="0.2">
      <c r="F240" s="514"/>
      <c r="G240" s="514"/>
      <c r="H240" s="514"/>
      <c r="I240" s="514"/>
      <c r="J240" s="514"/>
      <c r="K240" s="514"/>
      <c r="L240" s="514"/>
      <c r="M240" s="514"/>
      <c r="N240" s="514"/>
      <c r="O240" s="514"/>
      <c r="P240" s="514"/>
      <c r="Q240" s="514"/>
      <c r="R240" s="514"/>
      <c r="S240" s="514"/>
      <c r="T240" s="514"/>
      <c r="U240" s="514"/>
      <c r="V240" s="514"/>
      <c r="W240" s="514"/>
      <c r="X240" s="514"/>
      <c r="Y240" s="514"/>
      <c r="Z240" s="514"/>
      <c r="AA240" s="514"/>
      <c r="AB240" s="514"/>
      <c r="AC240" s="514"/>
      <c r="AD240" s="514"/>
      <c r="AE240" s="514"/>
      <c r="AF240" s="514"/>
      <c r="AG240" s="514"/>
      <c r="AH240" s="514"/>
      <c r="AI240" s="514"/>
      <c r="AJ240" s="514"/>
      <c r="AK240" s="514"/>
    </row>
    <row r="241" spans="6:37" s="510" customFormat="1" x14ac:dyDescent="0.2">
      <c r="F241" s="514"/>
      <c r="G241" s="514"/>
      <c r="H241" s="514"/>
      <c r="I241" s="514"/>
      <c r="J241" s="514"/>
      <c r="K241" s="514"/>
      <c r="L241" s="514"/>
      <c r="M241" s="514"/>
      <c r="N241" s="514"/>
      <c r="O241" s="514"/>
      <c r="P241" s="514"/>
      <c r="Q241" s="514"/>
      <c r="R241" s="514"/>
      <c r="S241" s="514"/>
      <c r="T241" s="514"/>
      <c r="U241" s="514"/>
      <c r="V241" s="514"/>
      <c r="W241" s="514"/>
      <c r="X241" s="514"/>
      <c r="Y241" s="514"/>
      <c r="Z241" s="514"/>
      <c r="AA241" s="514"/>
      <c r="AB241" s="514"/>
      <c r="AC241" s="514"/>
      <c r="AD241" s="514"/>
      <c r="AE241" s="514"/>
      <c r="AF241" s="514"/>
      <c r="AG241" s="514"/>
      <c r="AH241" s="514"/>
      <c r="AI241" s="514"/>
      <c r="AJ241" s="514"/>
      <c r="AK241" s="514"/>
    </row>
    <row r="242" spans="6:37" s="510" customFormat="1" x14ac:dyDescent="0.2">
      <c r="F242" s="514"/>
      <c r="G242" s="514"/>
      <c r="H242" s="514"/>
      <c r="I242" s="514"/>
      <c r="J242" s="514"/>
      <c r="K242" s="514"/>
      <c r="L242" s="514"/>
      <c r="M242" s="514"/>
      <c r="N242" s="514"/>
      <c r="O242" s="514"/>
      <c r="P242" s="514"/>
      <c r="Q242" s="514"/>
      <c r="R242" s="514"/>
      <c r="S242" s="514"/>
      <c r="T242" s="514"/>
      <c r="U242" s="514"/>
      <c r="V242" s="514"/>
      <c r="W242" s="514"/>
      <c r="X242" s="514"/>
      <c r="Y242" s="514"/>
      <c r="Z242" s="514"/>
      <c r="AA242" s="514"/>
      <c r="AB242" s="514"/>
      <c r="AC242" s="514"/>
      <c r="AD242" s="514"/>
      <c r="AE242" s="514"/>
      <c r="AF242" s="514"/>
      <c r="AG242" s="514"/>
      <c r="AH242" s="514"/>
      <c r="AI242" s="514"/>
      <c r="AJ242" s="514"/>
      <c r="AK242" s="514"/>
    </row>
    <row r="243" spans="6:37" s="510" customFormat="1" x14ac:dyDescent="0.2">
      <c r="F243" s="514"/>
      <c r="G243" s="514"/>
      <c r="H243" s="514"/>
      <c r="I243" s="514"/>
      <c r="J243" s="514"/>
      <c r="K243" s="514"/>
      <c r="L243" s="514"/>
      <c r="M243" s="514"/>
      <c r="N243" s="514"/>
      <c r="O243" s="514"/>
      <c r="P243" s="514"/>
      <c r="Q243" s="514"/>
      <c r="R243" s="514"/>
      <c r="S243" s="514"/>
      <c r="T243" s="514"/>
      <c r="U243" s="514"/>
      <c r="V243" s="514"/>
      <c r="W243" s="514"/>
      <c r="X243" s="514"/>
      <c r="Y243" s="514"/>
      <c r="Z243" s="514"/>
      <c r="AA243" s="514"/>
      <c r="AB243" s="514"/>
      <c r="AC243" s="514"/>
      <c r="AD243" s="514"/>
      <c r="AE243" s="514"/>
      <c r="AF243" s="514"/>
      <c r="AG243" s="514"/>
      <c r="AH243" s="514"/>
      <c r="AI243" s="514"/>
      <c r="AJ243" s="514"/>
      <c r="AK243" s="514"/>
    </row>
    <row r="244" spans="6:37" s="510" customFormat="1" x14ac:dyDescent="0.2">
      <c r="F244" s="514"/>
      <c r="G244" s="514"/>
      <c r="H244" s="514"/>
      <c r="I244" s="514"/>
      <c r="J244" s="514"/>
      <c r="K244" s="514"/>
      <c r="L244" s="514"/>
      <c r="M244" s="514"/>
      <c r="N244" s="514"/>
      <c r="O244" s="514"/>
      <c r="P244" s="514"/>
      <c r="Q244" s="514"/>
      <c r="R244" s="514"/>
      <c r="S244" s="514"/>
      <c r="T244" s="514"/>
      <c r="U244" s="514"/>
      <c r="V244" s="514"/>
      <c r="W244" s="514"/>
      <c r="X244" s="514"/>
      <c r="Y244" s="514"/>
      <c r="Z244" s="514"/>
      <c r="AA244" s="514"/>
      <c r="AB244" s="514"/>
      <c r="AC244" s="514"/>
      <c r="AD244" s="514"/>
      <c r="AE244" s="514"/>
      <c r="AF244" s="514"/>
      <c r="AG244" s="514"/>
      <c r="AH244" s="514"/>
      <c r="AI244" s="514"/>
      <c r="AJ244" s="514"/>
      <c r="AK244" s="514"/>
    </row>
    <row r="245" spans="6:37" s="510" customFormat="1" x14ac:dyDescent="0.2">
      <c r="F245" s="514"/>
      <c r="G245" s="514"/>
      <c r="H245" s="514"/>
      <c r="I245" s="514"/>
      <c r="J245" s="514"/>
      <c r="K245" s="514"/>
      <c r="L245" s="514"/>
      <c r="M245" s="514"/>
      <c r="N245" s="514"/>
      <c r="O245" s="514"/>
      <c r="P245" s="514"/>
      <c r="Q245" s="514"/>
      <c r="R245" s="514"/>
      <c r="S245" s="514"/>
      <c r="T245" s="514"/>
      <c r="U245" s="514"/>
      <c r="V245" s="514"/>
      <c r="W245" s="514"/>
      <c r="X245" s="514"/>
      <c r="Y245" s="514"/>
      <c r="Z245" s="514"/>
      <c r="AA245" s="514"/>
      <c r="AB245" s="514"/>
      <c r="AC245" s="514"/>
      <c r="AD245" s="514"/>
      <c r="AE245" s="514"/>
      <c r="AF245" s="514"/>
      <c r="AG245" s="514"/>
      <c r="AH245" s="514"/>
      <c r="AI245" s="514"/>
      <c r="AJ245" s="514"/>
      <c r="AK245" s="514"/>
    </row>
    <row r="246" spans="6:37" s="510" customFormat="1" x14ac:dyDescent="0.2">
      <c r="F246" s="514"/>
      <c r="G246" s="514"/>
      <c r="H246" s="514"/>
      <c r="I246" s="514"/>
      <c r="J246" s="514"/>
      <c r="K246" s="514"/>
      <c r="L246" s="514"/>
      <c r="M246" s="514"/>
      <c r="N246" s="514"/>
      <c r="O246" s="514"/>
      <c r="P246" s="514"/>
      <c r="Q246" s="514"/>
      <c r="R246" s="514"/>
      <c r="S246" s="514"/>
      <c r="T246" s="514"/>
      <c r="U246" s="514"/>
      <c r="V246" s="514"/>
      <c r="W246" s="514"/>
      <c r="X246" s="514"/>
      <c r="Y246" s="514"/>
      <c r="Z246" s="514"/>
      <c r="AA246" s="514"/>
      <c r="AB246" s="514"/>
      <c r="AC246" s="514"/>
      <c r="AD246" s="514"/>
      <c r="AE246" s="514"/>
      <c r="AF246" s="514"/>
      <c r="AG246" s="514"/>
      <c r="AH246" s="514"/>
      <c r="AI246" s="514"/>
      <c r="AJ246" s="514"/>
      <c r="AK246" s="514"/>
    </row>
    <row r="247" spans="6:37" s="510" customFormat="1" x14ac:dyDescent="0.2">
      <c r="F247" s="514"/>
      <c r="G247" s="514"/>
      <c r="H247" s="514"/>
      <c r="I247" s="514"/>
      <c r="J247" s="514"/>
      <c r="K247" s="514"/>
      <c r="L247" s="514"/>
      <c r="M247" s="514"/>
      <c r="N247" s="514"/>
      <c r="O247" s="514"/>
      <c r="P247" s="514"/>
      <c r="Q247" s="514"/>
      <c r="R247" s="514"/>
      <c r="S247" s="514"/>
      <c r="T247" s="514"/>
      <c r="U247" s="514"/>
      <c r="V247" s="514"/>
      <c r="W247" s="514"/>
      <c r="X247" s="514"/>
      <c r="Y247" s="514"/>
      <c r="Z247" s="514"/>
      <c r="AA247" s="514"/>
      <c r="AB247" s="514"/>
      <c r="AC247" s="514"/>
      <c r="AD247" s="514"/>
      <c r="AE247" s="514"/>
      <c r="AF247" s="514"/>
      <c r="AG247" s="514"/>
      <c r="AH247" s="514"/>
      <c r="AI247" s="514"/>
      <c r="AJ247" s="514"/>
      <c r="AK247" s="514"/>
    </row>
    <row r="248" spans="6:37" s="510" customFormat="1" x14ac:dyDescent="0.2">
      <c r="F248" s="514"/>
      <c r="G248" s="514"/>
      <c r="H248" s="514"/>
      <c r="I248" s="514"/>
      <c r="J248" s="514"/>
      <c r="K248" s="514"/>
      <c r="L248" s="514"/>
      <c r="M248" s="514"/>
      <c r="N248" s="514"/>
      <c r="O248" s="514"/>
      <c r="P248" s="514"/>
      <c r="Q248" s="514"/>
      <c r="R248" s="514"/>
      <c r="S248" s="514"/>
      <c r="T248" s="514"/>
      <c r="U248" s="514"/>
      <c r="V248" s="514"/>
      <c r="W248" s="514"/>
      <c r="X248" s="514"/>
      <c r="Y248" s="514"/>
      <c r="Z248" s="514"/>
      <c r="AA248" s="514"/>
      <c r="AB248" s="514"/>
      <c r="AC248" s="514"/>
      <c r="AD248" s="514"/>
      <c r="AE248" s="514"/>
      <c r="AF248" s="514"/>
      <c r="AG248" s="514"/>
      <c r="AH248" s="514"/>
      <c r="AI248" s="514"/>
      <c r="AJ248" s="514"/>
      <c r="AK248" s="514"/>
    </row>
    <row r="249" spans="6:37" s="510" customFormat="1" x14ac:dyDescent="0.2">
      <c r="F249" s="514"/>
      <c r="G249" s="19"/>
      <c r="H249" s="514"/>
      <c r="I249" s="514"/>
      <c r="J249" s="514"/>
      <c r="K249" s="514"/>
      <c r="L249" s="514"/>
      <c r="M249" s="514"/>
      <c r="N249" s="514"/>
      <c r="O249" s="514"/>
      <c r="P249" s="514"/>
      <c r="Q249" s="514"/>
      <c r="R249" s="514"/>
      <c r="S249" s="514"/>
      <c r="T249" s="514"/>
      <c r="U249" s="514"/>
      <c r="V249" s="514"/>
      <c r="W249" s="514"/>
      <c r="X249" s="514"/>
      <c r="Y249" s="514"/>
      <c r="Z249" s="514"/>
      <c r="AA249" s="514"/>
      <c r="AB249" s="514"/>
      <c r="AC249" s="514"/>
      <c r="AD249" s="514"/>
      <c r="AE249" s="514"/>
      <c r="AF249" s="514"/>
      <c r="AG249" s="514"/>
      <c r="AH249" s="514"/>
      <c r="AI249" s="514"/>
      <c r="AJ249" s="514"/>
      <c r="AK249" s="514"/>
    </row>
    <row r="250" spans="6:37" s="510" customFormat="1" x14ac:dyDescent="0.2">
      <c r="F250" s="514"/>
      <c r="G250" s="19"/>
      <c r="H250" s="514"/>
      <c r="I250" s="514"/>
      <c r="J250" s="514"/>
      <c r="K250" s="514"/>
      <c r="L250" s="514"/>
      <c r="M250" s="514"/>
      <c r="N250" s="514"/>
      <c r="O250" s="514"/>
      <c r="P250" s="514"/>
      <c r="Q250" s="514"/>
      <c r="R250" s="514"/>
      <c r="S250" s="514"/>
      <c r="T250" s="514"/>
      <c r="U250" s="514"/>
      <c r="V250" s="514"/>
      <c r="W250" s="514"/>
      <c r="X250" s="514"/>
      <c r="Y250" s="514"/>
      <c r="Z250" s="514"/>
      <c r="AA250" s="514"/>
      <c r="AB250" s="514"/>
      <c r="AC250" s="514"/>
      <c r="AD250" s="514"/>
      <c r="AE250" s="514"/>
      <c r="AF250" s="514"/>
      <c r="AG250" s="514"/>
      <c r="AH250" s="514"/>
      <c r="AI250" s="514"/>
      <c r="AJ250" s="514"/>
      <c r="AK250" s="514"/>
    </row>
    <row r="251" spans="6:37" s="510" customFormat="1" x14ac:dyDescent="0.2">
      <c r="F251" s="514"/>
      <c r="G251" s="19"/>
      <c r="H251" s="514"/>
      <c r="I251" s="514"/>
      <c r="J251" s="514"/>
      <c r="K251" s="514"/>
      <c r="L251" s="514"/>
      <c r="M251" s="514"/>
      <c r="N251" s="514"/>
      <c r="O251" s="514"/>
      <c r="P251" s="514"/>
      <c r="Q251" s="514"/>
      <c r="R251" s="514"/>
      <c r="S251" s="514"/>
      <c r="T251" s="514"/>
      <c r="U251" s="514"/>
      <c r="V251" s="514"/>
      <c r="W251" s="514"/>
      <c r="X251" s="514"/>
      <c r="Y251" s="514"/>
      <c r="Z251" s="514"/>
      <c r="AA251" s="514"/>
      <c r="AB251" s="514"/>
      <c r="AC251" s="514"/>
      <c r="AD251" s="514"/>
      <c r="AE251" s="514"/>
      <c r="AF251" s="514"/>
      <c r="AG251" s="514"/>
      <c r="AH251" s="514"/>
      <c r="AI251" s="514"/>
      <c r="AJ251" s="514"/>
      <c r="AK251" s="514"/>
    </row>
    <row r="252" spans="6:37" s="510" customFormat="1" x14ac:dyDescent="0.2">
      <c r="F252" s="514"/>
      <c r="G252" s="19"/>
      <c r="H252" s="514"/>
      <c r="I252" s="514"/>
      <c r="J252" s="514"/>
      <c r="K252" s="514"/>
      <c r="L252" s="514"/>
      <c r="M252" s="514"/>
      <c r="N252" s="514"/>
      <c r="O252" s="514"/>
      <c r="P252" s="514"/>
      <c r="Q252" s="514"/>
      <c r="R252" s="514"/>
      <c r="S252" s="514"/>
      <c r="T252" s="514"/>
      <c r="U252" s="514"/>
      <c r="V252" s="514"/>
      <c r="W252" s="514"/>
      <c r="X252" s="514"/>
      <c r="Y252" s="514"/>
      <c r="Z252" s="514"/>
      <c r="AA252" s="514"/>
      <c r="AB252" s="514"/>
      <c r="AC252" s="514"/>
      <c r="AD252" s="514"/>
      <c r="AE252" s="514"/>
      <c r="AF252" s="514"/>
      <c r="AG252" s="514"/>
      <c r="AH252" s="514"/>
      <c r="AI252" s="514"/>
      <c r="AJ252" s="514"/>
      <c r="AK252" s="514"/>
    </row>
    <row r="253" spans="6:37" s="510" customFormat="1" x14ac:dyDescent="0.2">
      <c r="F253" s="514"/>
      <c r="G253" s="19"/>
      <c r="H253" s="514"/>
      <c r="I253" s="514"/>
      <c r="J253" s="514"/>
      <c r="K253" s="514"/>
      <c r="L253" s="514"/>
      <c r="M253" s="514"/>
      <c r="N253" s="514"/>
      <c r="O253" s="514"/>
      <c r="P253" s="514"/>
      <c r="Q253" s="514"/>
      <c r="R253" s="514"/>
      <c r="S253" s="514"/>
      <c r="T253" s="514"/>
      <c r="U253" s="514"/>
      <c r="V253" s="514"/>
      <c r="W253" s="514"/>
      <c r="X253" s="514"/>
      <c r="Y253" s="514"/>
      <c r="Z253" s="514"/>
      <c r="AA253" s="514"/>
      <c r="AB253" s="514"/>
      <c r="AC253" s="514"/>
      <c r="AD253" s="514"/>
      <c r="AE253" s="514"/>
      <c r="AF253" s="514"/>
      <c r="AG253" s="514"/>
      <c r="AH253" s="514"/>
      <c r="AI253" s="514"/>
      <c r="AJ253" s="514"/>
      <c r="AK253" s="514"/>
    </row>
    <row r="254" spans="6:37" s="510" customFormat="1" x14ac:dyDescent="0.2">
      <c r="F254" s="514"/>
      <c r="G254" s="19"/>
      <c r="H254" s="514"/>
      <c r="I254" s="514"/>
      <c r="J254" s="514"/>
      <c r="K254" s="514"/>
      <c r="L254" s="514"/>
      <c r="M254" s="514"/>
      <c r="N254" s="514"/>
      <c r="O254" s="514"/>
      <c r="P254" s="514"/>
      <c r="Q254" s="514"/>
      <c r="R254" s="514"/>
      <c r="S254" s="514"/>
      <c r="T254" s="514"/>
      <c r="U254" s="514"/>
      <c r="V254" s="514"/>
      <c r="W254" s="514"/>
      <c r="X254" s="514"/>
      <c r="Y254" s="514"/>
      <c r="Z254" s="514"/>
      <c r="AA254" s="514"/>
      <c r="AB254" s="514"/>
      <c r="AC254" s="514"/>
      <c r="AD254" s="514"/>
      <c r="AE254" s="514"/>
      <c r="AF254" s="514"/>
      <c r="AG254" s="514"/>
      <c r="AH254" s="514"/>
      <c r="AI254" s="514"/>
      <c r="AJ254" s="514"/>
      <c r="AK254" s="514"/>
    </row>
    <row r="255" spans="6:37" s="510" customFormat="1" x14ac:dyDescent="0.2">
      <c r="F255" s="514"/>
      <c r="G255" s="19"/>
      <c r="H255" s="514"/>
      <c r="I255" s="514"/>
      <c r="J255" s="514"/>
      <c r="K255" s="514"/>
      <c r="L255" s="514"/>
      <c r="M255" s="514"/>
      <c r="N255" s="514"/>
      <c r="O255" s="514"/>
      <c r="P255" s="514"/>
      <c r="Q255" s="514"/>
      <c r="R255" s="514"/>
      <c r="S255" s="514"/>
      <c r="T255" s="514"/>
      <c r="U255" s="514"/>
      <c r="V255" s="514"/>
      <c r="W255" s="514"/>
      <c r="X255" s="514"/>
      <c r="Y255" s="514"/>
      <c r="Z255" s="514"/>
      <c r="AA255" s="514"/>
      <c r="AB255" s="514"/>
      <c r="AC255" s="514"/>
      <c r="AD255" s="514"/>
      <c r="AE255" s="514"/>
      <c r="AF255" s="514"/>
      <c r="AG255" s="514"/>
      <c r="AH255" s="514"/>
      <c r="AI255" s="514"/>
      <c r="AJ255" s="514"/>
      <c r="AK255" s="514"/>
    </row>
    <row r="256" spans="6:37" s="510" customFormat="1" x14ac:dyDescent="0.2">
      <c r="F256" s="514"/>
      <c r="G256" s="514"/>
      <c r="H256" s="514"/>
      <c r="I256" s="514"/>
      <c r="J256" s="514"/>
      <c r="K256" s="514"/>
      <c r="L256" s="514"/>
      <c r="M256" s="514"/>
      <c r="N256" s="514"/>
      <c r="O256" s="514"/>
      <c r="P256" s="514"/>
      <c r="Q256" s="514"/>
      <c r="R256" s="514"/>
      <c r="S256" s="514"/>
      <c r="T256" s="514"/>
      <c r="U256" s="514"/>
      <c r="V256" s="514"/>
      <c r="W256" s="514"/>
      <c r="X256" s="514"/>
      <c r="Y256" s="514"/>
      <c r="Z256" s="514"/>
      <c r="AA256" s="514"/>
      <c r="AB256" s="514"/>
      <c r="AC256" s="514"/>
      <c r="AD256" s="514"/>
      <c r="AE256" s="514"/>
      <c r="AF256" s="514"/>
      <c r="AG256" s="514"/>
      <c r="AH256" s="514"/>
      <c r="AI256" s="514"/>
      <c r="AJ256" s="514"/>
      <c r="AK256" s="514"/>
    </row>
    <row r="257" spans="6:37" s="510" customFormat="1" x14ac:dyDescent="0.2">
      <c r="F257" s="514"/>
      <c r="G257" s="514"/>
      <c r="H257" s="514"/>
      <c r="I257" s="514"/>
      <c r="J257" s="514"/>
      <c r="K257" s="514"/>
      <c r="L257" s="514"/>
      <c r="M257" s="514"/>
      <c r="N257" s="514"/>
      <c r="O257" s="514"/>
      <c r="P257" s="514"/>
      <c r="Q257" s="514"/>
      <c r="R257" s="514"/>
      <c r="S257" s="514"/>
      <c r="T257" s="514"/>
      <c r="U257" s="514"/>
      <c r="V257" s="514"/>
      <c r="W257" s="514"/>
      <c r="X257" s="514"/>
      <c r="Y257" s="514"/>
      <c r="Z257" s="514"/>
      <c r="AA257" s="514"/>
      <c r="AB257" s="514"/>
      <c r="AC257" s="514"/>
      <c r="AD257" s="514"/>
      <c r="AE257" s="514"/>
      <c r="AF257" s="514"/>
      <c r="AG257" s="514"/>
      <c r="AH257" s="514"/>
      <c r="AI257" s="514"/>
      <c r="AJ257" s="514"/>
      <c r="AK257" s="514"/>
    </row>
    <row r="258" spans="6:37" s="510" customFormat="1" x14ac:dyDescent="0.2">
      <c r="F258" s="514"/>
      <c r="G258" s="514"/>
      <c r="H258" s="514"/>
      <c r="I258" s="514"/>
      <c r="J258" s="514"/>
      <c r="K258" s="514"/>
      <c r="L258" s="514"/>
      <c r="M258" s="514"/>
      <c r="N258" s="514"/>
      <c r="O258" s="514"/>
      <c r="P258" s="514"/>
      <c r="Q258" s="514"/>
      <c r="R258" s="514"/>
      <c r="S258" s="514"/>
      <c r="T258" s="514"/>
      <c r="U258" s="514"/>
      <c r="V258" s="514"/>
      <c r="W258" s="514"/>
      <c r="X258" s="514"/>
      <c r="Y258" s="514"/>
      <c r="Z258" s="514"/>
      <c r="AA258" s="514"/>
      <c r="AB258" s="514"/>
      <c r="AC258" s="514"/>
      <c r="AD258" s="514"/>
      <c r="AE258" s="514"/>
      <c r="AF258" s="514"/>
      <c r="AG258" s="514"/>
      <c r="AH258" s="514"/>
      <c r="AI258" s="514"/>
      <c r="AJ258" s="514"/>
      <c r="AK258" s="514"/>
    </row>
    <row r="259" spans="6:37" s="510" customFormat="1" x14ac:dyDescent="0.2">
      <c r="F259" s="514"/>
      <c r="G259" s="514"/>
      <c r="H259" s="514"/>
      <c r="I259" s="514"/>
      <c r="J259" s="514"/>
      <c r="K259" s="514"/>
      <c r="L259" s="514"/>
      <c r="M259" s="514"/>
      <c r="N259" s="514"/>
      <c r="O259" s="514"/>
      <c r="P259" s="514"/>
      <c r="Q259" s="514"/>
      <c r="R259" s="514"/>
      <c r="S259" s="514"/>
      <c r="T259" s="514"/>
      <c r="U259" s="514"/>
      <c r="V259" s="514"/>
      <c r="W259" s="514"/>
      <c r="X259" s="514"/>
      <c r="Y259" s="514"/>
      <c r="Z259" s="514"/>
      <c r="AA259" s="514"/>
      <c r="AB259" s="514"/>
      <c r="AC259" s="514"/>
      <c r="AD259" s="514"/>
      <c r="AE259" s="514"/>
      <c r="AF259" s="514"/>
      <c r="AG259" s="514"/>
      <c r="AH259" s="514"/>
      <c r="AI259" s="514"/>
      <c r="AJ259" s="514"/>
      <c r="AK259" s="514"/>
    </row>
    <row r="260" spans="6:37" s="510" customFormat="1" x14ac:dyDescent="0.2">
      <c r="F260" s="514"/>
      <c r="G260" s="514"/>
      <c r="H260" s="514"/>
      <c r="I260" s="514"/>
      <c r="J260" s="514"/>
      <c r="K260" s="514"/>
      <c r="L260" s="514"/>
      <c r="M260" s="514"/>
      <c r="N260" s="514"/>
      <c r="O260" s="514"/>
      <c r="P260" s="514"/>
      <c r="Q260" s="514"/>
      <c r="R260" s="514"/>
      <c r="S260" s="514"/>
      <c r="T260" s="514"/>
      <c r="U260" s="514"/>
      <c r="V260" s="514"/>
      <c r="W260" s="514"/>
      <c r="X260" s="514"/>
      <c r="Y260" s="514"/>
      <c r="Z260" s="514"/>
      <c r="AA260" s="514"/>
      <c r="AB260" s="514"/>
      <c r="AC260" s="514"/>
      <c r="AD260" s="514"/>
      <c r="AE260" s="514"/>
      <c r="AF260" s="514"/>
      <c r="AG260" s="514"/>
      <c r="AH260" s="514"/>
      <c r="AI260" s="514"/>
      <c r="AJ260" s="514"/>
      <c r="AK260" s="514"/>
    </row>
    <row r="261" spans="6:37" s="510" customFormat="1" x14ac:dyDescent="0.2">
      <c r="F261" s="514"/>
      <c r="G261" s="514"/>
      <c r="H261" s="514"/>
      <c r="I261" s="514"/>
      <c r="J261" s="514"/>
      <c r="K261" s="514"/>
      <c r="L261" s="514"/>
      <c r="M261" s="514"/>
      <c r="N261" s="514"/>
      <c r="O261" s="514"/>
      <c r="P261" s="514"/>
      <c r="Q261" s="514"/>
      <c r="R261" s="514"/>
      <c r="S261" s="514"/>
      <c r="T261" s="514"/>
      <c r="U261" s="514"/>
      <c r="V261" s="514"/>
      <c r="W261" s="514"/>
      <c r="X261" s="514"/>
      <c r="Y261" s="514"/>
      <c r="Z261" s="514"/>
      <c r="AA261" s="514"/>
      <c r="AB261" s="514"/>
      <c r="AC261" s="514"/>
      <c r="AD261" s="514"/>
      <c r="AE261" s="514"/>
      <c r="AF261" s="514"/>
      <c r="AG261" s="514"/>
      <c r="AH261" s="514"/>
      <c r="AI261" s="514"/>
      <c r="AJ261" s="514"/>
      <c r="AK261" s="514"/>
    </row>
    <row r="262" spans="6:37" s="510" customFormat="1" x14ac:dyDescent="0.2">
      <c r="F262" s="514"/>
      <c r="G262" s="514"/>
      <c r="H262" s="514"/>
      <c r="I262" s="514"/>
      <c r="J262" s="514"/>
      <c r="K262" s="514"/>
      <c r="L262" s="514"/>
      <c r="M262" s="514"/>
      <c r="N262" s="514"/>
      <c r="O262" s="514"/>
      <c r="P262" s="514"/>
      <c r="Q262" s="514"/>
      <c r="R262" s="514"/>
      <c r="S262" s="514"/>
      <c r="T262" s="514"/>
      <c r="U262" s="514"/>
      <c r="V262" s="514"/>
      <c r="W262" s="514"/>
      <c r="X262" s="514"/>
      <c r="Y262" s="514"/>
      <c r="Z262" s="514"/>
      <c r="AA262" s="514"/>
      <c r="AB262" s="514"/>
      <c r="AC262" s="514"/>
      <c r="AD262" s="514"/>
      <c r="AE262" s="514"/>
      <c r="AF262" s="514"/>
      <c r="AG262" s="514"/>
      <c r="AH262" s="514"/>
      <c r="AI262" s="514"/>
      <c r="AJ262" s="514"/>
      <c r="AK262" s="514"/>
    </row>
    <row r="263" spans="6:37" s="510" customFormat="1" x14ac:dyDescent="0.2">
      <c r="F263" s="514"/>
      <c r="G263" s="514"/>
      <c r="H263" s="514"/>
      <c r="I263" s="514"/>
      <c r="J263" s="514"/>
      <c r="K263" s="514"/>
      <c r="L263" s="514"/>
      <c r="M263" s="514"/>
      <c r="N263" s="514"/>
      <c r="O263" s="514"/>
      <c r="P263" s="514"/>
      <c r="Q263" s="514"/>
      <c r="R263" s="514"/>
      <c r="S263" s="514"/>
      <c r="T263" s="514"/>
      <c r="U263" s="514"/>
      <c r="V263" s="514"/>
      <c r="W263" s="514"/>
      <c r="X263" s="514"/>
      <c r="Y263" s="514"/>
      <c r="Z263" s="514"/>
      <c r="AA263" s="514"/>
      <c r="AB263" s="514"/>
      <c r="AC263" s="514"/>
      <c r="AD263" s="514"/>
      <c r="AE263" s="514"/>
      <c r="AF263" s="514"/>
      <c r="AG263" s="514"/>
      <c r="AH263" s="514"/>
      <c r="AI263" s="514"/>
      <c r="AJ263" s="514"/>
      <c r="AK263" s="514"/>
    </row>
    <row r="264" spans="6:37" s="510" customFormat="1" x14ac:dyDescent="0.2">
      <c r="F264" s="514"/>
      <c r="G264" s="514"/>
      <c r="H264" s="514"/>
      <c r="I264" s="514"/>
      <c r="J264" s="514"/>
      <c r="K264" s="514"/>
      <c r="L264" s="514"/>
      <c r="M264" s="514"/>
      <c r="N264" s="514"/>
      <c r="O264" s="514"/>
      <c r="P264" s="514"/>
      <c r="Q264" s="514"/>
      <c r="R264" s="514"/>
      <c r="S264" s="514"/>
      <c r="T264" s="514"/>
      <c r="U264" s="514"/>
      <c r="V264" s="514"/>
      <c r="W264" s="514"/>
      <c r="X264" s="514"/>
      <c r="Y264" s="514"/>
      <c r="Z264" s="514"/>
      <c r="AA264" s="514"/>
      <c r="AB264" s="514"/>
      <c r="AC264" s="514"/>
      <c r="AD264" s="514"/>
      <c r="AE264" s="514"/>
      <c r="AF264" s="514"/>
      <c r="AG264" s="514"/>
      <c r="AH264" s="514"/>
      <c r="AI264" s="514"/>
      <c r="AJ264" s="514"/>
      <c r="AK264" s="514"/>
    </row>
    <row r="265" spans="6:37" s="510" customFormat="1" x14ac:dyDescent="0.2">
      <c r="F265" s="514"/>
      <c r="G265" s="514"/>
      <c r="H265" s="514"/>
      <c r="I265" s="514"/>
      <c r="J265" s="514"/>
      <c r="K265" s="514"/>
      <c r="L265" s="514"/>
      <c r="M265" s="514"/>
      <c r="N265" s="514"/>
      <c r="O265" s="514"/>
      <c r="P265" s="514"/>
      <c r="Q265" s="514"/>
      <c r="R265" s="514"/>
      <c r="S265" s="514"/>
      <c r="T265" s="514"/>
      <c r="U265" s="514"/>
      <c r="V265" s="514"/>
      <c r="W265" s="514"/>
      <c r="X265" s="514"/>
      <c r="Y265" s="514"/>
      <c r="Z265" s="514"/>
      <c r="AA265" s="514"/>
      <c r="AB265" s="514"/>
      <c r="AC265" s="514"/>
      <c r="AD265" s="514"/>
      <c r="AE265" s="514"/>
      <c r="AF265" s="514"/>
      <c r="AG265" s="514"/>
      <c r="AH265" s="514"/>
      <c r="AI265" s="514"/>
      <c r="AJ265" s="514"/>
      <c r="AK265" s="514"/>
    </row>
    <row r="266" spans="6:37" s="510" customFormat="1" x14ac:dyDescent="0.2">
      <c r="F266" s="514"/>
      <c r="G266" s="514"/>
      <c r="H266" s="514"/>
      <c r="I266" s="514"/>
      <c r="J266" s="514"/>
      <c r="K266" s="514"/>
      <c r="L266" s="514"/>
      <c r="M266" s="514"/>
      <c r="N266" s="514"/>
      <c r="O266" s="514"/>
      <c r="P266" s="514"/>
      <c r="Q266" s="514"/>
      <c r="R266" s="514"/>
      <c r="S266" s="514"/>
      <c r="T266" s="514"/>
      <c r="U266" s="514"/>
      <c r="V266" s="514"/>
      <c r="W266" s="514"/>
      <c r="X266" s="514"/>
      <c r="Y266" s="514"/>
      <c r="Z266" s="514"/>
      <c r="AA266" s="514"/>
      <c r="AB266" s="514"/>
      <c r="AC266" s="514"/>
      <c r="AD266" s="514"/>
      <c r="AE266" s="514"/>
      <c r="AF266" s="514"/>
      <c r="AG266" s="514"/>
      <c r="AH266" s="514"/>
      <c r="AI266" s="514"/>
      <c r="AJ266" s="514"/>
      <c r="AK266" s="514"/>
    </row>
    <row r="267" spans="6:37" s="510" customFormat="1" x14ac:dyDescent="0.2">
      <c r="F267" s="514"/>
      <c r="G267" s="514"/>
      <c r="H267" s="514"/>
      <c r="I267" s="514"/>
      <c r="J267" s="514"/>
      <c r="K267" s="514"/>
      <c r="L267" s="514"/>
      <c r="M267" s="514"/>
      <c r="N267" s="514"/>
      <c r="O267" s="514"/>
      <c r="P267" s="514"/>
      <c r="Q267" s="514"/>
      <c r="R267" s="514"/>
      <c r="S267" s="514"/>
      <c r="T267" s="514"/>
      <c r="U267" s="514"/>
      <c r="V267" s="514"/>
      <c r="W267" s="514"/>
      <c r="X267" s="514"/>
      <c r="Y267" s="514"/>
      <c r="Z267" s="514"/>
      <c r="AA267" s="514"/>
      <c r="AB267" s="514"/>
      <c r="AC267" s="514"/>
      <c r="AD267" s="514"/>
      <c r="AE267" s="514"/>
      <c r="AF267" s="514"/>
      <c r="AG267" s="514"/>
      <c r="AH267" s="514"/>
      <c r="AI267" s="514"/>
      <c r="AJ267" s="514"/>
      <c r="AK267" s="514"/>
    </row>
    <row r="268" spans="6:37" s="510" customFormat="1" x14ac:dyDescent="0.2">
      <c r="F268" s="514"/>
      <c r="G268" s="514"/>
      <c r="H268" s="514"/>
      <c r="I268" s="514"/>
      <c r="J268" s="514"/>
      <c r="K268" s="514"/>
      <c r="L268" s="514"/>
      <c r="M268" s="514"/>
      <c r="N268" s="514"/>
      <c r="O268" s="514"/>
      <c r="P268" s="514"/>
      <c r="Q268" s="514"/>
      <c r="R268" s="514"/>
      <c r="S268" s="514"/>
      <c r="T268" s="514"/>
      <c r="U268" s="514"/>
      <c r="V268" s="514"/>
      <c r="W268" s="514"/>
      <c r="X268" s="514"/>
      <c r="Y268" s="514"/>
      <c r="Z268" s="514"/>
      <c r="AA268" s="514"/>
      <c r="AB268" s="514"/>
      <c r="AC268" s="514"/>
      <c r="AD268" s="514"/>
      <c r="AE268" s="514"/>
      <c r="AF268" s="514"/>
      <c r="AG268" s="514"/>
      <c r="AH268" s="514"/>
      <c r="AI268" s="514"/>
      <c r="AJ268" s="514"/>
      <c r="AK268" s="514"/>
    </row>
    <row r="269" spans="6:37" s="510" customFormat="1" x14ac:dyDescent="0.2">
      <c r="F269" s="514"/>
      <c r="G269" s="514"/>
      <c r="H269" s="514"/>
      <c r="I269" s="514"/>
      <c r="J269" s="514"/>
      <c r="K269" s="514"/>
      <c r="L269" s="514"/>
      <c r="M269" s="514"/>
      <c r="N269" s="514"/>
      <c r="O269" s="514"/>
      <c r="P269" s="514"/>
      <c r="Q269" s="514"/>
      <c r="R269" s="514"/>
      <c r="S269" s="514"/>
      <c r="T269" s="514"/>
      <c r="U269" s="514"/>
      <c r="V269" s="514"/>
      <c r="W269" s="514"/>
      <c r="X269" s="514"/>
      <c r="Y269" s="514"/>
      <c r="Z269" s="514"/>
      <c r="AA269" s="514"/>
      <c r="AB269" s="514"/>
      <c r="AC269" s="514"/>
      <c r="AD269" s="514"/>
      <c r="AE269" s="514"/>
      <c r="AF269" s="514"/>
      <c r="AG269" s="514"/>
      <c r="AH269" s="514"/>
      <c r="AI269" s="514"/>
      <c r="AJ269" s="514"/>
      <c r="AK269" s="514"/>
    </row>
    <row r="270" spans="6:37" s="510" customFormat="1" x14ac:dyDescent="0.2">
      <c r="F270" s="514"/>
      <c r="G270" s="514"/>
      <c r="H270" s="514"/>
      <c r="I270" s="514"/>
      <c r="J270" s="514"/>
      <c r="K270" s="514"/>
      <c r="L270" s="514"/>
      <c r="M270" s="514"/>
      <c r="N270" s="514"/>
      <c r="O270" s="514"/>
      <c r="P270" s="514"/>
      <c r="Q270" s="514"/>
      <c r="R270" s="514"/>
      <c r="S270" s="514"/>
      <c r="T270" s="514"/>
      <c r="U270" s="514"/>
      <c r="V270" s="514"/>
      <c r="W270" s="514"/>
      <c r="X270" s="514"/>
      <c r="Y270" s="514"/>
      <c r="Z270" s="514"/>
      <c r="AA270" s="514"/>
      <c r="AB270" s="514"/>
      <c r="AC270" s="514"/>
      <c r="AD270" s="514"/>
      <c r="AE270" s="514"/>
      <c r="AF270" s="514"/>
      <c r="AG270" s="514"/>
      <c r="AH270" s="514"/>
      <c r="AI270" s="514"/>
      <c r="AJ270" s="514"/>
      <c r="AK270" s="514"/>
    </row>
    <row r="271" spans="6:37" s="510" customFormat="1" x14ac:dyDescent="0.2">
      <c r="F271" s="514"/>
      <c r="G271" s="514"/>
      <c r="H271" s="514"/>
      <c r="I271" s="514"/>
      <c r="J271" s="514"/>
      <c r="K271" s="514"/>
      <c r="L271" s="514"/>
      <c r="M271" s="514"/>
      <c r="N271" s="514"/>
      <c r="O271" s="514"/>
      <c r="P271" s="514"/>
      <c r="Q271" s="514"/>
      <c r="R271" s="514"/>
      <c r="S271" s="514"/>
      <c r="T271" s="514"/>
      <c r="U271" s="514"/>
      <c r="V271" s="514"/>
      <c r="W271" s="514"/>
      <c r="X271" s="514"/>
      <c r="Y271" s="514"/>
      <c r="Z271" s="514"/>
      <c r="AA271" s="514"/>
      <c r="AB271" s="514"/>
      <c r="AC271" s="514"/>
      <c r="AD271" s="514"/>
      <c r="AE271" s="514"/>
      <c r="AF271" s="514"/>
      <c r="AG271" s="514"/>
      <c r="AH271" s="514"/>
      <c r="AI271" s="514"/>
      <c r="AJ271" s="514"/>
      <c r="AK271" s="514"/>
    </row>
    <row r="272" spans="6:37" s="510" customFormat="1" x14ac:dyDescent="0.2">
      <c r="F272" s="514"/>
      <c r="G272" s="514"/>
      <c r="H272" s="514"/>
      <c r="I272" s="514"/>
      <c r="J272" s="514"/>
      <c r="K272" s="514"/>
      <c r="L272" s="514"/>
      <c r="M272" s="514"/>
      <c r="N272" s="514"/>
      <c r="O272" s="514"/>
      <c r="P272" s="514"/>
      <c r="Q272" s="514"/>
      <c r="R272" s="514"/>
      <c r="S272" s="514"/>
      <c r="T272" s="514"/>
      <c r="U272" s="514"/>
      <c r="V272" s="514"/>
      <c r="W272" s="514"/>
      <c r="X272" s="514"/>
      <c r="Y272" s="514"/>
      <c r="Z272" s="514"/>
      <c r="AA272" s="514"/>
      <c r="AB272" s="514"/>
      <c r="AC272" s="514"/>
      <c r="AD272" s="514"/>
      <c r="AE272" s="514"/>
      <c r="AF272" s="514"/>
      <c r="AG272" s="514"/>
      <c r="AH272" s="514"/>
      <c r="AI272" s="514"/>
      <c r="AJ272" s="514"/>
      <c r="AK272" s="514"/>
    </row>
    <row r="273" spans="6:37" s="510" customFormat="1" x14ac:dyDescent="0.2">
      <c r="F273" s="514"/>
      <c r="G273" s="514"/>
      <c r="H273" s="514"/>
      <c r="I273" s="514"/>
      <c r="J273" s="514"/>
      <c r="K273" s="514"/>
      <c r="L273" s="514"/>
      <c r="M273" s="514"/>
      <c r="N273" s="514"/>
      <c r="O273" s="514"/>
      <c r="P273" s="514"/>
      <c r="Q273" s="514"/>
      <c r="R273" s="514"/>
      <c r="S273" s="514"/>
      <c r="T273" s="514"/>
      <c r="U273" s="514"/>
      <c r="V273" s="514"/>
      <c r="W273" s="514"/>
      <c r="X273" s="514"/>
      <c r="Y273" s="514"/>
      <c r="Z273" s="514"/>
      <c r="AA273" s="514"/>
      <c r="AB273" s="514"/>
      <c r="AC273" s="514"/>
      <c r="AD273" s="514"/>
      <c r="AE273" s="514"/>
      <c r="AF273" s="514"/>
      <c r="AG273" s="514"/>
      <c r="AH273" s="514"/>
      <c r="AI273" s="514"/>
      <c r="AJ273" s="514"/>
      <c r="AK273" s="514"/>
    </row>
    <row r="274" spans="6:37" s="510" customFormat="1" x14ac:dyDescent="0.2">
      <c r="F274" s="514"/>
      <c r="G274" s="514"/>
      <c r="H274" s="514"/>
      <c r="I274" s="514"/>
      <c r="J274" s="514"/>
      <c r="K274" s="514"/>
      <c r="L274" s="514"/>
      <c r="M274" s="514"/>
      <c r="N274" s="514"/>
      <c r="O274" s="514"/>
      <c r="P274" s="514"/>
      <c r="Q274" s="514"/>
      <c r="R274" s="514"/>
      <c r="S274" s="514"/>
      <c r="T274" s="514"/>
      <c r="U274" s="514"/>
      <c r="V274" s="514"/>
      <c r="W274" s="514"/>
      <c r="X274" s="514"/>
      <c r="Y274" s="514"/>
      <c r="Z274" s="514"/>
      <c r="AA274" s="514"/>
      <c r="AB274" s="514"/>
      <c r="AC274" s="514"/>
      <c r="AD274" s="514"/>
      <c r="AE274" s="514"/>
      <c r="AF274" s="514"/>
      <c r="AG274" s="514"/>
      <c r="AH274" s="514"/>
      <c r="AI274" s="514"/>
      <c r="AJ274" s="514"/>
      <c r="AK274" s="514"/>
    </row>
    <row r="275" spans="6:37" s="510" customFormat="1" x14ac:dyDescent="0.2">
      <c r="F275" s="514"/>
      <c r="G275" s="514"/>
      <c r="H275" s="514"/>
      <c r="I275" s="514"/>
      <c r="J275" s="514"/>
      <c r="K275" s="514"/>
      <c r="L275" s="514"/>
      <c r="M275" s="514"/>
      <c r="N275" s="514"/>
      <c r="O275" s="514"/>
      <c r="P275" s="514"/>
      <c r="Q275" s="514"/>
      <c r="R275" s="514"/>
      <c r="S275" s="514"/>
      <c r="T275" s="514"/>
      <c r="U275" s="514"/>
      <c r="V275" s="514"/>
      <c r="W275" s="514"/>
      <c r="X275" s="514"/>
      <c r="Y275" s="514"/>
      <c r="Z275" s="514"/>
      <c r="AA275" s="514"/>
      <c r="AB275" s="514"/>
      <c r="AC275" s="514"/>
      <c r="AD275" s="514"/>
      <c r="AE275" s="514"/>
      <c r="AF275" s="514"/>
      <c r="AG275" s="514"/>
      <c r="AH275" s="514"/>
      <c r="AI275" s="514"/>
      <c r="AJ275" s="514"/>
      <c r="AK275" s="514"/>
    </row>
    <row r="276" spans="6:37" s="510" customFormat="1" x14ac:dyDescent="0.2">
      <c r="F276" s="514"/>
      <c r="G276" s="514"/>
      <c r="H276" s="514"/>
      <c r="I276" s="514"/>
      <c r="J276" s="514"/>
      <c r="K276" s="514"/>
      <c r="L276" s="514"/>
      <c r="M276" s="514"/>
      <c r="N276" s="514"/>
      <c r="O276" s="514"/>
      <c r="P276" s="514"/>
      <c r="Q276" s="514"/>
      <c r="R276" s="514"/>
      <c r="S276" s="514"/>
      <c r="T276" s="514"/>
      <c r="U276" s="514"/>
      <c r="V276" s="514"/>
      <c r="W276" s="514"/>
      <c r="X276" s="514"/>
      <c r="Y276" s="514"/>
      <c r="Z276" s="514"/>
      <c r="AA276" s="514"/>
      <c r="AB276" s="514"/>
      <c r="AC276" s="514"/>
      <c r="AD276" s="514"/>
      <c r="AE276" s="514"/>
      <c r="AF276" s="514"/>
      <c r="AG276" s="514"/>
      <c r="AH276" s="514"/>
      <c r="AI276" s="514"/>
      <c r="AJ276" s="514"/>
      <c r="AK276" s="514"/>
    </row>
    <row r="277" spans="6:37" s="510" customFormat="1" x14ac:dyDescent="0.2">
      <c r="F277" s="514"/>
      <c r="G277" s="514"/>
      <c r="H277" s="514"/>
      <c r="I277" s="514"/>
      <c r="J277" s="514"/>
      <c r="K277" s="514"/>
      <c r="L277" s="514"/>
      <c r="M277" s="514"/>
      <c r="N277" s="514"/>
      <c r="O277" s="514"/>
      <c r="P277" s="514"/>
      <c r="Q277" s="514"/>
      <c r="R277" s="514"/>
      <c r="S277" s="514"/>
      <c r="T277" s="514"/>
      <c r="U277" s="514"/>
      <c r="V277" s="514"/>
      <c r="W277" s="514"/>
      <c r="X277" s="514"/>
      <c r="Y277" s="514"/>
      <c r="Z277" s="514"/>
      <c r="AA277" s="514"/>
      <c r="AB277" s="514"/>
      <c r="AC277" s="514"/>
      <c r="AD277" s="514"/>
      <c r="AE277" s="514"/>
      <c r="AF277" s="514"/>
      <c r="AG277" s="514"/>
      <c r="AH277" s="514"/>
      <c r="AI277" s="514"/>
      <c r="AJ277" s="514"/>
      <c r="AK277" s="514"/>
    </row>
    <row r="278" spans="6:37" s="510" customFormat="1" x14ac:dyDescent="0.2">
      <c r="F278" s="514"/>
      <c r="G278" s="514"/>
      <c r="H278" s="514"/>
      <c r="I278" s="514"/>
      <c r="J278" s="514"/>
      <c r="K278" s="514"/>
      <c r="L278" s="514"/>
      <c r="M278" s="514"/>
      <c r="N278" s="514"/>
      <c r="O278" s="514"/>
      <c r="P278" s="514"/>
      <c r="Q278" s="514"/>
      <c r="R278" s="514"/>
      <c r="S278" s="514"/>
      <c r="T278" s="514"/>
      <c r="U278" s="514"/>
      <c r="V278" s="514"/>
      <c r="W278" s="514"/>
      <c r="X278" s="514"/>
      <c r="Y278" s="514"/>
      <c r="Z278" s="514"/>
      <c r="AA278" s="514"/>
      <c r="AB278" s="514"/>
      <c r="AC278" s="514"/>
      <c r="AD278" s="514"/>
      <c r="AE278" s="514"/>
      <c r="AF278" s="514"/>
      <c r="AG278" s="514"/>
      <c r="AH278" s="514"/>
      <c r="AI278" s="514"/>
      <c r="AJ278" s="514"/>
      <c r="AK278" s="514"/>
    </row>
    <row r="279" spans="6:37" s="510" customFormat="1" x14ac:dyDescent="0.2">
      <c r="F279" s="514"/>
      <c r="G279" s="514"/>
      <c r="H279" s="514"/>
      <c r="I279" s="514"/>
      <c r="J279" s="514"/>
      <c r="K279" s="514"/>
      <c r="L279" s="514"/>
      <c r="M279" s="514"/>
      <c r="N279" s="514"/>
      <c r="O279" s="514"/>
      <c r="P279" s="514"/>
      <c r="Q279" s="514"/>
      <c r="R279" s="514"/>
      <c r="S279" s="514"/>
      <c r="T279" s="514"/>
      <c r="U279" s="514"/>
      <c r="V279" s="514"/>
      <c r="W279" s="514"/>
      <c r="X279" s="514"/>
      <c r="Y279" s="514"/>
      <c r="Z279" s="514"/>
      <c r="AA279" s="514"/>
      <c r="AB279" s="514"/>
      <c r="AC279" s="514"/>
      <c r="AD279" s="514"/>
      <c r="AE279" s="514"/>
      <c r="AF279" s="514"/>
      <c r="AG279" s="514"/>
      <c r="AH279" s="514"/>
      <c r="AI279" s="514"/>
      <c r="AJ279" s="514"/>
      <c r="AK279" s="514"/>
    </row>
    <row r="280" spans="6:37" s="510" customFormat="1" x14ac:dyDescent="0.2">
      <c r="F280" s="514"/>
      <c r="G280" s="514"/>
      <c r="H280" s="514"/>
      <c r="I280" s="514"/>
      <c r="J280" s="514"/>
      <c r="K280" s="514"/>
      <c r="L280" s="514"/>
      <c r="M280" s="514"/>
      <c r="N280" s="514"/>
      <c r="O280" s="514"/>
      <c r="P280" s="514"/>
      <c r="Q280" s="514"/>
      <c r="R280" s="514"/>
      <c r="S280" s="514"/>
      <c r="T280" s="514"/>
      <c r="U280" s="514"/>
      <c r="V280" s="514"/>
      <c r="W280" s="514"/>
      <c r="X280" s="514"/>
      <c r="Y280" s="514"/>
      <c r="Z280" s="514"/>
      <c r="AA280" s="514"/>
      <c r="AB280" s="514"/>
      <c r="AC280" s="514"/>
      <c r="AD280" s="514"/>
      <c r="AE280" s="514"/>
      <c r="AF280" s="514"/>
      <c r="AG280" s="514"/>
      <c r="AH280" s="514"/>
      <c r="AI280" s="514"/>
      <c r="AJ280" s="514"/>
      <c r="AK280" s="514"/>
    </row>
    <row r="281" spans="6:37" s="510" customFormat="1" x14ac:dyDescent="0.2">
      <c r="F281" s="514"/>
      <c r="G281" s="514"/>
      <c r="H281" s="514"/>
      <c r="I281" s="514"/>
      <c r="J281" s="514"/>
      <c r="K281" s="514"/>
      <c r="L281" s="514"/>
      <c r="M281" s="514"/>
      <c r="N281" s="514"/>
      <c r="O281" s="514"/>
      <c r="P281" s="514"/>
      <c r="Q281" s="514"/>
      <c r="R281" s="514"/>
      <c r="S281" s="514"/>
      <c r="T281" s="514"/>
      <c r="U281" s="514"/>
      <c r="V281" s="514"/>
      <c r="W281" s="514"/>
      <c r="X281" s="514"/>
      <c r="Y281" s="514"/>
      <c r="Z281" s="514"/>
      <c r="AA281" s="514"/>
      <c r="AB281" s="514"/>
      <c r="AC281" s="514"/>
      <c r="AD281" s="514"/>
      <c r="AE281" s="514"/>
      <c r="AF281" s="514"/>
      <c r="AG281" s="514"/>
      <c r="AH281" s="514"/>
      <c r="AI281" s="514"/>
      <c r="AJ281" s="514"/>
      <c r="AK281" s="514"/>
    </row>
    <row r="282" spans="6:37" s="510" customFormat="1" x14ac:dyDescent="0.2">
      <c r="F282" s="514"/>
      <c r="G282" s="514"/>
      <c r="H282" s="514"/>
      <c r="I282" s="514"/>
      <c r="J282" s="514"/>
      <c r="K282" s="514"/>
      <c r="L282" s="514"/>
      <c r="M282" s="514"/>
      <c r="N282" s="514"/>
      <c r="O282" s="514"/>
      <c r="P282" s="514"/>
      <c r="Q282" s="514"/>
      <c r="R282" s="514"/>
      <c r="S282" s="514"/>
      <c r="T282" s="514"/>
      <c r="U282" s="514"/>
      <c r="V282" s="514"/>
      <c r="W282" s="514"/>
      <c r="X282" s="514"/>
      <c r="Y282" s="514"/>
      <c r="Z282" s="514"/>
      <c r="AA282" s="514"/>
      <c r="AB282" s="514"/>
      <c r="AC282" s="514"/>
      <c r="AD282" s="514"/>
      <c r="AE282" s="514"/>
      <c r="AF282" s="514"/>
      <c r="AG282" s="514"/>
      <c r="AH282" s="514"/>
      <c r="AI282" s="514"/>
      <c r="AJ282" s="514"/>
      <c r="AK282" s="514"/>
    </row>
    <row r="283" spans="6:37" s="510" customFormat="1" x14ac:dyDescent="0.2">
      <c r="F283" s="514"/>
      <c r="G283" s="514"/>
      <c r="H283" s="514"/>
      <c r="I283" s="514"/>
      <c r="J283" s="514"/>
      <c r="K283" s="514"/>
      <c r="L283" s="514"/>
      <c r="M283" s="514"/>
      <c r="N283" s="514"/>
      <c r="O283" s="514"/>
      <c r="P283" s="514"/>
      <c r="Q283" s="514"/>
      <c r="R283" s="514"/>
      <c r="S283" s="514"/>
      <c r="T283" s="514"/>
      <c r="U283" s="514"/>
      <c r="V283" s="514"/>
      <c r="W283" s="514"/>
      <c r="X283" s="514"/>
      <c r="Y283" s="514"/>
      <c r="Z283" s="514"/>
      <c r="AA283" s="514"/>
      <c r="AB283" s="514"/>
      <c r="AC283" s="514"/>
      <c r="AD283" s="514"/>
      <c r="AE283" s="514"/>
      <c r="AF283" s="514"/>
      <c r="AG283" s="514"/>
      <c r="AH283" s="514"/>
      <c r="AI283" s="514"/>
      <c r="AJ283" s="514"/>
      <c r="AK283" s="514"/>
    </row>
    <row r="284" spans="6:37" s="510" customFormat="1" x14ac:dyDescent="0.2">
      <c r="F284" s="514"/>
      <c r="G284" s="514"/>
      <c r="H284" s="514"/>
      <c r="I284" s="514"/>
      <c r="J284" s="514"/>
      <c r="K284" s="514"/>
      <c r="L284" s="514"/>
      <c r="M284" s="514"/>
      <c r="N284" s="514"/>
      <c r="O284" s="514"/>
      <c r="P284" s="514"/>
      <c r="Q284" s="514"/>
      <c r="R284" s="514"/>
      <c r="S284" s="514"/>
      <c r="T284" s="514"/>
      <c r="U284" s="514"/>
      <c r="V284" s="514"/>
      <c r="W284" s="514"/>
      <c r="X284" s="514"/>
      <c r="Y284" s="514"/>
      <c r="Z284" s="514"/>
      <c r="AA284" s="514"/>
      <c r="AB284" s="514"/>
      <c r="AC284" s="514"/>
      <c r="AD284" s="514"/>
      <c r="AE284" s="514"/>
      <c r="AF284" s="514"/>
      <c r="AG284" s="514"/>
      <c r="AH284" s="514"/>
      <c r="AI284" s="514"/>
      <c r="AJ284" s="514"/>
      <c r="AK284" s="514"/>
    </row>
    <row r="285" spans="6:37" s="510" customFormat="1" x14ac:dyDescent="0.2">
      <c r="F285" s="514"/>
      <c r="G285" s="514"/>
      <c r="H285" s="514"/>
      <c r="I285" s="514"/>
      <c r="J285" s="514"/>
      <c r="K285" s="514"/>
      <c r="L285" s="514"/>
      <c r="M285" s="514"/>
      <c r="N285" s="514"/>
      <c r="O285" s="514"/>
      <c r="P285" s="514"/>
      <c r="Q285" s="514"/>
      <c r="R285" s="514"/>
      <c r="S285" s="514"/>
      <c r="T285" s="514"/>
      <c r="U285" s="514"/>
      <c r="V285" s="514"/>
      <c r="W285" s="514"/>
      <c r="X285" s="514"/>
      <c r="Y285" s="514"/>
      <c r="Z285" s="514"/>
      <c r="AA285" s="514"/>
      <c r="AB285" s="514"/>
      <c r="AC285" s="514"/>
      <c r="AD285" s="514"/>
      <c r="AE285" s="514"/>
      <c r="AF285" s="514"/>
      <c r="AG285" s="514"/>
      <c r="AH285" s="514"/>
      <c r="AI285" s="514"/>
      <c r="AJ285" s="514"/>
      <c r="AK285" s="514"/>
    </row>
    <row r="286" spans="6:37" s="510" customFormat="1" x14ac:dyDescent="0.2">
      <c r="F286" s="514"/>
      <c r="G286" s="514"/>
      <c r="H286" s="514"/>
      <c r="I286" s="514"/>
      <c r="J286" s="514"/>
      <c r="K286" s="514"/>
      <c r="L286" s="514"/>
      <c r="M286" s="514"/>
      <c r="N286" s="514"/>
      <c r="O286" s="514"/>
      <c r="P286" s="514"/>
      <c r="Q286" s="514"/>
      <c r="R286" s="514"/>
      <c r="S286" s="514"/>
      <c r="T286" s="514"/>
      <c r="U286" s="514"/>
      <c r="V286" s="514"/>
      <c r="W286" s="514"/>
      <c r="X286" s="514"/>
      <c r="Y286" s="514"/>
      <c r="Z286" s="514"/>
      <c r="AA286" s="514"/>
      <c r="AB286" s="514"/>
      <c r="AC286" s="514"/>
      <c r="AD286" s="514"/>
      <c r="AE286" s="514"/>
      <c r="AF286" s="514"/>
      <c r="AG286" s="514"/>
      <c r="AH286" s="514"/>
      <c r="AI286" s="514"/>
      <c r="AJ286" s="514"/>
      <c r="AK286" s="514"/>
    </row>
    <row r="287" spans="6:37" s="510" customFormat="1" x14ac:dyDescent="0.2">
      <c r="F287" s="514"/>
      <c r="G287" s="514"/>
      <c r="H287" s="514"/>
      <c r="I287" s="514"/>
      <c r="J287" s="514"/>
      <c r="K287" s="514"/>
      <c r="L287" s="514"/>
      <c r="M287" s="514"/>
      <c r="N287" s="514"/>
      <c r="O287" s="514"/>
      <c r="P287" s="514"/>
      <c r="Q287" s="514"/>
      <c r="R287" s="514"/>
      <c r="S287" s="514"/>
      <c r="T287" s="514"/>
      <c r="U287" s="514"/>
      <c r="V287" s="514"/>
      <c r="W287" s="514"/>
      <c r="X287" s="514"/>
      <c r="Y287" s="514"/>
      <c r="Z287" s="514"/>
      <c r="AA287" s="514"/>
      <c r="AB287" s="514"/>
      <c r="AC287" s="514"/>
      <c r="AD287" s="514"/>
      <c r="AE287" s="514"/>
      <c r="AF287" s="514"/>
      <c r="AG287" s="514"/>
      <c r="AH287" s="514"/>
      <c r="AI287" s="514"/>
      <c r="AJ287" s="514"/>
      <c r="AK287" s="514"/>
    </row>
    <row r="288" spans="6:37" s="510" customFormat="1" x14ac:dyDescent="0.2">
      <c r="F288" s="514"/>
      <c r="G288" s="514"/>
      <c r="H288" s="514"/>
      <c r="I288" s="514"/>
      <c r="J288" s="514"/>
      <c r="K288" s="514"/>
      <c r="L288" s="514"/>
      <c r="M288" s="514"/>
      <c r="N288" s="514"/>
      <c r="O288" s="514"/>
      <c r="P288" s="514"/>
      <c r="Q288" s="514"/>
      <c r="R288" s="514"/>
      <c r="S288" s="514"/>
      <c r="T288" s="514"/>
      <c r="U288" s="514"/>
      <c r="V288" s="514"/>
      <c r="W288" s="514"/>
      <c r="X288" s="514"/>
      <c r="Y288" s="514"/>
      <c r="Z288" s="514"/>
      <c r="AA288" s="514"/>
      <c r="AB288" s="514"/>
      <c r="AC288" s="514"/>
      <c r="AD288" s="514"/>
      <c r="AE288" s="514"/>
      <c r="AF288" s="514"/>
      <c r="AG288" s="514"/>
      <c r="AH288" s="514"/>
      <c r="AI288" s="514"/>
      <c r="AJ288" s="514"/>
      <c r="AK288" s="514"/>
    </row>
    <row r="289" spans="6:37" s="510" customFormat="1" x14ac:dyDescent="0.2">
      <c r="F289" s="514"/>
      <c r="G289" s="514"/>
      <c r="H289" s="514"/>
      <c r="I289" s="514"/>
      <c r="J289" s="514"/>
      <c r="K289" s="514"/>
      <c r="L289" s="514"/>
      <c r="M289" s="514"/>
      <c r="N289" s="514"/>
      <c r="O289" s="514"/>
      <c r="P289" s="514"/>
      <c r="Q289" s="514"/>
      <c r="R289" s="514"/>
      <c r="S289" s="514"/>
      <c r="T289" s="514"/>
      <c r="U289" s="514"/>
      <c r="V289" s="514"/>
      <c r="W289" s="514"/>
      <c r="X289" s="514"/>
      <c r="Y289" s="514"/>
      <c r="Z289" s="514"/>
      <c r="AA289" s="514"/>
      <c r="AB289" s="514"/>
      <c r="AC289" s="514"/>
      <c r="AD289" s="514"/>
      <c r="AE289" s="514"/>
      <c r="AF289" s="514"/>
      <c r="AG289" s="514"/>
      <c r="AH289" s="514"/>
      <c r="AI289" s="514"/>
      <c r="AJ289" s="514"/>
      <c r="AK289" s="514"/>
    </row>
    <row r="290" spans="6:37" s="510" customFormat="1" x14ac:dyDescent="0.2">
      <c r="F290" s="514"/>
      <c r="G290" s="514"/>
      <c r="H290" s="514"/>
      <c r="I290" s="514"/>
      <c r="J290" s="514"/>
      <c r="K290" s="514"/>
      <c r="L290" s="514"/>
      <c r="M290" s="514"/>
      <c r="N290" s="514"/>
      <c r="O290" s="514"/>
      <c r="P290" s="514"/>
      <c r="Q290" s="514"/>
      <c r="R290" s="514"/>
      <c r="S290" s="514"/>
      <c r="T290" s="514"/>
      <c r="U290" s="514"/>
      <c r="V290" s="514"/>
      <c r="W290" s="514"/>
      <c r="X290" s="514"/>
      <c r="Y290" s="514"/>
      <c r="Z290" s="514"/>
      <c r="AA290" s="514"/>
      <c r="AB290" s="514"/>
      <c r="AC290" s="514"/>
      <c r="AD290" s="514"/>
      <c r="AE290" s="514"/>
      <c r="AF290" s="514"/>
      <c r="AG290" s="514"/>
      <c r="AH290" s="514"/>
      <c r="AI290" s="514"/>
      <c r="AJ290" s="514"/>
      <c r="AK290" s="514"/>
    </row>
    <row r="291" spans="6:37" s="510" customFormat="1" x14ac:dyDescent="0.2">
      <c r="F291" s="514"/>
      <c r="G291" s="514"/>
      <c r="H291" s="514"/>
      <c r="I291" s="514"/>
      <c r="J291" s="514"/>
      <c r="K291" s="514"/>
      <c r="L291" s="514"/>
      <c r="M291" s="514"/>
      <c r="N291" s="514"/>
      <c r="O291" s="514"/>
      <c r="P291" s="514"/>
      <c r="Q291" s="514"/>
      <c r="R291" s="514"/>
      <c r="S291" s="514"/>
      <c r="T291" s="514"/>
      <c r="U291" s="514"/>
      <c r="V291" s="514"/>
      <c r="W291" s="514"/>
      <c r="X291" s="514"/>
      <c r="Y291" s="514"/>
      <c r="Z291" s="514"/>
      <c r="AA291" s="514"/>
      <c r="AB291" s="514"/>
      <c r="AC291" s="514"/>
      <c r="AD291" s="514"/>
      <c r="AE291" s="514"/>
      <c r="AF291" s="514"/>
      <c r="AG291" s="514"/>
      <c r="AH291" s="514"/>
      <c r="AI291" s="514"/>
      <c r="AJ291" s="514"/>
      <c r="AK291" s="514"/>
    </row>
    <row r="292" spans="6:37" s="510" customFormat="1" x14ac:dyDescent="0.2">
      <c r="F292" s="514"/>
      <c r="G292" s="514"/>
      <c r="H292" s="514"/>
      <c r="I292" s="514"/>
      <c r="J292" s="514"/>
      <c r="K292" s="514"/>
      <c r="L292" s="514"/>
      <c r="M292" s="514"/>
      <c r="N292" s="514"/>
      <c r="O292" s="514"/>
      <c r="P292" s="514"/>
      <c r="Q292" s="514"/>
      <c r="R292" s="514"/>
      <c r="S292" s="514"/>
      <c r="T292" s="514"/>
      <c r="U292" s="514"/>
      <c r="V292" s="514"/>
      <c r="W292" s="514"/>
      <c r="X292" s="514"/>
      <c r="Y292" s="514"/>
      <c r="Z292" s="514"/>
      <c r="AA292" s="514"/>
      <c r="AB292" s="514"/>
      <c r="AC292" s="514"/>
      <c r="AD292" s="514"/>
      <c r="AE292" s="514"/>
      <c r="AF292" s="514"/>
      <c r="AG292" s="514"/>
      <c r="AH292" s="514"/>
      <c r="AI292" s="514"/>
      <c r="AJ292" s="514"/>
      <c r="AK292" s="514"/>
    </row>
    <row r="293" spans="6:37" s="510" customFormat="1" x14ac:dyDescent="0.2">
      <c r="F293" s="514"/>
      <c r="G293" s="514"/>
      <c r="H293" s="514"/>
      <c r="I293" s="514"/>
      <c r="J293" s="514"/>
      <c r="K293" s="514"/>
      <c r="L293" s="514"/>
      <c r="M293" s="514"/>
      <c r="N293" s="514"/>
      <c r="O293" s="514"/>
      <c r="P293" s="514"/>
      <c r="Q293" s="514"/>
      <c r="R293" s="514"/>
      <c r="S293" s="514"/>
      <c r="T293" s="514"/>
      <c r="U293" s="514"/>
      <c r="V293" s="514"/>
      <c r="W293" s="514"/>
      <c r="X293" s="514"/>
      <c r="Y293" s="514"/>
      <c r="Z293" s="514"/>
      <c r="AA293" s="514"/>
      <c r="AB293" s="514"/>
      <c r="AC293" s="514"/>
      <c r="AD293" s="514"/>
      <c r="AE293" s="514"/>
      <c r="AF293" s="514"/>
      <c r="AG293" s="514"/>
      <c r="AH293" s="514"/>
      <c r="AI293" s="514"/>
      <c r="AJ293" s="514"/>
      <c r="AK293" s="514"/>
    </row>
    <row r="294" spans="6:37" s="510" customFormat="1" x14ac:dyDescent="0.2">
      <c r="F294" s="514"/>
      <c r="G294" s="514"/>
      <c r="H294" s="514"/>
      <c r="I294" s="514"/>
      <c r="J294" s="514"/>
      <c r="K294" s="514"/>
      <c r="L294" s="514"/>
      <c r="M294" s="514"/>
      <c r="N294" s="514"/>
      <c r="O294" s="514"/>
      <c r="P294" s="514"/>
      <c r="Q294" s="514"/>
      <c r="R294" s="514"/>
      <c r="S294" s="514"/>
      <c r="T294" s="514"/>
      <c r="U294" s="514"/>
      <c r="V294" s="514"/>
      <c r="W294" s="514"/>
      <c r="X294" s="514"/>
      <c r="Y294" s="514"/>
      <c r="Z294" s="514"/>
      <c r="AA294" s="514"/>
      <c r="AB294" s="514"/>
      <c r="AC294" s="514"/>
      <c r="AD294" s="514"/>
      <c r="AE294" s="514"/>
      <c r="AF294" s="514"/>
      <c r="AG294" s="514"/>
      <c r="AH294" s="514"/>
      <c r="AI294" s="514"/>
      <c r="AJ294" s="514"/>
      <c r="AK294" s="514"/>
    </row>
    <row r="295" spans="6:37" s="510" customFormat="1" x14ac:dyDescent="0.2">
      <c r="F295" s="514"/>
      <c r="G295" s="514"/>
      <c r="H295" s="514"/>
      <c r="I295" s="514"/>
      <c r="J295" s="514"/>
      <c r="K295" s="514"/>
      <c r="L295" s="514"/>
      <c r="M295" s="514"/>
      <c r="N295" s="514"/>
      <c r="O295" s="514"/>
      <c r="P295" s="514"/>
      <c r="Q295" s="514"/>
      <c r="R295" s="514"/>
      <c r="S295" s="514"/>
      <c r="T295" s="514"/>
      <c r="U295" s="514"/>
      <c r="V295" s="514"/>
      <c r="W295" s="514"/>
      <c r="X295" s="514"/>
      <c r="Y295" s="514"/>
      <c r="Z295" s="514"/>
      <c r="AA295" s="514"/>
      <c r="AB295" s="514"/>
      <c r="AC295" s="514"/>
      <c r="AD295" s="514"/>
      <c r="AE295" s="514"/>
      <c r="AF295" s="514"/>
      <c r="AG295" s="514"/>
      <c r="AH295" s="514"/>
      <c r="AI295" s="514"/>
      <c r="AJ295" s="514"/>
      <c r="AK295" s="514"/>
    </row>
    <row r="296" spans="6:37" s="510" customFormat="1" x14ac:dyDescent="0.2">
      <c r="F296" s="514"/>
      <c r="G296" s="514"/>
      <c r="H296" s="514"/>
      <c r="I296" s="514"/>
      <c r="J296" s="514"/>
      <c r="K296" s="514"/>
      <c r="L296" s="514"/>
      <c r="M296" s="514"/>
      <c r="N296" s="514"/>
      <c r="O296" s="514"/>
      <c r="P296" s="514"/>
      <c r="Q296" s="514"/>
      <c r="R296" s="514"/>
      <c r="S296" s="514"/>
      <c r="T296" s="514"/>
      <c r="U296" s="514"/>
      <c r="V296" s="514"/>
      <c r="W296" s="514"/>
      <c r="X296" s="514"/>
      <c r="Y296" s="514"/>
      <c r="Z296" s="514"/>
      <c r="AA296" s="514"/>
      <c r="AB296" s="514"/>
      <c r="AC296" s="514"/>
      <c r="AD296" s="514"/>
      <c r="AE296" s="514"/>
      <c r="AF296" s="514"/>
      <c r="AG296" s="514"/>
      <c r="AH296" s="514"/>
      <c r="AI296" s="514"/>
      <c r="AJ296" s="514"/>
      <c r="AK296" s="514"/>
    </row>
    <row r="297" spans="6:37" s="510" customFormat="1" x14ac:dyDescent="0.2">
      <c r="F297" s="514"/>
      <c r="G297" s="514"/>
      <c r="H297" s="514"/>
      <c r="I297" s="514"/>
      <c r="J297" s="514"/>
      <c r="K297" s="514"/>
      <c r="L297" s="514"/>
      <c r="M297" s="514"/>
      <c r="N297" s="514"/>
      <c r="O297" s="514"/>
      <c r="P297" s="514"/>
      <c r="Q297" s="514"/>
      <c r="R297" s="514"/>
      <c r="S297" s="514"/>
      <c r="T297" s="514"/>
      <c r="U297" s="514"/>
      <c r="V297" s="514"/>
      <c r="W297" s="514"/>
      <c r="X297" s="514"/>
      <c r="Y297" s="514"/>
      <c r="Z297" s="514"/>
      <c r="AA297" s="514"/>
      <c r="AB297" s="514"/>
      <c r="AC297" s="514"/>
      <c r="AD297" s="514"/>
      <c r="AE297" s="514"/>
      <c r="AF297" s="514"/>
      <c r="AG297" s="514"/>
      <c r="AH297" s="514"/>
      <c r="AI297" s="514"/>
      <c r="AJ297" s="514"/>
      <c r="AK297" s="514"/>
    </row>
    <row r="298" spans="6:37" s="510" customFormat="1" x14ac:dyDescent="0.2">
      <c r="F298" s="514"/>
      <c r="G298" s="514"/>
      <c r="H298" s="514"/>
      <c r="I298" s="514"/>
      <c r="J298" s="514"/>
      <c r="K298" s="514"/>
      <c r="L298" s="514"/>
      <c r="M298" s="514"/>
      <c r="N298" s="514"/>
      <c r="O298" s="514"/>
      <c r="P298" s="514"/>
      <c r="Q298" s="514"/>
      <c r="R298" s="514"/>
      <c r="S298" s="514"/>
      <c r="T298" s="514"/>
      <c r="U298" s="514"/>
      <c r="V298" s="514"/>
      <c r="W298" s="514"/>
      <c r="X298" s="514"/>
      <c r="Y298" s="514"/>
      <c r="Z298" s="514"/>
      <c r="AA298" s="514"/>
      <c r="AB298" s="514"/>
      <c r="AC298" s="514"/>
      <c r="AD298" s="514"/>
      <c r="AE298" s="514"/>
      <c r="AF298" s="514"/>
      <c r="AG298" s="514"/>
      <c r="AH298" s="514"/>
      <c r="AI298" s="514"/>
      <c r="AJ298" s="514"/>
      <c r="AK298" s="514"/>
    </row>
    <row r="299" spans="6:37" s="510" customFormat="1" x14ac:dyDescent="0.2">
      <c r="F299" s="514"/>
      <c r="G299" s="514"/>
      <c r="H299" s="514"/>
      <c r="I299" s="514"/>
      <c r="J299" s="514"/>
      <c r="K299" s="514"/>
      <c r="L299" s="514"/>
      <c r="M299" s="514"/>
      <c r="N299" s="514"/>
      <c r="O299" s="514"/>
      <c r="P299" s="514"/>
      <c r="Q299" s="514"/>
      <c r="R299" s="514"/>
      <c r="S299" s="514"/>
      <c r="T299" s="514"/>
      <c r="U299" s="514"/>
      <c r="V299" s="514"/>
      <c r="W299" s="514"/>
      <c r="X299" s="514"/>
      <c r="Y299" s="514"/>
      <c r="Z299" s="514"/>
      <c r="AA299" s="514"/>
      <c r="AB299" s="514"/>
      <c r="AC299" s="514"/>
      <c r="AD299" s="514"/>
      <c r="AE299" s="514"/>
      <c r="AF299" s="514"/>
      <c r="AG299" s="514"/>
      <c r="AH299" s="514"/>
      <c r="AI299" s="514"/>
      <c r="AJ299" s="514"/>
      <c r="AK299" s="514"/>
    </row>
    <row r="300" spans="6:37" s="510" customFormat="1" x14ac:dyDescent="0.2">
      <c r="F300" s="514"/>
      <c r="G300" s="514"/>
      <c r="H300" s="514"/>
      <c r="I300" s="514"/>
      <c r="J300" s="514"/>
      <c r="K300" s="514"/>
      <c r="L300" s="514"/>
      <c r="M300" s="514"/>
      <c r="N300" s="514"/>
      <c r="O300" s="514"/>
      <c r="P300" s="514"/>
      <c r="Q300" s="514"/>
      <c r="R300" s="514"/>
      <c r="S300" s="514"/>
      <c r="T300" s="514"/>
      <c r="U300" s="514"/>
      <c r="V300" s="514"/>
      <c r="W300" s="514"/>
      <c r="X300" s="514"/>
      <c r="Y300" s="514"/>
      <c r="Z300" s="514"/>
      <c r="AA300" s="514"/>
      <c r="AB300" s="514"/>
      <c r="AC300" s="514"/>
      <c r="AD300" s="514"/>
      <c r="AE300" s="514"/>
      <c r="AF300" s="514"/>
      <c r="AG300" s="514"/>
      <c r="AH300" s="514"/>
      <c r="AI300" s="514"/>
      <c r="AJ300" s="514"/>
      <c r="AK300" s="514"/>
    </row>
    <row r="301" spans="6:37" s="510" customFormat="1" x14ac:dyDescent="0.2">
      <c r="F301" s="514"/>
      <c r="G301" s="514"/>
      <c r="H301" s="514"/>
      <c r="I301" s="514"/>
      <c r="J301" s="514"/>
      <c r="K301" s="514"/>
      <c r="L301" s="514"/>
      <c r="M301" s="514"/>
      <c r="N301" s="514"/>
      <c r="O301" s="514"/>
      <c r="P301" s="514"/>
      <c r="Q301" s="514"/>
      <c r="R301" s="514"/>
      <c r="S301" s="514"/>
      <c r="T301" s="514"/>
      <c r="U301" s="514"/>
      <c r="V301" s="514"/>
      <c r="W301" s="514"/>
      <c r="X301" s="514"/>
      <c r="Y301" s="514"/>
      <c r="Z301" s="514"/>
      <c r="AA301" s="514"/>
      <c r="AB301" s="514"/>
      <c r="AC301" s="514"/>
      <c r="AD301" s="514"/>
      <c r="AE301" s="514"/>
      <c r="AF301" s="514"/>
      <c r="AG301" s="514"/>
      <c r="AH301" s="514"/>
      <c r="AI301" s="514"/>
      <c r="AJ301" s="514"/>
      <c r="AK301" s="514"/>
    </row>
    <row r="302" spans="6:37" s="510" customFormat="1" x14ac:dyDescent="0.2">
      <c r="F302" s="514"/>
      <c r="G302" s="514"/>
      <c r="H302" s="514"/>
      <c r="I302" s="514"/>
      <c r="J302" s="514"/>
      <c r="K302" s="514"/>
      <c r="L302" s="514"/>
      <c r="M302" s="514"/>
      <c r="N302" s="514"/>
      <c r="O302" s="514"/>
      <c r="P302" s="514"/>
      <c r="Q302" s="514"/>
      <c r="R302" s="514"/>
      <c r="S302" s="514"/>
      <c r="T302" s="514"/>
      <c r="U302" s="514"/>
      <c r="V302" s="514"/>
      <c r="W302" s="514"/>
      <c r="X302" s="514"/>
      <c r="Y302" s="514"/>
      <c r="Z302" s="514"/>
      <c r="AA302" s="514"/>
      <c r="AB302" s="514"/>
      <c r="AC302" s="514"/>
      <c r="AD302" s="514"/>
      <c r="AE302" s="514"/>
      <c r="AF302" s="514"/>
      <c r="AG302" s="514"/>
      <c r="AH302" s="514"/>
      <c r="AI302" s="514"/>
      <c r="AJ302" s="514"/>
      <c r="AK302" s="514"/>
    </row>
    <row r="303" spans="6:37" x14ac:dyDescent="0.2">
      <c r="G303" s="598"/>
      <c r="H303" s="598"/>
      <c r="I303" s="598"/>
      <c r="J303" s="598"/>
      <c r="K303" s="598"/>
      <c r="L303" s="598"/>
      <c r="M303" s="598"/>
      <c r="N303" s="598"/>
      <c r="O303" s="598"/>
      <c r="P303" s="598"/>
      <c r="Q303" s="598"/>
      <c r="R303" s="598"/>
      <c r="S303" s="598"/>
      <c r="T303" s="598"/>
      <c r="U303" s="598"/>
      <c r="V303" s="598"/>
      <c r="W303" s="598"/>
      <c r="X303" s="598"/>
      <c r="Y303" s="598"/>
      <c r="Z303" s="598"/>
      <c r="AA303" s="598"/>
      <c r="AB303" s="598"/>
      <c r="AC303" s="598"/>
      <c r="AD303" s="598"/>
      <c r="AE303" s="598"/>
      <c r="AF303" s="598"/>
      <c r="AG303" s="598"/>
      <c r="AH303" s="598"/>
      <c r="AI303" s="598"/>
      <c r="AJ303" s="598"/>
      <c r="AK303" s="598"/>
    </row>
    <row r="304" spans="6:37" x14ac:dyDescent="0.2">
      <c r="G304" s="598"/>
      <c r="H304" s="598"/>
      <c r="I304" s="598"/>
      <c r="J304" s="598"/>
      <c r="K304" s="598"/>
      <c r="L304" s="598"/>
      <c r="M304" s="598"/>
      <c r="N304" s="598"/>
      <c r="O304" s="598"/>
      <c r="P304" s="598"/>
      <c r="Q304" s="598"/>
      <c r="R304" s="598"/>
      <c r="S304" s="598"/>
      <c r="T304" s="598"/>
      <c r="U304" s="598"/>
      <c r="V304" s="598"/>
      <c r="W304" s="598"/>
      <c r="X304" s="598"/>
      <c r="Y304" s="598"/>
      <c r="Z304" s="598"/>
      <c r="AA304" s="598"/>
      <c r="AB304" s="598"/>
      <c r="AC304" s="598"/>
      <c r="AD304" s="598"/>
      <c r="AE304" s="598"/>
      <c r="AF304" s="598"/>
      <c r="AG304" s="598"/>
      <c r="AH304" s="598"/>
      <c r="AI304" s="598"/>
      <c r="AJ304" s="598"/>
      <c r="AK304" s="598"/>
    </row>
    <row r="305" spans="7:37" x14ac:dyDescent="0.2">
      <c r="G305" s="598"/>
      <c r="H305" s="598"/>
      <c r="I305" s="598"/>
      <c r="J305" s="598"/>
      <c r="K305" s="598"/>
      <c r="L305" s="598"/>
      <c r="M305" s="598"/>
      <c r="N305" s="598"/>
      <c r="O305" s="598"/>
      <c r="P305" s="598"/>
      <c r="Q305" s="598"/>
      <c r="R305" s="598"/>
      <c r="S305" s="598"/>
      <c r="T305" s="598"/>
      <c r="U305" s="598"/>
      <c r="V305" s="598"/>
      <c r="W305" s="598"/>
      <c r="X305" s="598"/>
      <c r="Y305" s="598"/>
      <c r="Z305" s="598"/>
      <c r="AA305" s="598"/>
      <c r="AB305" s="598"/>
      <c r="AC305" s="598"/>
      <c r="AD305" s="598"/>
      <c r="AE305" s="598"/>
      <c r="AF305" s="598"/>
      <c r="AG305" s="598"/>
      <c r="AH305" s="598"/>
      <c r="AI305" s="598"/>
      <c r="AJ305" s="598"/>
      <c r="AK305" s="598"/>
    </row>
    <row r="306" spans="7:37" x14ac:dyDescent="0.2">
      <c r="G306" s="598"/>
      <c r="H306" s="598"/>
      <c r="I306" s="598"/>
      <c r="J306" s="598"/>
      <c r="K306" s="598"/>
      <c r="L306" s="598"/>
      <c r="M306" s="598"/>
      <c r="N306" s="598"/>
      <c r="O306" s="598"/>
      <c r="P306" s="598"/>
      <c r="Q306" s="598"/>
      <c r="R306" s="598"/>
      <c r="S306" s="598"/>
      <c r="T306" s="598"/>
      <c r="U306" s="598"/>
      <c r="V306" s="598"/>
      <c r="W306" s="598"/>
      <c r="X306" s="598"/>
      <c r="Y306" s="598"/>
      <c r="Z306" s="598"/>
      <c r="AA306" s="598"/>
      <c r="AB306" s="598"/>
      <c r="AC306" s="598"/>
      <c r="AD306" s="598"/>
      <c r="AE306" s="598"/>
      <c r="AF306" s="598"/>
      <c r="AG306" s="598"/>
      <c r="AH306" s="598"/>
      <c r="AI306" s="598"/>
      <c r="AJ306" s="598"/>
      <c r="AK306" s="598"/>
    </row>
    <row r="307" spans="7:37" x14ac:dyDescent="0.2">
      <c r="G307" s="598"/>
      <c r="H307" s="598"/>
      <c r="I307" s="598"/>
      <c r="J307" s="598"/>
      <c r="K307" s="598"/>
      <c r="L307" s="598"/>
      <c r="M307" s="598"/>
      <c r="N307" s="598"/>
      <c r="O307" s="598"/>
      <c r="P307" s="598"/>
      <c r="Q307" s="598"/>
      <c r="R307" s="598"/>
      <c r="S307" s="598"/>
      <c r="T307" s="598"/>
      <c r="U307" s="598"/>
      <c r="V307" s="598"/>
      <c r="W307" s="598"/>
      <c r="X307" s="598"/>
      <c r="Y307" s="598"/>
      <c r="Z307" s="598"/>
      <c r="AA307" s="598"/>
      <c r="AB307" s="598"/>
      <c r="AC307" s="598"/>
      <c r="AD307" s="598"/>
      <c r="AE307" s="598"/>
      <c r="AF307" s="598"/>
      <c r="AG307" s="598"/>
      <c r="AH307" s="598"/>
      <c r="AI307" s="598"/>
      <c r="AJ307" s="598"/>
      <c r="AK307" s="598"/>
    </row>
    <row r="308" spans="7:37" x14ac:dyDescent="0.2">
      <c r="G308" s="598"/>
      <c r="H308" s="598"/>
      <c r="I308" s="598"/>
      <c r="J308" s="598"/>
      <c r="K308" s="598"/>
      <c r="L308" s="598"/>
      <c r="M308" s="598"/>
      <c r="N308" s="598"/>
      <c r="O308" s="598"/>
      <c r="P308" s="598"/>
      <c r="Q308" s="598"/>
      <c r="R308" s="598"/>
      <c r="S308" s="598"/>
      <c r="T308" s="598"/>
      <c r="U308" s="598"/>
      <c r="V308" s="598"/>
      <c r="W308" s="598"/>
      <c r="X308" s="598"/>
      <c r="Y308" s="598"/>
      <c r="Z308" s="598"/>
      <c r="AA308" s="598"/>
      <c r="AB308" s="598"/>
      <c r="AC308" s="598"/>
      <c r="AD308" s="598"/>
      <c r="AE308" s="598"/>
      <c r="AF308" s="598"/>
      <c r="AG308" s="598"/>
      <c r="AH308" s="598"/>
      <c r="AI308" s="598"/>
      <c r="AJ308" s="598"/>
      <c r="AK308" s="598"/>
    </row>
    <row r="309" spans="7:37" x14ac:dyDescent="0.2">
      <c r="G309" s="598"/>
      <c r="H309" s="598"/>
      <c r="I309" s="598"/>
      <c r="J309" s="598"/>
      <c r="K309" s="598"/>
      <c r="L309" s="598"/>
      <c r="M309" s="598"/>
      <c r="N309" s="598"/>
      <c r="O309" s="598"/>
      <c r="P309" s="598"/>
      <c r="Q309" s="598"/>
      <c r="R309" s="598"/>
      <c r="S309" s="598"/>
      <c r="T309" s="598"/>
      <c r="U309" s="598"/>
      <c r="V309" s="598"/>
      <c r="W309" s="598"/>
      <c r="X309" s="598"/>
      <c r="Y309" s="598"/>
      <c r="Z309" s="598"/>
      <c r="AA309" s="598"/>
      <c r="AB309" s="598"/>
      <c r="AC309" s="598"/>
      <c r="AD309" s="598"/>
      <c r="AE309" s="598"/>
      <c r="AF309" s="598"/>
      <c r="AG309" s="598"/>
      <c r="AH309" s="598"/>
      <c r="AI309" s="598"/>
      <c r="AJ309" s="598"/>
      <c r="AK309" s="598"/>
    </row>
    <row r="310" spans="7:37" x14ac:dyDescent="0.2">
      <c r="G310" s="598"/>
      <c r="H310" s="598"/>
      <c r="I310" s="598"/>
      <c r="J310" s="598"/>
      <c r="K310" s="598"/>
      <c r="L310" s="598"/>
      <c r="M310" s="598"/>
      <c r="N310" s="598"/>
      <c r="O310" s="598"/>
      <c r="P310" s="598"/>
      <c r="Q310" s="598"/>
      <c r="R310" s="598"/>
      <c r="S310" s="598"/>
      <c r="T310" s="598"/>
      <c r="U310" s="598"/>
      <c r="V310" s="598"/>
      <c r="W310" s="598"/>
      <c r="X310" s="598"/>
      <c r="Y310" s="598"/>
      <c r="Z310" s="598"/>
      <c r="AA310" s="598"/>
      <c r="AB310" s="598"/>
      <c r="AC310" s="598"/>
      <c r="AD310" s="598"/>
      <c r="AE310" s="598"/>
      <c r="AF310" s="598"/>
      <c r="AG310" s="598"/>
      <c r="AH310" s="598"/>
      <c r="AI310" s="598"/>
      <c r="AJ310" s="598"/>
      <c r="AK310" s="598"/>
    </row>
  </sheetData>
  <mergeCells count="2">
    <mergeCell ref="G6:T6"/>
    <mergeCell ref="U6:AH6"/>
  </mergeCells>
  <pageMargins left="0.7" right="0.7" top="0.75" bottom="0.75" header="0.3" footer="0.3"/>
  <pageSetup paperSize="9" scale="51" orientation="portrait" verticalDpi="0" r:id="rId1"/>
  <colBreaks count="1" manualBreakCount="1">
    <brk id="3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17"/>
  <sheetViews>
    <sheetView tabSelected="1" view="pageBreakPreview" zoomScale="110" zoomScaleNormal="100" zoomScaleSheetLayoutView="110" workbookViewId="0">
      <selection activeCell="R44" sqref="R44"/>
    </sheetView>
  </sheetViews>
  <sheetFormatPr defaultColWidth="8.85546875" defaultRowHeight="12.75" x14ac:dyDescent="0.2"/>
  <cols>
    <col min="1" max="2" width="0.85546875" style="608" customWidth="1"/>
    <col min="3" max="3" width="2.7109375" style="608" customWidth="1"/>
    <col min="4" max="4" width="35.140625" style="608" customWidth="1"/>
    <col min="5" max="5" width="3" style="628" customWidth="1"/>
    <col min="6" max="6" width="15.7109375" style="628" customWidth="1"/>
    <col min="7" max="8" width="15.7109375" style="628" hidden="1" customWidth="1"/>
    <col min="9" max="9" width="15.140625" style="628" hidden="1" customWidth="1"/>
    <col min="10" max="11" width="12.7109375" style="628" hidden="1" customWidth="1"/>
    <col min="12" max="12" width="15.7109375" style="628" hidden="1" customWidth="1"/>
    <col min="13" max="13" width="16.28515625" style="628" hidden="1" customWidth="1"/>
    <col min="14" max="14" width="15.7109375" style="628" hidden="1" customWidth="1"/>
    <col min="15" max="15" width="15.28515625" style="628" hidden="1" customWidth="1"/>
    <col min="16" max="16" width="12.7109375" style="628" hidden="1" customWidth="1"/>
    <col min="17" max="17" width="15.7109375" style="628" hidden="1" customWidth="1"/>
    <col min="18" max="18" width="14.42578125" style="628" customWidth="1"/>
    <col min="19" max="20" width="15.7109375" style="628" customWidth="1"/>
    <col min="21" max="31" width="15.7109375" style="628" hidden="1" customWidth="1"/>
    <col min="32" max="33" width="15.7109375" style="628" customWidth="1"/>
    <col min="34" max="34" width="2" style="608" customWidth="1"/>
    <col min="35" max="35" width="1.7109375" style="608" customWidth="1"/>
    <col min="36" max="36" width="19.85546875" style="608" bestFit="1" customWidth="1"/>
    <col min="37" max="37" width="11" style="608" hidden="1" customWidth="1"/>
    <col min="38" max="38" width="12.5703125" style="608" customWidth="1"/>
    <col min="39" max="256" width="8.85546875" style="608"/>
    <col min="257" max="258" width="0.85546875" style="608" customWidth="1"/>
    <col min="259" max="259" width="2.7109375" style="608" customWidth="1"/>
    <col min="260" max="260" width="35.140625" style="608" customWidth="1"/>
    <col min="261" max="261" width="3" style="608" customWidth="1"/>
    <col min="262" max="262" width="15.7109375" style="608" customWidth="1"/>
    <col min="263" max="273" width="0" style="608" hidden="1" customWidth="1"/>
    <col min="274" max="274" width="14.42578125" style="608" customWidth="1"/>
    <col min="275" max="276" width="15.7109375" style="608" customWidth="1"/>
    <col min="277" max="287" width="0" style="608" hidden="1" customWidth="1"/>
    <col min="288" max="289" width="15.7109375" style="608" customWidth="1"/>
    <col min="290" max="290" width="2" style="608" customWidth="1"/>
    <col min="291" max="291" width="1.7109375" style="608" customWidth="1"/>
    <col min="292" max="292" width="19.85546875" style="608" bestFit="1" customWidth="1"/>
    <col min="293" max="293" width="0" style="608" hidden="1" customWidth="1"/>
    <col min="294" max="294" width="12.5703125" style="608" customWidth="1"/>
    <col min="295" max="512" width="8.85546875" style="608"/>
    <col min="513" max="514" width="0.85546875" style="608" customWidth="1"/>
    <col min="515" max="515" width="2.7109375" style="608" customWidth="1"/>
    <col min="516" max="516" width="35.140625" style="608" customWidth="1"/>
    <col min="517" max="517" width="3" style="608" customWidth="1"/>
    <col min="518" max="518" width="15.7109375" style="608" customWidth="1"/>
    <col min="519" max="529" width="0" style="608" hidden="1" customWidth="1"/>
    <col min="530" max="530" width="14.42578125" style="608" customWidth="1"/>
    <col min="531" max="532" width="15.7109375" style="608" customWidth="1"/>
    <col min="533" max="543" width="0" style="608" hidden="1" customWidth="1"/>
    <col min="544" max="545" width="15.7109375" style="608" customWidth="1"/>
    <col min="546" max="546" width="2" style="608" customWidth="1"/>
    <col min="547" max="547" width="1.7109375" style="608" customWidth="1"/>
    <col min="548" max="548" width="19.85546875" style="608" bestFit="1" customWidth="1"/>
    <col min="549" max="549" width="0" style="608" hidden="1" customWidth="1"/>
    <col min="550" max="550" width="12.5703125" style="608" customWidth="1"/>
    <col min="551" max="768" width="8.85546875" style="608"/>
    <col min="769" max="770" width="0.85546875" style="608" customWidth="1"/>
    <col min="771" max="771" width="2.7109375" style="608" customWidth="1"/>
    <col min="772" max="772" width="35.140625" style="608" customWidth="1"/>
    <col min="773" max="773" width="3" style="608" customWidth="1"/>
    <col min="774" max="774" width="15.7109375" style="608" customWidth="1"/>
    <col min="775" max="785" width="0" style="608" hidden="1" customWidth="1"/>
    <col min="786" max="786" width="14.42578125" style="608" customWidth="1"/>
    <col min="787" max="788" width="15.7109375" style="608" customWidth="1"/>
    <col min="789" max="799" width="0" style="608" hidden="1" customWidth="1"/>
    <col min="800" max="801" width="15.7109375" style="608" customWidth="1"/>
    <col min="802" max="802" width="2" style="608" customWidth="1"/>
    <col min="803" max="803" width="1.7109375" style="608" customWidth="1"/>
    <col min="804" max="804" width="19.85546875" style="608" bestFit="1" customWidth="1"/>
    <col min="805" max="805" width="0" style="608" hidden="1" customWidth="1"/>
    <col min="806" max="806" width="12.5703125" style="608" customWidth="1"/>
    <col min="807" max="1024" width="8.85546875" style="608"/>
    <col min="1025" max="1026" width="0.85546875" style="608" customWidth="1"/>
    <col min="1027" max="1027" width="2.7109375" style="608" customWidth="1"/>
    <col min="1028" max="1028" width="35.140625" style="608" customWidth="1"/>
    <col min="1029" max="1029" width="3" style="608" customWidth="1"/>
    <col min="1030" max="1030" width="15.7109375" style="608" customWidth="1"/>
    <col min="1031" max="1041" width="0" style="608" hidden="1" customWidth="1"/>
    <col min="1042" max="1042" width="14.42578125" style="608" customWidth="1"/>
    <col min="1043" max="1044" width="15.7109375" style="608" customWidth="1"/>
    <col min="1045" max="1055" width="0" style="608" hidden="1" customWidth="1"/>
    <col min="1056" max="1057" width="15.7109375" style="608" customWidth="1"/>
    <col min="1058" max="1058" width="2" style="608" customWidth="1"/>
    <col min="1059" max="1059" width="1.7109375" style="608" customWidth="1"/>
    <col min="1060" max="1060" width="19.85546875" style="608" bestFit="1" customWidth="1"/>
    <col min="1061" max="1061" width="0" style="608" hidden="1" customWidth="1"/>
    <col min="1062" max="1062" width="12.5703125" style="608" customWidth="1"/>
    <col min="1063" max="1280" width="8.85546875" style="608"/>
    <col min="1281" max="1282" width="0.85546875" style="608" customWidth="1"/>
    <col min="1283" max="1283" width="2.7109375" style="608" customWidth="1"/>
    <col min="1284" max="1284" width="35.140625" style="608" customWidth="1"/>
    <col min="1285" max="1285" width="3" style="608" customWidth="1"/>
    <col min="1286" max="1286" width="15.7109375" style="608" customWidth="1"/>
    <col min="1287" max="1297" width="0" style="608" hidden="1" customWidth="1"/>
    <col min="1298" max="1298" width="14.42578125" style="608" customWidth="1"/>
    <col min="1299" max="1300" width="15.7109375" style="608" customWidth="1"/>
    <col min="1301" max="1311" width="0" style="608" hidden="1" customWidth="1"/>
    <col min="1312" max="1313" width="15.7109375" style="608" customWidth="1"/>
    <col min="1314" max="1314" width="2" style="608" customWidth="1"/>
    <col min="1315" max="1315" width="1.7109375" style="608" customWidth="1"/>
    <col min="1316" max="1316" width="19.85546875" style="608" bestFit="1" customWidth="1"/>
    <col min="1317" max="1317" width="0" style="608" hidden="1" customWidth="1"/>
    <col min="1318" max="1318" width="12.5703125" style="608" customWidth="1"/>
    <col min="1319" max="1536" width="8.85546875" style="608"/>
    <col min="1537" max="1538" width="0.85546875" style="608" customWidth="1"/>
    <col min="1539" max="1539" width="2.7109375" style="608" customWidth="1"/>
    <col min="1540" max="1540" width="35.140625" style="608" customWidth="1"/>
    <col min="1541" max="1541" width="3" style="608" customWidth="1"/>
    <col min="1542" max="1542" width="15.7109375" style="608" customWidth="1"/>
    <col min="1543" max="1553" width="0" style="608" hidden="1" customWidth="1"/>
    <col min="1554" max="1554" width="14.42578125" style="608" customWidth="1"/>
    <col min="1555" max="1556" width="15.7109375" style="608" customWidth="1"/>
    <col min="1557" max="1567" width="0" style="608" hidden="1" customWidth="1"/>
    <col min="1568" max="1569" width="15.7109375" style="608" customWidth="1"/>
    <col min="1570" max="1570" width="2" style="608" customWidth="1"/>
    <col min="1571" max="1571" width="1.7109375" style="608" customWidth="1"/>
    <col min="1572" max="1572" width="19.85546875" style="608" bestFit="1" customWidth="1"/>
    <col min="1573" max="1573" width="0" style="608" hidden="1" customWidth="1"/>
    <col min="1574" max="1574" width="12.5703125" style="608" customWidth="1"/>
    <col min="1575" max="1792" width="8.85546875" style="608"/>
    <col min="1793" max="1794" width="0.85546875" style="608" customWidth="1"/>
    <col min="1795" max="1795" width="2.7109375" style="608" customWidth="1"/>
    <col min="1796" max="1796" width="35.140625" style="608" customWidth="1"/>
    <col min="1797" max="1797" width="3" style="608" customWidth="1"/>
    <col min="1798" max="1798" width="15.7109375" style="608" customWidth="1"/>
    <col min="1799" max="1809" width="0" style="608" hidden="1" customWidth="1"/>
    <col min="1810" max="1810" width="14.42578125" style="608" customWidth="1"/>
    <col min="1811" max="1812" width="15.7109375" style="608" customWidth="1"/>
    <col min="1813" max="1823" width="0" style="608" hidden="1" customWidth="1"/>
    <col min="1824" max="1825" width="15.7109375" style="608" customWidth="1"/>
    <col min="1826" max="1826" width="2" style="608" customWidth="1"/>
    <col min="1827" max="1827" width="1.7109375" style="608" customWidth="1"/>
    <col min="1828" max="1828" width="19.85546875" style="608" bestFit="1" customWidth="1"/>
    <col min="1829" max="1829" width="0" style="608" hidden="1" customWidth="1"/>
    <col min="1830" max="1830" width="12.5703125" style="608" customWidth="1"/>
    <col min="1831" max="2048" width="8.85546875" style="608"/>
    <col min="2049" max="2050" width="0.85546875" style="608" customWidth="1"/>
    <col min="2051" max="2051" width="2.7109375" style="608" customWidth="1"/>
    <col min="2052" max="2052" width="35.140625" style="608" customWidth="1"/>
    <col min="2053" max="2053" width="3" style="608" customWidth="1"/>
    <col min="2054" max="2054" width="15.7109375" style="608" customWidth="1"/>
    <col min="2055" max="2065" width="0" style="608" hidden="1" customWidth="1"/>
    <col min="2066" max="2066" width="14.42578125" style="608" customWidth="1"/>
    <col min="2067" max="2068" width="15.7109375" style="608" customWidth="1"/>
    <col min="2069" max="2079" width="0" style="608" hidden="1" customWidth="1"/>
    <col min="2080" max="2081" width="15.7109375" style="608" customWidth="1"/>
    <col min="2082" max="2082" width="2" style="608" customWidth="1"/>
    <col min="2083" max="2083" width="1.7109375" style="608" customWidth="1"/>
    <col min="2084" max="2084" width="19.85546875" style="608" bestFit="1" customWidth="1"/>
    <col min="2085" max="2085" width="0" style="608" hidden="1" customWidth="1"/>
    <col min="2086" max="2086" width="12.5703125" style="608" customWidth="1"/>
    <col min="2087" max="2304" width="8.85546875" style="608"/>
    <col min="2305" max="2306" width="0.85546875" style="608" customWidth="1"/>
    <col min="2307" max="2307" width="2.7109375" style="608" customWidth="1"/>
    <col min="2308" max="2308" width="35.140625" style="608" customWidth="1"/>
    <col min="2309" max="2309" width="3" style="608" customWidth="1"/>
    <col min="2310" max="2310" width="15.7109375" style="608" customWidth="1"/>
    <col min="2311" max="2321" width="0" style="608" hidden="1" customWidth="1"/>
    <col min="2322" max="2322" width="14.42578125" style="608" customWidth="1"/>
    <col min="2323" max="2324" width="15.7109375" style="608" customWidth="1"/>
    <col min="2325" max="2335" width="0" style="608" hidden="1" customWidth="1"/>
    <col min="2336" max="2337" width="15.7109375" style="608" customWidth="1"/>
    <col min="2338" max="2338" width="2" style="608" customWidth="1"/>
    <col min="2339" max="2339" width="1.7109375" style="608" customWidth="1"/>
    <col min="2340" max="2340" width="19.85546875" style="608" bestFit="1" customWidth="1"/>
    <col min="2341" max="2341" width="0" style="608" hidden="1" customWidth="1"/>
    <col min="2342" max="2342" width="12.5703125" style="608" customWidth="1"/>
    <col min="2343" max="2560" width="8.85546875" style="608"/>
    <col min="2561" max="2562" width="0.85546875" style="608" customWidth="1"/>
    <col min="2563" max="2563" width="2.7109375" style="608" customWidth="1"/>
    <col min="2564" max="2564" width="35.140625" style="608" customWidth="1"/>
    <col min="2565" max="2565" width="3" style="608" customWidth="1"/>
    <col min="2566" max="2566" width="15.7109375" style="608" customWidth="1"/>
    <col min="2567" max="2577" width="0" style="608" hidden="1" customWidth="1"/>
    <col min="2578" max="2578" width="14.42578125" style="608" customWidth="1"/>
    <col min="2579" max="2580" width="15.7109375" style="608" customWidth="1"/>
    <col min="2581" max="2591" width="0" style="608" hidden="1" customWidth="1"/>
    <col min="2592" max="2593" width="15.7109375" style="608" customWidth="1"/>
    <col min="2594" max="2594" width="2" style="608" customWidth="1"/>
    <col min="2595" max="2595" width="1.7109375" style="608" customWidth="1"/>
    <col min="2596" max="2596" width="19.85546875" style="608" bestFit="1" customWidth="1"/>
    <col min="2597" max="2597" width="0" style="608" hidden="1" customWidth="1"/>
    <col min="2598" max="2598" width="12.5703125" style="608" customWidth="1"/>
    <col min="2599" max="2816" width="8.85546875" style="608"/>
    <col min="2817" max="2818" width="0.85546875" style="608" customWidth="1"/>
    <col min="2819" max="2819" width="2.7109375" style="608" customWidth="1"/>
    <col min="2820" max="2820" width="35.140625" style="608" customWidth="1"/>
    <col min="2821" max="2821" width="3" style="608" customWidth="1"/>
    <col min="2822" max="2822" width="15.7109375" style="608" customWidth="1"/>
    <col min="2823" max="2833" width="0" style="608" hidden="1" customWidth="1"/>
    <col min="2834" max="2834" width="14.42578125" style="608" customWidth="1"/>
    <col min="2835" max="2836" width="15.7109375" style="608" customWidth="1"/>
    <col min="2837" max="2847" width="0" style="608" hidden="1" customWidth="1"/>
    <col min="2848" max="2849" width="15.7109375" style="608" customWidth="1"/>
    <col min="2850" max="2850" width="2" style="608" customWidth="1"/>
    <col min="2851" max="2851" width="1.7109375" style="608" customWidth="1"/>
    <col min="2852" max="2852" width="19.85546875" style="608" bestFit="1" customWidth="1"/>
    <col min="2853" max="2853" width="0" style="608" hidden="1" customWidth="1"/>
    <col min="2854" max="2854" width="12.5703125" style="608" customWidth="1"/>
    <col min="2855" max="3072" width="8.85546875" style="608"/>
    <col min="3073" max="3074" width="0.85546875" style="608" customWidth="1"/>
    <col min="3075" max="3075" width="2.7109375" style="608" customWidth="1"/>
    <col min="3076" max="3076" width="35.140625" style="608" customWidth="1"/>
    <col min="3077" max="3077" width="3" style="608" customWidth="1"/>
    <col min="3078" max="3078" width="15.7109375" style="608" customWidth="1"/>
    <col min="3079" max="3089" width="0" style="608" hidden="1" customWidth="1"/>
    <col min="3090" max="3090" width="14.42578125" style="608" customWidth="1"/>
    <col min="3091" max="3092" width="15.7109375" style="608" customWidth="1"/>
    <col min="3093" max="3103" width="0" style="608" hidden="1" customWidth="1"/>
    <col min="3104" max="3105" width="15.7109375" style="608" customWidth="1"/>
    <col min="3106" max="3106" width="2" style="608" customWidth="1"/>
    <col min="3107" max="3107" width="1.7109375" style="608" customWidth="1"/>
    <col min="3108" max="3108" width="19.85546875" style="608" bestFit="1" customWidth="1"/>
    <col min="3109" max="3109" width="0" style="608" hidden="1" customWidth="1"/>
    <col min="3110" max="3110" width="12.5703125" style="608" customWidth="1"/>
    <col min="3111" max="3328" width="8.85546875" style="608"/>
    <col min="3329" max="3330" width="0.85546875" style="608" customWidth="1"/>
    <col min="3331" max="3331" width="2.7109375" style="608" customWidth="1"/>
    <col min="3332" max="3332" width="35.140625" style="608" customWidth="1"/>
    <col min="3333" max="3333" width="3" style="608" customWidth="1"/>
    <col min="3334" max="3334" width="15.7109375" style="608" customWidth="1"/>
    <col min="3335" max="3345" width="0" style="608" hidden="1" customWidth="1"/>
    <col min="3346" max="3346" width="14.42578125" style="608" customWidth="1"/>
    <col min="3347" max="3348" width="15.7109375" style="608" customWidth="1"/>
    <col min="3349" max="3359" width="0" style="608" hidden="1" customWidth="1"/>
    <col min="3360" max="3361" width="15.7109375" style="608" customWidth="1"/>
    <col min="3362" max="3362" width="2" style="608" customWidth="1"/>
    <col min="3363" max="3363" width="1.7109375" style="608" customWidth="1"/>
    <col min="3364" max="3364" width="19.85546875" style="608" bestFit="1" customWidth="1"/>
    <col min="3365" max="3365" width="0" style="608" hidden="1" customWidth="1"/>
    <col min="3366" max="3366" width="12.5703125" style="608" customWidth="1"/>
    <col min="3367" max="3584" width="8.85546875" style="608"/>
    <col min="3585" max="3586" width="0.85546875" style="608" customWidth="1"/>
    <col min="3587" max="3587" width="2.7109375" style="608" customWidth="1"/>
    <col min="3588" max="3588" width="35.140625" style="608" customWidth="1"/>
    <col min="3589" max="3589" width="3" style="608" customWidth="1"/>
    <col min="3590" max="3590" width="15.7109375" style="608" customWidth="1"/>
    <col min="3591" max="3601" width="0" style="608" hidden="1" customWidth="1"/>
    <col min="3602" max="3602" width="14.42578125" style="608" customWidth="1"/>
    <col min="3603" max="3604" width="15.7109375" style="608" customWidth="1"/>
    <col min="3605" max="3615" width="0" style="608" hidden="1" customWidth="1"/>
    <col min="3616" max="3617" width="15.7109375" style="608" customWidth="1"/>
    <col min="3618" max="3618" width="2" style="608" customWidth="1"/>
    <col min="3619" max="3619" width="1.7109375" style="608" customWidth="1"/>
    <col min="3620" max="3620" width="19.85546875" style="608" bestFit="1" customWidth="1"/>
    <col min="3621" max="3621" width="0" style="608" hidden="1" customWidth="1"/>
    <col min="3622" max="3622" width="12.5703125" style="608" customWidth="1"/>
    <col min="3623" max="3840" width="8.85546875" style="608"/>
    <col min="3841" max="3842" width="0.85546875" style="608" customWidth="1"/>
    <col min="3843" max="3843" width="2.7109375" style="608" customWidth="1"/>
    <col min="3844" max="3844" width="35.140625" style="608" customWidth="1"/>
    <col min="3845" max="3845" width="3" style="608" customWidth="1"/>
    <col min="3846" max="3846" width="15.7109375" style="608" customWidth="1"/>
    <col min="3847" max="3857" width="0" style="608" hidden="1" customWidth="1"/>
    <col min="3858" max="3858" width="14.42578125" style="608" customWidth="1"/>
    <col min="3859" max="3860" width="15.7109375" style="608" customWidth="1"/>
    <col min="3861" max="3871" width="0" style="608" hidden="1" customWidth="1"/>
    <col min="3872" max="3873" width="15.7109375" style="608" customWidth="1"/>
    <col min="3874" max="3874" width="2" style="608" customWidth="1"/>
    <col min="3875" max="3875" width="1.7109375" style="608" customWidth="1"/>
    <col min="3876" max="3876" width="19.85546875" style="608" bestFit="1" customWidth="1"/>
    <col min="3877" max="3877" width="0" style="608" hidden="1" customWidth="1"/>
    <col min="3878" max="3878" width="12.5703125" style="608" customWidth="1"/>
    <col min="3879" max="4096" width="8.85546875" style="608"/>
    <col min="4097" max="4098" width="0.85546875" style="608" customWidth="1"/>
    <col min="4099" max="4099" width="2.7109375" style="608" customWidth="1"/>
    <col min="4100" max="4100" width="35.140625" style="608" customWidth="1"/>
    <col min="4101" max="4101" width="3" style="608" customWidth="1"/>
    <col min="4102" max="4102" width="15.7109375" style="608" customWidth="1"/>
    <col min="4103" max="4113" width="0" style="608" hidden="1" customWidth="1"/>
    <col min="4114" max="4114" width="14.42578125" style="608" customWidth="1"/>
    <col min="4115" max="4116" width="15.7109375" style="608" customWidth="1"/>
    <col min="4117" max="4127" width="0" style="608" hidden="1" customWidth="1"/>
    <col min="4128" max="4129" width="15.7109375" style="608" customWidth="1"/>
    <col min="4130" max="4130" width="2" style="608" customWidth="1"/>
    <col min="4131" max="4131" width="1.7109375" style="608" customWidth="1"/>
    <col min="4132" max="4132" width="19.85546875" style="608" bestFit="1" customWidth="1"/>
    <col min="4133" max="4133" width="0" style="608" hidden="1" customWidth="1"/>
    <col min="4134" max="4134" width="12.5703125" style="608" customWidth="1"/>
    <col min="4135" max="4352" width="8.85546875" style="608"/>
    <col min="4353" max="4354" width="0.85546875" style="608" customWidth="1"/>
    <col min="4355" max="4355" width="2.7109375" style="608" customWidth="1"/>
    <col min="4356" max="4356" width="35.140625" style="608" customWidth="1"/>
    <col min="4357" max="4357" width="3" style="608" customWidth="1"/>
    <col min="4358" max="4358" width="15.7109375" style="608" customWidth="1"/>
    <col min="4359" max="4369" width="0" style="608" hidden="1" customWidth="1"/>
    <col min="4370" max="4370" width="14.42578125" style="608" customWidth="1"/>
    <col min="4371" max="4372" width="15.7109375" style="608" customWidth="1"/>
    <col min="4373" max="4383" width="0" style="608" hidden="1" customWidth="1"/>
    <col min="4384" max="4385" width="15.7109375" style="608" customWidth="1"/>
    <col min="4386" max="4386" width="2" style="608" customWidth="1"/>
    <col min="4387" max="4387" width="1.7109375" style="608" customWidth="1"/>
    <col min="4388" max="4388" width="19.85546875" style="608" bestFit="1" customWidth="1"/>
    <col min="4389" max="4389" width="0" style="608" hidden="1" customWidth="1"/>
    <col min="4390" max="4390" width="12.5703125" style="608" customWidth="1"/>
    <col min="4391" max="4608" width="8.85546875" style="608"/>
    <col min="4609" max="4610" width="0.85546875" style="608" customWidth="1"/>
    <col min="4611" max="4611" width="2.7109375" style="608" customWidth="1"/>
    <col min="4612" max="4612" width="35.140625" style="608" customWidth="1"/>
    <col min="4613" max="4613" width="3" style="608" customWidth="1"/>
    <col min="4614" max="4614" width="15.7109375" style="608" customWidth="1"/>
    <col min="4615" max="4625" width="0" style="608" hidden="1" customWidth="1"/>
    <col min="4626" max="4626" width="14.42578125" style="608" customWidth="1"/>
    <col min="4627" max="4628" width="15.7109375" style="608" customWidth="1"/>
    <col min="4629" max="4639" width="0" style="608" hidden="1" customWidth="1"/>
    <col min="4640" max="4641" width="15.7109375" style="608" customWidth="1"/>
    <col min="4642" max="4642" width="2" style="608" customWidth="1"/>
    <col min="4643" max="4643" width="1.7109375" style="608" customWidth="1"/>
    <col min="4644" max="4644" width="19.85546875" style="608" bestFit="1" customWidth="1"/>
    <col min="4645" max="4645" width="0" style="608" hidden="1" customWidth="1"/>
    <col min="4646" max="4646" width="12.5703125" style="608" customWidth="1"/>
    <col min="4647" max="4864" width="8.85546875" style="608"/>
    <col min="4865" max="4866" width="0.85546875" style="608" customWidth="1"/>
    <col min="4867" max="4867" width="2.7109375" style="608" customWidth="1"/>
    <col min="4868" max="4868" width="35.140625" style="608" customWidth="1"/>
    <col min="4869" max="4869" width="3" style="608" customWidth="1"/>
    <col min="4870" max="4870" width="15.7109375" style="608" customWidth="1"/>
    <col min="4871" max="4881" width="0" style="608" hidden="1" customWidth="1"/>
    <col min="4882" max="4882" width="14.42578125" style="608" customWidth="1"/>
    <col min="4883" max="4884" width="15.7109375" style="608" customWidth="1"/>
    <col min="4885" max="4895" width="0" style="608" hidden="1" customWidth="1"/>
    <col min="4896" max="4897" width="15.7109375" style="608" customWidth="1"/>
    <col min="4898" max="4898" width="2" style="608" customWidth="1"/>
    <col min="4899" max="4899" width="1.7109375" style="608" customWidth="1"/>
    <col min="4900" max="4900" width="19.85546875" style="608" bestFit="1" customWidth="1"/>
    <col min="4901" max="4901" width="0" style="608" hidden="1" customWidth="1"/>
    <col min="4902" max="4902" width="12.5703125" style="608" customWidth="1"/>
    <col min="4903" max="5120" width="8.85546875" style="608"/>
    <col min="5121" max="5122" width="0.85546875" style="608" customWidth="1"/>
    <col min="5123" max="5123" width="2.7109375" style="608" customWidth="1"/>
    <col min="5124" max="5124" width="35.140625" style="608" customWidth="1"/>
    <col min="5125" max="5125" width="3" style="608" customWidth="1"/>
    <col min="5126" max="5126" width="15.7109375" style="608" customWidth="1"/>
    <col min="5127" max="5137" width="0" style="608" hidden="1" customWidth="1"/>
    <col min="5138" max="5138" width="14.42578125" style="608" customWidth="1"/>
    <col min="5139" max="5140" width="15.7109375" style="608" customWidth="1"/>
    <col min="5141" max="5151" width="0" style="608" hidden="1" customWidth="1"/>
    <col min="5152" max="5153" width="15.7109375" style="608" customWidth="1"/>
    <col min="5154" max="5154" width="2" style="608" customWidth="1"/>
    <col min="5155" max="5155" width="1.7109375" style="608" customWidth="1"/>
    <col min="5156" max="5156" width="19.85546875" style="608" bestFit="1" customWidth="1"/>
    <col min="5157" max="5157" width="0" style="608" hidden="1" customWidth="1"/>
    <col min="5158" max="5158" width="12.5703125" style="608" customWidth="1"/>
    <col min="5159" max="5376" width="8.85546875" style="608"/>
    <col min="5377" max="5378" width="0.85546875" style="608" customWidth="1"/>
    <col min="5379" max="5379" width="2.7109375" style="608" customWidth="1"/>
    <col min="5380" max="5380" width="35.140625" style="608" customWidth="1"/>
    <col min="5381" max="5381" width="3" style="608" customWidth="1"/>
    <col min="5382" max="5382" width="15.7109375" style="608" customWidth="1"/>
    <col min="5383" max="5393" width="0" style="608" hidden="1" customWidth="1"/>
    <col min="5394" max="5394" width="14.42578125" style="608" customWidth="1"/>
    <col min="5395" max="5396" width="15.7109375" style="608" customWidth="1"/>
    <col min="5397" max="5407" width="0" style="608" hidden="1" customWidth="1"/>
    <col min="5408" max="5409" width="15.7109375" style="608" customWidth="1"/>
    <col min="5410" max="5410" width="2" style="608" customWidth="1"/>
    <col min="5411" max="5411" width="1.7109375" style="608" customWidth="1"/>
    <col min="5412" max="5412" width="19.85546875" style="608" bestFit="1" customWidth="1"/>
    <col min="5413" max="5413" width="0" style="608" hidden="1" customWidth="1"/>
    <col min="5414" max="5414" width="12.5703125" style="608" customWidth="1"/>
    <col min="5415" max="5632" width="8.85546875" style="608"/>
    <col min="5633" max="5634" width="0.85546875" style="608" customWidth="1"/>
    <col min="5635" max="5635" width="2.7109375" style="608" customWidth="1"/>
    <col min="5636" max="5636" width="35.140625" style="608" customWidth="1"/>
    <col min="5637" max="5637" width="3" style="608" customWidth="1"/>
    <col min="5638" max="5638" width="15.7109375" style="608" customWidth="1"/>
    <col min="5639" max="5649" width="0" style="608" hidden="1" customWidth="1"/>
    <col min="5650" max="5650" width="14.42578125" style="608" customWidth="1"/>
    <col min="5651" max="5652" width="15.7109375" style="608" customWidth="1"/>
    <col min="5653" max="5663" width="0" style="608" hidden="1" customWidth="1"/>
    <col min="5664" max="5665" width="15.7109375" style="608" customWidth="1"/>
    <col min="5666" max="5666" width="2" style="608" customWidth="1"/>
    <col min="5667" max="5667" width="1.7109375" style="608" customWidth="1"/>
    <col min="5668" max="5668" width="19.85546875" style="608" bestFit="1" customWidth="1"/>
    <col min="5669" max="5669" width="0" style="608" hidden="1" customWidth="1"/>
    <col min="5670" max="5670" width="12.5703125" style="608" customWidth="1"/>
    <col min="5671" max="5888" width="8.85546875" style="608"/>
    <col min="5889" max="5890" width="0.85546875" style="608" customWidth="1"/>
    <col min="5891" max="5891" width="2.7109375" style="608" customWidth="1"/>
    <col min="5892" max="5892" width="35.140625" style="608" customWidth="1"/>
    <col min="5893" max="5893" width="3" style="608" customWidth="1"/>
    <col min="5894" max="5894" width="15.7109375" style="608" customWidth="1"/>
    <col min="5895" max="5905" width="0" style="608" hidden="1" customWidth="1"/>
    <col min="5906" max="5906" width="14.42578125" style="608" customWidth="1"/>
    <col min="5907" max="5908" width="15.7109375" style="608" customWidth="1"/>
    <col min="5909" max="5919" width="0" style="608" hidden="1" customWidth="1"/>
    <col min="5920" max="5921" width="15.7109375" style="608" customWidth="1"/>
    <col min="5922" max="5922" width="2" style="608" customWidth="1"/>
    <col min="5923" max="5923" width="1.7109375" style="608" customWidth="1"/>
    <col min="5924" max="5924" width="19.85546875" style="608" bestFit="1" customWidth="1"/>
    <col min="5925" max="5925" width="0" style="608" hidden="1" customWidth="1"/>
    <col min="5926" max="5926" width="12.5703125" style="608" customWidth="1"/>
    <col min="5927" max="6144" width="8.85546875" style="608"/>
    <col min="6145" max="6146" width="0.85546875" style="608" customWidth="1"/>
    <col min="6147" max="6147" width="2.7109375" style="608" customWidth="1"/>
    <col min="6148" max="6148" width="35.140625" style="608" customWidth="1"/>
    <col min="6149" max="6149" width="3" style="608" customWidth="1"/>
    <col min="6150" max="6150" width="15.7109375" style="608" customWidth="1"/>
    <col min="6151" max="6161" width="0" style="608" hidden="1" customWidth="1"/>
    <col min="6162" max="6162" width="14.42578125" style="608" customWidth="1"/>
    <col min="6163" max="6164" width="15.7109375" style="608" customWidth="1"/>
    <col min="6165" max="6175" width="0" style="608" hidden="1" customWidth="1"/>
    <col min="6176" max="6177" width="15.7109375" style="608" customWidth="1"/>
    <col min="6178" max="6178" width="2" style="608" customWidth="1"/>
    <col min="6179" max="6179" width="1.7109375" style="608" customWidth="1"/>
    <col min="6180" max="6180" width="19.85546875" style="608" bestFit="1" customWidth="1"/>
    <col min="6181" max="6181" width="0" style="608" hidden="1" customWidth="1"/>
    <col min="6182" max="6182" width="12.5703125" style="608" customWidth="1"/>
    <col min="6183" max="6400" width="8.85546875" style="608"/>
    <col min="6401" max="6402" width="0.85546875" style="608" customWidth="1"/>
    <col min="6403" max="6403" width="2.7109375" style="608" customWidth="1"/>
    <col min="6404" max="6404" width="35.140625" style="608" customWidth="1"/>
    <col min="6405" max="6405" width="3" style="608" customWidth="1"/>
    <col min="6406" max="6406" width="15.7109375" style="608" customWidth="1"/>
    <col min="6407" max="6417" width="0" style="608" hidden="1" customWidth="1"/>
    <col min="6418" max="6418" width="14.42578125" style="608" customWidth="1"/>
    <col min="6419" max="6420" width="15.7109375" style="608" customWidth="1"/>
    <col min="6421" max="6431" width="0" style="608" hidden="1" customWidth="1"/>
    <col min="6432" max="6433" width="15.7109375" style="608" customWidth="1"/>
    <col min="6434" max="6434" width="2" style="608" customWidth="1"/>
    <col min="6435" max="6435" width="1.7109375" style="608" customWidth="1"/>
    <col min="6436" max="6436" width="19.85546875" style="608" bestFit="1" customWidth="1"/>
    <col min="6437" max="6437" width="0" style="608" hidden="1" customWidth="1"/>
    <col min="6438" max="6438" width="12.5703125" style="608" customWidth="1"/>
    <col min="6439" max="6656" width="8.85546875" style="608"/>
    <col min="6657" max="6658" width="0.85546875" style="608" customWidth="1"/>
    <col min="6659" max="6659" width="2.7109375" style="608" customWidth="1"/>
    <col min="6660" max="6660" width="35.140625" style="608" customWidth="1"/>
    <col min="6661" max="6661" width="3" style="608" customWidth="1"/>
    <col min="6662" max="6662" width="15.7109375" style="608" customWidth="1"/>
    <col min="6663" max="6673" width="0" style="608" hidden="1" customWidth="1"/>
    <col min="6674" max="6674" width="14.42578125" style="608" customWidth="1"/>
    <col min="6675" max="6676" width="15.7109375" style="608" customWidth="1"/>
    <col min="6677" max="6687" width="0" style="608" hidden="1" customWidth="1"/>
    <col min="6688" max="6689" width="15.7109375" style="608" customWidth="1"/>
    <col min="6690" max="6690" width="2" style="608" customWidth="1"/>
    <col min="6691" max="6691" width="1.7109375" style="608" customWidth="1"/>
    <col min="6692" max="6692" width="19.85546875" style="608" bestFit="1" customWidth="1"/>
    <col min="6693" max="6693" width="0" style="608" hidden="1" customWidth="1"/>
    <col min="6694" max="6694" width="12.5703125" style="608" customWidth="1"/>
    <col min="6695" max="6912" width="8.85546875" style="608"/>
    <col min="6913" max="6914" width="0.85546875" style="608" customWidth="1"/>
    <col min="6915" max="6915" width="2.7109375" style="608" customWidth="1"/>
    <col min="6916" max="6916" width="35.140625" style="608" customWidth="1"/>
    <col min="6917" max="6917" width="3" style="608" customWidth="1"/>
    <col min="6918" max="6918" width="15.7109375" style="608" customWidth="1"/>
    <col min="6919" max="6929" width="0" style="608" hidden="1" customWidth="1"/>
    <col min="6930" max="6930" width="14.42578125" style="608" customWidth="1"/>
    <col min="6931" max="6932" width="15.7109375" style="608" customWidth="1"/>
    <col min="6933" max="6943" width="0" style="608" hidden="1" customWidth="1"/>
    <col min="6944" max="6945" width="15.7109375" style="608" customWidth="1"/>
    <col min="6946" max="6946" width="2" style="608" customWidth="1"/>
    <col min="6947" max="6947" width="1.7109375" style="608" customWidth="1"/>
    <col min="6948" max="6948" width="19.85546875" style="608" bestFit="1" customWidth="1"/>
    <col min="6949" max="6949" width="0" style="608" hidden="1" customWidth="1"/>
    <col min="6950" max="6950" width="12.5703125" style="608" customWidth="1"/>
    <col min="6951" max="7168" width="8.85546875" style="608"/>
    <col min="7169" max="7170" width="0.85546875" style="608" customWidth="1"/>
    <col min="7171" max="7171" width="2.7109375" style="608" customWidth="1"/>
    <col min="7172" max="7172" width="35.140625" style="608" customWidth="1"/>
    <col min="7173" max="7173" width="3" style="608" customWidth="1"/>
    <col min="7174" max="7174" width="15.7109375" style="608" customWidth="1"/>
    <col min="7175" max="7185" width="0" style="608" hidden="1" customWidth="1"/>
    <col min="7186" max="7186" width="14.42578125" style="608" customWidth="1"/>
    <col min="7187" max="7188" width="15.7109375" style="608" customWidth="1"/>
    <col min="7189" max="7199" width="0" style="608" hidden="1" customWidth="1"/>
    <col min="7200" max="7201" width="15.7109375" style="608" customWidth="1"/>
    <col min="7202" max="7202" width="2" style="608" customWidth="1"/>
    <col min="7203" max="7203" width="1.7109375" style="608" customWidth="1"/>
    <col min="7204" max="7204" width="19.85546875" style="608" bestFit="1" customWidth="1"/>
    <col min="7205" max="7205" width="0" style="608" hidden="1" customWidth="1"/>
    <col min="7206" max="7206" width="12.5703125" style="608" customWidth="1"/>
    <col min="7207" max="7424" width="8.85546875" style="608"/>
    <col min="7425" max="7426" width="0.85546875" style="608" customWidth="1"/>
    <col min="7427" max="7427" width="2.7109375" style="608" customWidth="1"/>
    <col min="7428" max="7428" width="35.140625" style="608" customWidth="1"/>
    <col min="7429" max="7429" width="3" style="608" customWidth="1"/>
    <col min="7430" max="7430" width="15.7109375" style="608" customWidth="1"/>
    <col min="7431" max="7441" width="0" style="608" hidden="1" customWidth="1"/>
    <col min="7442" max="7442" width="14.42578125" style="608" customWidth="1"/>
    <col min="7443" max="7444" width="15.7109375" style="608" customWidth="1"/>
    <col min="7445" max="7455" width="0" style="608" hidden="1" customWidth="1"/>
    <col min="7456" max="7457" width="15.7109375" style="608" customWidth="1"/>
    <col min="7458" max="7458" width="2" style="608" customWidth="1"/>
    <col min="7459" max="7459" width="1.7109375" style="608" customWidth="1"/>
    <col min="7460" max="7460" width="19.85546875" style="608" bestFit="1" customWidth="1"/>
    <col min="7461" max="7461" width="0" style="608" hidden="1" customWidth="1"/>
    <col min="7462" max="7462" width="12.5703125" style="608" customWidth="1"/>
    <col min="7463" max="7680" width="8.85546875" style="608"/>
    <col min="7681" max="7682" width="0.85546875" style="608" customWidth="1"/>
    <col min="7683" max="7683" width="2.7109375" style="608" customWidth="1"/>
    <col min="7684" max="7684" width="35.140625" style="608" customWidth="1"/>
    <col min="7685" max="7685" width="3" style="608" customWidth="1"/>
    <col min="7686" max="7686" width="15.7109375" style="608" customWidth="1"/>
    <col min="7687" max="7697" width="0" style="608" hidden="1" customWidth="1"/>
    <col min="7698" max="7698" width="14.42578125" style="608" customWidth="1"/>
    <col min="7699" max="7700" width="15.7109375" style="608" customWidth="1"/>
    <col min="7701" max="7711" width="0" style="608" hidden="1" customWidth="1"/>
    <col min="7712" max="7713" width="15.7109375" style="608" customWidth="1"/>
    <col min="7714" max="7714" width="2" style="608" customWidth="1"/>
    <col min="7715" max="7715" width="1.7109375" style="608" customWidth="1"/>
    <col min="7716" max="7716" width="19.85546875" style="608" bestFit="1" customWidth="1"/>
    <col min="7717" max="7717" width="0" style="608" hidden="1" customWidth="1"/>
    <col min="7718" max="7718" width="12.5703125" style="608" customWidth="1"/>
    <col min="7719" max="7936" width="8.85546875" style="608"/>
    <col min="7937" max="7938" width="0.85546875" style="608" customWidth="1"/>
    <col min="7939" max="7939" width="2.7109375" style="608" customWidth="1"/>
    <col min="7940" max="7940" width="35.140625" style="608" customWidth="1"/>
    <col min="7941" max="7941" width="3" style="608" customWidth="1"/>
    <col min="7942" max="7942" width="15.7109375" style="608" customWidth="1"/>
    <col min="7943" max="7953" width="0" style="608" hidden="1" customWidth="1"/>
    <col min="7954" max="7954" width="14.42578125" style="608" customWidth="1"/>
    <col min="7955" max="7956" width="15.7109375" style="608" customWidth="1"/>
    <col min="7957" max="7967" width="0" style="608" hidden="1" customWidth="1"/>
    <col min="7968" max="7969" width="15.7109375" style="608" customWidth="1"/>
    <col min="7970" max="7970" width="2" style="608" customWidth="1"/>
    <col min="7971" max="7971" width="1.7109375" style="608" customWidth="1"/>
    <col min="7972" max="7972" width="19.85546875" style="608" bestFit="1" customWidth="1"/>
    <col min="7973" max="7973" width="0" style="608" hidden="1" customWidth="1"/>
    <col min="7974" max="7974" width="12.5703125" style="608" customWidth="1"/>
    <col min="7975" max="8192" width="8.85546875" style="608"/>
    <col min="8193" max="8194" width="0.85546875" style="608" customWidth="1"/>
    <col min="8195" max="8195" width="2.7109375" style="608" customWidth="1"/>
    <col min="8196" max="8196" width="35.140625" style="608" customWidth="1"/>
    <col min="8197" max="8197" width="3" style="608" customWidth="1"/>
    <col min="8198" max="8198" width="15.7109375" style="608" customWidth="1"/>
    <col min="8199" max="8209" width="0" style="608" hidden="1" customWidth="1"/>
    <col min="8210" max="8210" width="14.42578125" style="608" customWidth="1"/>
    <col min="8211" max="8212" width="15.7109375" style="608" customWidth="1"/>
    <col min="8213" max="8223" width="0" style="608" hidden="1" customWidth="1"/>
    <col min="8224" max="8225" width="15.7109375" style="608" customWidth="1"/>
    <col min="8226" max="8226" width="2" style="608" customWidth="1"/>
    <col min="8227" max="8227" width="1.7109375" style="608" customWidth="1"/>
    <col min="8228" max="8228" width="19.85546875" style="608" bestFit="1" customWidth="1"/>
    <col min="8229" max="8229" width="0" style="608" hidden="1" customWidth="1"/>
    <col min="8230" max="8230" width="12.5703125" style="608" customWidth="1"/>
    <col min="8231" max="8448" width="8.85546875" style="608"/>
    <col min="8449" max="8450" width="0.85546875" style="608" customWidth="1"/>
    <col min="8451" max="8451" width="2.7109375" style="608" customWidth="1"/>
    <col min="8452" max="8452" width="35.140625" style="608" customWidth="1"/>
    <col min="8453" max="8453" width="3" style="608" customWidth="1"/>
    <col min="8454" max="8454" width="15.7109375" style="608" customWidth="1"/>
    <col min="8455" max="8465" width="0" style="608" hidden="1" customWidth="1"/>
    <col min="8466" max="8466" width="14.42578125" style="608" customWidth="1"/>
    <col min="8467" max="8468" width="15.7109375" style="608" customWidth="1"/>
    <col min="8469" max="8479" width="0" style="608" hidden="1" customWidth="1"/>
    <col min="8480" max="8481" width="15.7109375" style="608" customWidth="1"/>
    <col min="8482" max="8482" width="2" style="608" customWidth="1"/>
    <col min="8483" max="8483" width="1.7109375" style="608" customWidth="1"/>
    <col min="8484" max="8484" width="19.85546875" style="608" bestFit="1" customWidth="1"/>
    <col min="8485" max="8485" width="0" style="608" hidden="1" customWidth="1"/>
    <col min="8486" max="8486" width="12.5703125" style="608" customWidth="1"/>
    <col min="8487" max="8704" width="8.85546875" style="608"/>
    <col min="8705" max="8706" width="0.85546875" style="608" customWidth="1"/>
    <col min="8707" max="8707" width="2.7109375" style="608" customWidth="1"/>
    <col min="8708" max="8708" width="35.140625" style="608" customWidth="1"/>
    <col min="8709" max="8709" width="3" style="608" customWidth="1"/>
    <col min="8710" max="8710" width="15.7109375" style="608" customWidth="1"/>
    <col min="8711" max="8721" width="0" style="608" hidden="1" customWidth="1"/>
    <col min="8722" max="8722" width="14.42578125" style="608" customWidth="1"/>
    <col min="8723" max="8724" width="15.7109375" style="608" customWidth="1"/>
    <col min="8725" max="8735" width="0" style="608" hidden="1" customWidth="1"/>
    <col min="8736" max="8737" width="15.7109375" style="608" customWidth="1"/>
    <col min="8738" max="8738" width="2" style="608" customWidth="1"/>
    <col min="8739" max="8739" width="1.7109375" style="608" customWidth="1"/>
    <col min="8740" max="8740" width="19.85546875" style="608" bestFit="1" customWidth="1"/>
    <col min="8741" max="8741" width="0" style="608" hidden="1" customWidth="1"/>
    <col min="8742" max="8742" width="12.5703125" style="608" customWidth="1"/>
    <col min="8743" max="8960" width="8.85546875" style="608"/>
    <col min="8961" max="8962" width="0.85546875" style="608" customWidth="1"/>
    <col min="8963" max="8963" width="2.7109375" style="608" customWidth="1"/>
    <col min="8964" max="8964" width="35.140625" style="608" customWidth="1"/>
    <col min="8965" max="8965" width="3" style="608" customWidth="1"/>
    <col min="8966" max="8966" width="15.7109375" style="608" customWidth="1"/>
    <col min="8967" max="8977" width="0" style="608" hidden="1" customWidth="1"/>
    <col min="8978" max="8978" width="14.42578125" style="608" customWidth="1"/>
    <col min="8979" max="8980" width="15.7109375" style="608" customWidth="1"/>
    <col min="8981" max="8991" width="0" style="608" hidden="1" customWidth="1"/>
    <col min="8992" max="8993" width="15.7109375" style="608" customWidth="1"/>
    <col min="8994" max="8994" width="2" style="608" customWidth="1"/>
    <col min="8995" max="8995" width="1.7109375" style="608" customWidth="1"/>
    <col min="8996" max="8996" width="19.85546875" style="608" bestFit="1" customWidth="1"/>
    <col min="8997" max="8997" width="0" style="608" hidden="1" customWidth="1"/>
    <col min="8998" max="8998" width="12.5703125" style="608" customWidth="1"/>
    <col min="8999" max="9216" width="8.85546875" style="608"/>
    <col min="9217" max="9218" width="0.85546875" style="608" customWidth="1"/>
    <col min="9219" max="9219" width="2.7109375" style="608" customWidth="1"/>
    <col min="9220" max="9220" width="35.140625" style="608" customWidth="1"/>
    <col min="9221" max="9221" width="3" style="608" customWidth="1"/>
    <col min="9222" max="9222" width="15.7109375" style="608" customWidth="1"/>
    <col min="9223" max="9233" width="0" style="608" hidden="1" customWidth="1"/>
    <col min="9234" max="9234" width="14.42578125" style="608" customWidth="1"/>
    <col min="9235" max="9236" width="15.7109375" style="608" customWidth="1"/>
    <col min="9237" max="9247" width="0" style="608" hidden="1" customWidth="1"/>
    <col min="9248" max="9249" width="15.7109375" style="608" customWidth="1"/>
    <col min="9250" max="9250" width="2" style="608" customWidth="1"/>
    <col min="9251" max="9251" width="1.7109375" style="608" customWidth="1"/>
    <col min="9252" max="9252" width="19.85546875" style="608" bestFit="1" customWidth="1"/>
    <col min="9253" max="9253" width="0" style="608" hidden="1" customWidth="1"/>
    <col min="9254" max="9254" width="12.5703125" style="608" customWidth="1"/>
    <col min="9255" max="9472" width="8.85546875" style="608"/>
    <col min="9473" max="9474" width="0.85546875" style="608" customWidth="1"/>
    <col min="9475" max="9475" width="2.7109375" style="608" customWidth="1"/>
    <col min="9476" max="9476" width="35.140625" style="608" customWidth="1"/>
    <col min="9477" max="9477" width="3" style="608" customWidth="1"/>
    <col min="9478" max="9478" width="15.7109375" style="608" customWidth="1"/>
    <col min="9479" max="9489" width="0" style="608" hidden="1" customWidth="1"/>
    <col min="9490" max="9490" width="14.42578125" style="608" customWidth="1"/>
    <col min="9491" max="9492" width="15.7109375" style="608" customWidth="1"/>
    <col min="9493" max="9503" width="0" style="608" hidden="1" customWidth="1"/>
    <col min="9504" max="9505" width="15.7109375" style="608" customWidth="1"/>
    <col min="9506" max="9506" width="2" style="608" customWidth="1"/>
    <col min="9507" max="9507" width="1.7109375" style="608" customWidth="1"/>
    <col min="9508" max="9508" width="19.85546875" style="608" bestFit="1" customWidth="1"/>
    <col min="9509" max="9509" width="0" style="608" hidden="1" customWidth="1"/>
    <col min="9510" max="9510" width="12.5703125" style="608" customWidth="1"/>
    <col min="9511" max="9728" width="8.85546875" style="608"/>
    <col min="9729" max="9730" width="0.85546875" style="608" customWidth="1"/>
    <col min="9731" max="9731" width="2.7109375" style="608" customWidth="1"/>
    <col min="9732" max="9732" width="35.140625" style="608" customWidth="1"/>
    <col min="9733" max="9733" width="3" style="608" customWidth="1"/>
    <col min="9734" max="9734" width="15.7109375" style="608" customWidth="1"/>
    <col min="9735" max="9745" width="0" style="608" hidden="1" customWidth="1"/>
    <col min="9746" max="9746" width="14.42578125" style="608" customWidth="1"/>
    <col min="9747" max="9748" width="15.7109375" style="608" customWidth="1"/>
    <col min="9749" max="9759" width="0" style="608" hidden="1" customWidth="1"/>
    <col min="9760" max="9761" width="15.7109375" style="608" customWidth="1"/>
    <col min="9762" max="9762" width="2" style="608" customWidth="1"/>
    <col min="9763" max="9763" width="1.7109375" style="608" customWidth="1"/>
    <col min="9764" max="9764" width="19.85546875" style="608" bestFit="1" customWidth="1"/>
    <col min="9765" max="9765" width="0" style="608" hidden="1" customWidth="1"/>
    <col min="9766" max="9766" width="12.5703125" style="608" customWidth="1"/>
    <col min="9767" max="9984" width="8.85546875" style="608"/>
    <col min="9985" max="9986" width="0.85546875" style="608" customWidth="1"/>
    <col min="9987" max="9987" width="2.7109375" style="608" customWidth="1"/>
    <col min="9988" max="9988" width="35.140625" style="608" customWidth="1"/>
    <col min="9989" max="9989" width="3" style="608" customWidth="1"/>
    <col min="9990" max="9990" width="15.7109375" style="608" customWidth="1"/>
    <col min="9991" max="10001" width="0" style="608" hidden="1" customWidth="1"/>
    <col min="10002" max="10002" width="14.42578125" style="608" customWidth="1"/>
    <col min="10003" max="10004" width="15.7109375" style="608" customWidth="1"/>
    <col min="10005" max="10015" width="0" style="608" hidden="1" customWidth="1"/>
    <col min="10016" max="10017" width="15.7109375" style="608" customWidth="1"/>
    <col min="10018" max="10018" width="2" style="608" customWidth="1"/>
    <col min="10019" max="10019" width="1.7109375" style="608" customWidth="1"/>
    <col min="10020" max="10020" width="19.85546875" style="608" bestFit="1" customWidth="1"/>
    <col min="10021" max="10021" width="0" style="608" hidden="1" customWidth="1"/>
    <col min="10022" max="10022" width="12.5703125" style="608" customWidth="1"/>
    <col min="10023" max="10240" width="8.85546875" style="608"/>
    <col min="10241" max="10242" width="0.85546875" style="608" customWidth="1"/>
    <col min="10243" max="10243" width="2.7109375" style="608" customWidth="1"/>
    <col min="10244" max="10244" width="35.140625" style="608" customWidth="1"/>
    <col min="10245" max="10245" width="3" style="608" customWidth="1"/>
    <col min="10246" max="10246" width="15.7109375" style="608" customWidth="1"/>
    <col min="10247" max="10257" width="0" style="608" hidden="1" customWidth="1"/>
    <col min="10258" max="10258" width="14.42578125" style="608" customWidth="1"/>
    <col min="10259" max="10260" width="15.7109375" style="608" customWidth="1"/>
    <col min="10261" max="10271" width="0" style="608" hidden="1" customWidth="1"/>
    <col min="10272" max="10273" width="15.7109375" style="608" customWidth="1"/>
    <col min="10274" max="10274" width="2" style="608" customWidth="1"/>
    <col min="10275" max="10275" width="1.7109375" style="608" customWidth="1"/>
    <col min="10276" max="10276" width="19.85546875" style="608" bestFit="1" customWidth="1"/>
    <col min="10277" max="10277" width="0" style="608" hidden="1" customWidth="1"/>
    <col min="10278" max="10278" width="12.5703125" style="608" customWidth="1"/>
    <col min="10279" max="10496" width="8.85546875" style="608"/>
    <col min="10497" max="10498" width="0.85546875" style="608" customWidth="1"/>
    <col min="10499" max="10499" width="2.7109375" style="608" customWidth="1"/>
    <col min="10500" max="10500" width="35.140625" style="608" customWidth="1"/>
    <col min="10501" max="10501" width="3" style="608" customWidth="1"/>
    <col min="10502" max="10502" width="15.7109375" style="608" customWidth="1"/>
    <col min="10503" max="10513" width="0" style="608" hidden="1" customWidth="1"/>
    <col min="10514" max="10514" width="14.42578125" style="608" customWidth="1"/>
    <col min="10515" max="10516" width="15.7109375" style="608" customWidth="1"/>
    <col min="10517" max="10527" width="0" style="608" hidden="1" customWidth="1"/>
    <col min="10528" max="10529" width="15.7109375" style="608" customWidth="1"/>
    <col min="10530" max="10530" width="2" style="608" customWidth="1"/>
    <col min="10531" max="10531" width="1.7109375" style="608" customWidth="1"/>
    <col min="10532" max="10532" width="19.85546875" style="608" bestFit="1" customWidth="1"/>
    <col min="10533" max="10533" width="0" style="608" hidden="1" customWidth="1"/>
    <col min="10534" max="10534" width="12.5703125" style="608" customWidth="1"/>
    <col min="10535" max="10752" width="8.85546875" style="608"/>
    <col min="10753" max="10754" width="0.85546875" style="608" customWidth="1"/>
    <col min="10755" max="10755" width="2.7109375" style="608" customWidth="1"/>
    <col min="10756" max="10756" width="35.140625" style="608" customWidth="1"/>
    <col min="10757" max="10757" width="3" style="608" customWidth="1"/>
    <col min="10758" max="10758" width="15.7109375" style="608" customWidth="1"/>
    <col min="10759" max="10769" width="0" style="608" hidden="1" customWidth="1"/>
    <col min="10770" max="10770" width="14.42578125" style="608" customWidth="1"/>
    <col min="10771" max="10772" width="15.7109375" style="608" customWidth="1"/>
    <col min="10773" max="10783" width="0" style="608" hidden="1" customWidth="1"/>
    <col min="10784" max="10785" width="15.7109375" style="608" customWidth="1"/>
    <col min="10786" max="10786" width="2" style="608" customWidth="1"/>
    <col min="10787" max="10787" width="1.7109375" style="608" customWidth="1"/>
    <col min="10788" max="10788" width="19.85546875" style="608" bestFit="1" customWidth="1"/>
    <col min="10789" max="10789" width="0" style="608" hidden="1" customWidth="1"/>
    <col min="10790" max="10790" width="12.5703125" style="608" customWidth="1"/>
    <col min="10791" max="11008" width="8.85546875" style="608"/>
    <col min="11009" max="11010" width="0.85546875" style="608" customWidth="1"/>
    <col min="11011" max="11011" width="2.7109375" style="608" customWidth="1"/>
    <col min="11012" max="11012" width="35.140625" style="608" customWidth="1"/>
    <col min="11013" max="11013" width="3" style="608" customWidth="1"/>
    <col min="11014" max="11014" width="15.7109375" style="608" customWidth="1"/>
    <col min="11015" max="11025" width="0" style="608" hidden="1" customWidth="1"/>
    <col min="11026" max="11026" width="14.42578125" style="608" customWidth="1"/>
    <col min="11027" max="11028" width="15.7109375" style="608" customWidth="1"/>
    <col min="11029" max="11039" width="0" style="608" hidden="1" customWidth="1"/>
    <col min="11040" max="11041" width="15.7109375" style="608" customWidth="1"/>
    <col min="11042" max="11042" width="2" style="608" customWidth="1"/>
    <col min="11043" max="11043" width="1.7109375" style="608" customWidth="1"/>
    <col min="11044" max="11044" width="19.85546875" style="608" bestFit="1" customWidth="1"/>
    <col min="11045" max="11045" width="0" style="608" hidden="1" customWidth="1"/>
    <col min="11046" max="11046" width="12.5703125" style="608" customWidth="1"/>
    <col min="11047" max="11264" width="8.85546875" style="608"/>
    <col min="11265" max="11266" width="0.85546875" style="608" customWidth="1"/>
    <col min="11267" max="11267" width="2.7109375" style="608" customWidth="1"/>
    <col min="11268" max="11268" width="35.140625" style="608" customWidth="1"/>
    <col min="11269" max="11269" width="3" style="608" customWidth="1"/>
    <col min="11270" max="11270" width="15.7109375" style="608" customWidth="1"/>
    <col min="11271" max="11281" width="0" style="608" hidden="1" customWidth="1"/>
    <col min="11282" max="11282" width="14.42578125" style="608" customWidth="1"/>
    <col min="11283" max="11284" width="15.7109375" style="608" customWidth="1"/>
    <col min="11285" max="11295" width="0" style="608" hidden="1" customWidth="1"/>
    <col min="11296" max="11297" width="15.7109375" style="608" customWidth="1"/>
    <col min="11298" max="11298" width="2" style="608" customWidth="1"/>
    <col min="11299" max="11299" width="1.7109375" style="608" customWidth="1"/>
    <col min="11300" max="11300" width="19.85546875" style="608" bestFit="1" customWidth="1"/>
    <col min="11301" max="11301" width="0" style="608" hidden="1" customWidth="1"/>
    <col min="11302" max="11302" width="12.5703125" style="608" customWidth="1"/>
    <col min="11303" max="11520" width="8.85546875" style="608"/>
    <col min="11521" max="11522" width="0.85546875" style="608" customWidth="1"/>
    <col min="11523" max="11523" width="2.7109375" style="608" customWidth="1"/>
    <col min="11524" max="11524" width="35.140625" style="608" customWidth="1"/>
    <col min="11525" max="11525" width="3" style="608" customWidth="1"/>
    <col min="11526" max="11526" width="15.7109375" style="608" customWidth="1"/>
    <col min="11527" max="11537" width="0" style="608" hidden="1" customWidth="1"/>
    <col min="11538" max="11538" width="14.42578125" style="608" customWidth="1"/>
    <col min="11539" max="11540" width="15.7109375" style="608" customWidth="1"/>
    <col min="11541" max="11551" width="0" style="608" hidden="1" customWidth="1"/>
    <col min="11552" max="11553" width="15.7109375" style="608" customWidth="1"/>
    <col min="11554" max="11554" width="2" style="608" customWidth="1"/>
    <col min="11555" max="11555" width="1.7109375" style="608" customWidth="1"/>
    <col min="11556" max="11556" width="19.85546875" style="608" bestFit="1" customWidth="1"/>
    <col min="11557" max="11557" width="0" style="608" hidden="1" customWidth="1"/>
    <col min="11558" max="11558" width="12.5703125" style="608" customWidth="1"/>
    <col min="11559" max="11776" width="8.85546875" style="608"/>
    <col min="11777" max="11778" width="0.85546875" style="608" customWidth="1"/>
    <col min="11779" max="11779" width="2.7109375" style="608" customWidth="1"/>
    <col min="11780" max="11780" width="35.140625" style="608" customWidth="1"/>
    <col min="11781" max="11781" width="3" style="608" customWidth="1"/>
    <col min="11782" max="11782" width="15.7109375" style="608" customWidth="1"/>
    <col min="11783" max="11793" width="0" style="608" hidden="1" customWidth="1"/>
    <col min="11794" max="11794" width="14.42578125" style="608" customWidth="1"/>
    <col min="11795" max="11796" width="15.7109375" style="608" customWidth="1"/>
    <col min="11797" max="11807" width="0" style="608" hidden="1" customWidth="1"/>
    <col min="11808" max="11809" width="15.7109375" style="608" customWidth="1"/>
    <col min="11810" max="11810" width="2" style="608" customWidth="1"/>
    <col min="11811" max="11811" width="1.7109375" style="608" customWidth="1"/>
    <col min="11812" max="11812" width="19.85546875" style="608" bestFit="1" customWidth="1"/>
    <col min="11813" max="11813" width="0" style="608" hidden="1" customWidth="1"/>
    <col min="11814" max="11814" width="12.5703125" style="608" customWidth="1"/>
    <col min="11815" max="12032" width="8.85546875" style="608"/>
    <col min="12033" max="12034" width="0.85546875" style="608" customWidth="1"/>
    <col min="12035" max="12035" width="2.7109375" style="608" customWidth="1"/>
    <col min="12036" max="12036" width="35.140625" style="608" customWidth="1"/>
    <col min="12037" max="12037" width="3" style="608" customWidth="1"/>
    <col min="12038" max="12038" width="15.7109375" style="608" customWidth="1"/>
    <col min="12039" max="12049" width="0" style="608" hidden="1" customWidth="1"/>
    <col min="12050" max="12050" width="14.42578125" style="608" customWidth="1"/>
    <col min="12051" max="12052" width="15.7109375" style="608" customWidth="1"/>
    <col min="12053" max="12063" width="0" style="608" hidden="1" customWidth="1"/>
    <col min="12064" max="12065" width="15.7109375" style="608" customWidth="1"/>
    <col min="12066" max="12066" width="2" style="608" customWidth="1"/>
    <col min="12067" max="12067" width="1.7109375" style="608" customWidth="1"/>
    <col min="12068" max="12068" width="19.85546875" style="608" bestFit="1" customWidth="1"/>
    <col min="12069" max="12069" width="0" style="608" hidden="1" customWidth="1"/>
    <col min="12070" max="12070" width="12.5703125" style="608" customWidth="1"/>
    <col min="12071" max="12288" width="8.85546875" style="608"/>
    <col min="12289" max="12290" width="0.85546875" style="608" customWidth="1"/>
    <col min="12291" max="12291" width="2.7109375" style="608" customWidth="1"/>
    <col min="12292" max="12292" width="35.140625" style="608" customWidth="1"/>
    <col min="12293" max="12293" width="3" style="608" customWidth="1"/>
    <col min="12294" max="12294" width="15.7109375" style="608" customWidth="1"/>
    <col min="12295" max="12305" width="0" style="608" hidden="1" customWidth="1"/>
    <col min="12306" max="12306" width="14.42578125" style="608" customWidth="1"/>
    <col min="12307" max="12308" width="15.7109375" style="608" customWidth="1"/>
    <col min="12309" max="12319" width="0" style="608" hidden="1" customWidth="1"/>
    <col min="12320" max="12321" width="15.7109375" style="608" customWidth="1"/>
    <col min="12322" max="12322" width="2" style="608" customWidth="1"/>
    <col min="12323" max="12323" width="1.7109375" style="608" customWidth="1"/>
    <col min="12324" max="12324" width="19.85546875" style="608" bestFit="1" customWidth="1"/>
    <col min="12325" max="12325" width="0" style="608" hidden="1" customWidth="1"/>
    <col min="12326" max="12326" width="12.5703125" style="608" customWidth="1"/>
    <col min="12327" max="12544" width="8.85546875" style="608"/>
    <col min="12545" max="12546" width="0.85546875" style="608" customWidth="1"/>
    <col min="12547" max="12547" width="2.7109375" style="608" customWidth="1"/>
    <col min="12548" max="12548" width="35.140625" style="608" customWidth="1"/>
    <col min="12549" max="12549" width="3" style="608" customWidth="1"/>
    <col min="12550" max="12550" width="15.7109375" style="608" customWidth="1"/>
    <col min="12551" max="12561" width="0" style="608" hidden="1" customWidth="1"/>
    <col min="12562" max="12562" width="14.42578125" style="608" customWidth="1"/>
    <col min="12563" max="12564" width="15.7109375" style="608" customWidth="1"/>
    <col min="12565" max="12575" width="0" style="608" hidden="1" customWidth="1"/>
    <col min="12576" max="12577" width="15.7109375" style="608" customWidth="1"/>
    <col min="12578" max="12578" width="2" style="608" customWidth="1"/>
    <col min="12579" max="12579" width="1.7109375" style="608" customWidth="1"/>
    <col min="12580" max="12580" width="19.85546875" style="608" bestFit="1" customWidth="1"/>
    <col min="12581" max="12581" width="0" style="608" hidden="1" customWidth="1"/>
    <col min="12582" max="12582" width="12.5703125" style="608" customWidth="1"/>
    <col min="12583" max="12800" width="8.85546875" style="608"/>
    <col min="12801" max="12802" width="0.85546875" style="608" customWidth="1"/>
    <col min="12803" max="12803" width="2.7109375" style="608" customWidth="1"/>
    <col min="12804" max="12804" width="35.140625" style="608" customWidth="1"/>
    <col min="12805" max="12805" width="3" style="608" customWidth="1"/>
    <col min="12806" max="12806" width="15.7109375" style="608" customWidth="1"/>
    <col min="12807" max="12817" width="0" style="608" hidden="1" customWidth="1"/>
    <col min="12818" max="12818" width="14.42578125" style="608" customWidth="1"/>
    <col min="12819" max="12820" width="15.7109375" style="608" customWidth="1"/>
    <col min="12821" max="12831" width="0" style="608" hidden="1" customWidth="1"/>
    <col min="12832" max="12833" width="15.7109375" style="608" customWidth="1"/>
    <col min="12834" max="12834" width="2" style="608" customWidth="1"/>
    <col min="12835" max="12835" width="1.7109375" style="608" customWidth="1"/>
    <col min="12836" max="12836" width="19.85546875" style="608" bestFit="1" customWidth="1"/>
    <col min="12837" max="12837" width="0" style="608" hidden="1" customWidth="1"/>
    <col min="12838" max="12838" width="12.5703125" style="608" customWidth="1"/>
    <col min="12839" max="13056" width="8.85546875" style="608"/>
    <col min="13057" max="13058" width="0.85546875" style="608" customWidth="1"/>
    <col min="13059" max="13059" width="2.7109375" style="608" customWidth="1"/>
    <col min="13060" max="13060" width="35.140625" style="608" customWidth="1"/>
    <col min="13061" max="13061" width="3" style="608" customWidth="1"/>
    <col min="13062" max="13062" width="15.7109375" style="608" customWidth="1"/>
    <col min="13063" max="13073" width="0" style="608" hidden="1" customWidth="1"/>
    <col min="13074" max="13074" width="14.42578125" style="608" customWidth="1"/>
    <col min="13075" max="13076" width="15.7109375" style="608" customWidth="1"/>
    <col min="13077" max="13087" width="0" style="608" hidden="1" customWidth="1"/>
    <col min="13088" max="13089" width="15.7109375" style="608" customWidth="1"/>
    <col min="13090" max="13090" width="2" style="608" customWidth="1"/>
    <col min="13091" max="13091" width="1.7109375" style="608" customWidth="1"/>
    <col min="13092" max="13092" width="19.85546875" style="608" bestFit="1" customWidth="1"/>
    <col min="13093" max="13093" width="0" style="608" hidden="1" customWidth="1"/>
    <col min="13094" max="13094" width="12.5703125" style="608" customWidth="1"/>
    <col min="13095" max="13312" width="8.85546875" style="608"/>
    <col min="13313" max="13314" width="0.85546875" style="608" customWidth="1"/>
    <col min="13315" max="13315" width="2.7109375" style="608" customWidth="1"/>
    <col min="13316" max="13316" width="35.140625" style="608" customWidth="1"/>
    <col min="13317" max="13317" width="3" style="608" customWidth="1"/>
    <col min="13318" max="13318" width="15.7109375" style="608" customWidth="1"/>
    <col min="13319" max="13329" width="0" style="608" hidden="1" customWidth="1"/>
    <col min="13330" max="13330" width="14.42578125" style="608" customWidth="1"/>
    <col min="13331" max="13332" width="15.7109375" style="608" customWidth="1"/>
    <col min="13333" max="13343" width="0" style="608" hidden="1" customWidth="1"/>
    <col min="13344" max="13345" width="15.7109375" style="608" customWidth="1"/>
    <col min="13346" max="13346" width="2" style="608" customWidth="1"/>
    <col min="13347" max="13347" width="1.7109375" style="608" customWidth="1"/>
    <col min="13348" max="13348" width="19.85546875" style="608" bestFit="1" customWidth="1"/>
    <col min="13349" max="13349" width="0" style="608" hidden="1" customWidth="1"/>
    <col min="13350" max="13350" width="12.5703125" style="608" customWidth="1"/>
    <col min="13351" max="13568" width="8.85546875" style="608"/>
    <col min="13569" max="13570" width="0.85546875" style="608" customWidth="1"/>
    <col min="13571" max="13571" width="2.7109375" style="608" customWidth="1"/>
    <col min="13572" max="13572" width="35.140625" style="608" customWidth="1"/>
    <col min="13573" max="13573" width="3" style="608" customWidth="1"/>
    <col min="13574" max="13574" width="15.7109375" style="608" customWidth="1"/>
    <col min="13575" max="13585" width="0" style="608" hidden="1" customWidth="1"/>
    <col min="13586" max="13586" width="14.42578125" style="608" customWidth="1"/>
    <col min="13587" max="13588" width="15.7109375" style="608" customWidth="1"/>
    <col min="13589" max="13599" width="0" style="608" hidden="1" customWidth="1"/>
    <col min="13600" max="13601" width="15.7109375" style="608" customWidth="1"/>
    <col min="13602" max="13602" width="2" style="608" customWidth="1"/>
    <col min="13603" max="13603" width="1.7109375" style="608" customWidth="1"/>
    <col min="13604" max="13604" width="19.85546875" style="608" bestFit="1" customWidth="1"/>
    <col min="13605" max="13605" width="0" style="608" hidden="1" customWidth="1"/>
    <col min="13606" max="13606" width="12.5703125" style="608" customWidth="1"/>
    <col min="13607" max="13824" width="8.85546875" style="608"/>
    <col min="13825" max="13826" width="0.85546875" style="608" customWidth="1"/>
    <col min="13827" max="13827" width="2.7109375" style="608" customWidth="1"/>
    <col min="13828" max="13828" width="35.140625" style="608" customWidth="1"/>
    <col min="13829" max="13829" width="3" style="608" customWidth="1"/>
    <col min="13830" max="13830" width="15.7109375" style="608" customWidth="1"/>
    <col min="13831" max="13841" width="0" style="608" hidden="1" customWidth="1"/>
    <col min="13842" max="13842" width="14.42578125" style="608" customWidth="1"/>
    <col min="13843" max="13844" width="15.7109375" style="608" customWidth="1"/>
    <col min="13845" max="13855" width="0" style="608" hidden="1" customWidth="1"/>
    <col min="13856" max="13857" width="15.7109375" style="608" customWidth="1"/>
    <col min="13858" max="13858" width="2" style="608" customWidth="1"/>
    <col min="13859" max="13859" width="1.7109375" style="608" customWidth="1"/>
    <col min="13860" max="13860" width="19.85546875" style="608" bestFit="1" customWidth="1"/>
    <col min="13861" max="13861" width="0" style="608" hidden="1" customWidth="1"/>
    <col min="13862" max="13862" width="12.5703125" style="608" customWidth="1"/>
    <col min="13863" max="14080" width="8.85546875" style="608"/>
    <col min="14081" max="14082" width="0.85546875" style="608" customWidth="1"/>
    <col min="14083" max="14083" width="2.7109375" style="608" customWidth="1"/>
    <col min="14084" max="14084" width="35.140625" style="608" customWidth="1"/>
    <col min="14085" max="14085" width="3" style="608" customWidth="1"/>
    <col min="14086" max="14086" width="15.7109375" style="608" customWidth="1"/>
    <col min="14087" max="14097" width="0" style="608" hidden="1" customWidth="1"/>
    <col min="14098" max="14098" width="14.42578125" style="608" customWidth="1"/>
    <col min="14099" max="14100" width="15.7109375" style="608" customWidth="1"/>
    <col min="14101" max="14111" width="0" style="608" hidden="1" customWidth="1"/>
    <col min="14112" max="14113" width="15.7109375" style="608" customWidth="1"/>
    <col min="14114" max="14114" width="2" style="608" customWidth="1"/>
    <col min="14115" max="14115" width="1.7109375" style="608" customWidth="1"/>
    <col min="14116" max="14116" width="19.85546875" style="608" bestFit="1" customWidth="1"/>
    <col min="14117" max="14117" width="0" style="608" hidden="1" customWidth="1"/>
    <col min="14118" max="14118" width="12.5703125" style="608" customWidth="1"/>
    <col min="14119" max="14336" width="8.85546875" style="608"/>
    <col min="14337" max="14338" width="0.85546875" style="608" customWidth="1"/>
    <col min="14339" max="14339" width="2.7109375" style="608" customWidth="1"/>
    <col min="14340" max="14340" width="35.140625" style="608" customWidth="1"/>
    <col min="14341" max="14341" width="3" style="608" customWidth="1"/>
    <col min="14342" max="14342" width="15.7109375" style="608" customWidth="1"/>
    <col min="14343" max="14353" width="0" style="608" hidden="1" customWidth="1"/>
    <col min="14354" max="14354" width="14.42578125" style="608" customWidth="1"/>
    <col min="14355" max="14356" width="15.7109375" style="608" customWidth="1"/>
    <col min="14357" max="14367" width="0" style="608" hidden="1" customWidth="1"/>
    <col min="14368" max="14369" width="15.7109375" style="608" customWidth="1"/>
    <col min="14370" max="14370" width="2" style="608" customWidth="1"/>
    <col min="14371" max="14371" width="1.7109375" style="608" customWidth="1"/>
    <col min="14372" max="14372" width="19.85546875" style="608" bestFit="1" customWidth="1"/>
    <col min="14373" max="14373" width="0" style="608" hidden="1" customWidth="1"/>
    <col min="14374" max="14374" width="12.5703125" style="608" customWidth="1"/>
    <col min="14375" max="14592" width="8.85546875" style="608"/>
    <col min="14593" max="14594" width="0.85546875" style="608" customWidth="1"/>
    <col min="14595" max="14595" width="2.7109375" style="608" customWidth="1"/>
    <col min="14596" max="14596" width="35.140625" style="608" customWidth="1"/>
    <col min="14597" max="14597" width="3" style="608" customWidth="1"/>
    <col min="14598" max="14598" width="15.7109375" style="608" customWidth="1"/>
    <col min="14599" max="14609" width="0" style="608" hidden="1" customWidth="1"/>
    <col min="14610" max="14610" width="14.42578125" style="608" customWidth="1"/>
    <col min="14611" max="14612" width="15.7109375" style="608" customWidth="1"/>
    <col min="14613" max="14623" width="0" style="608" hidden="1" customWidth="1"/>
    <col min="14624" max="14625" width="15.7109375" style="608" customWidth="1"/>
    <col min="14626" max="14626" width="2" style="608" customWidth="1"/>
    <col min="14627" max="14627" width="1.7109375" style="608" customWidth="1"/>
    <col min="14628" max="14628" width="19.85546875" style="608" bestFit="1" customWidth="1"/>
    <col min="14629" max="14629" width="0" style="608" hidden="1" customWidth="1"/>
    <col min="14630" max="14630" width="12.5703125" style="608" customWidth="1"/>
    <col min="14631" max="14848" width="8.85546875" style="608"/>
    <col min="14849" max="14850" width="0.85546875" style="608" customWidth="1"/>
    <col min="14851" max="14851" width="2.7109375" style="608" customWidth="1"/>
    <col min="14852" max="14852" width="35.140625" style="608" customWidth="1"/>
    <col min="14853" max="14853" width="3" style="608" customWidth="1"/>
    <col min="14854" max="14854" width="15.7109375" style="608" customWidth="1"/>
    <col min="14855" max="14865" width="0" style="608" hidden="1" customWidth="1"/>
    <col min="14866" max="14866" width="14.42578125" style="608" customWidth="1"/>
    <col min="14867" max="14868" width="15.7109375" style="608" customWidth="1"/>
    <col min="14869" max="14879" width="0" style="608" hidden="1" customWidth="1"/>
    <col min="14880" max="14881" width="15.7109375" style="608" customWidth="1"/>
    <col min="14882" max="14882" width="2" style="608" customWidth="1"/>
    <col min="14883" max="14883" width="1.7109375" style="608" customWidth="1"/>
    <col min="14884" max="14884" width="19.85546875" style="608" bestFit="1" customWidth="1"/>
    <col min="14885" max="14885" width="0" style="608" hidden="1" customWidth="1"/>
    <col min="14886" max="14886" width="12.5703125" style="608" customWidth="1"/>
    <col min="14887" max="15104" width="8.85546875" style="608"/>
    <col min="15105" max="15106" width="0.85546875" style="608" customWidth="1"/>
    <col min="15107" max="15107" width="2.7109375" style="608" customWidth="1"/>
    <col min="15108" max="15108" width="35.140625" style="608" customWidth="1"/>
    <col min="15109" max="15109" width="3" style="608" customWidth="1"/>
    <col min="15110" max="15110" width="15.7109375" style="608" customWidth="1"/>
    <col min="15111" max="15121" width="0" style="608" hidden="1" customWidth="1"/>
    <col min="15122" max="15122" width="14.42578125" style="608" customWidth="1"/>
    <col min="15123" max="15124" width="15.7109375" style="608" customWidth="1"/>
    <col min="15125" max="15135" width="0" style="608" hidden="1" customWidth="1"/>
    <col min="15136" max="15137" width="15.7109375" style="608" customWidth="1"/>
    <col min="15138" max="15138" width="2" style="608" customWidth="1"/>
    <col min="15139" max="15139" width="1.7109375" style="608" customWidth="1"/>
    <col min="15140" max="15140" width="19.85546875" style="608" bestFit="1" customWidth="1"/>
    <col min="15141" max="15141" width="0" style="608" hidden="1" customWidth="1"/>
    <col min="15142" max="15142" width="12.5703125" style="608" customWidth="1"/>
    <col min="15143" max="15360" width="8.85546875" style="608"/>
    <col min="15361" max="15362" width="0.85546875" style="608" customWidth="1"/>
    <col min="15363" max="15363" width="2.7109375" style="608" customWidth="1"/>
    <col min="15364" max="15364" width="35.140625" style="608" customWidth="1"/>
    <col min="15365" max="15365" width="3" style="608" customWidth="1"/>
    <col min="15366" max="15366" width="15.7109375" style="608" customWidth="1"/>
    <col min="15367" max="15377" width="0" style="608" hidden="1" customWidth="1"/>
    <col min="15378" max="15378" width="14.42578125" style="608" customWidth="1"/>
    <col min="15379" max="15380" width="15.7109375" style="608" customWidth="1"/>
    <col min="15381" max="15391" width="0" style="608" hidden="1" customWidth="1"/>
    <col min="15392" max="15393" width="15.7109375" style="608" customWidth="1"/>
    <col min="15394" max="15394" width="2" style="608" customWidth="1"/>
    <col min="15395" max="15395" width="1.7109375" style="608" customWidth="1"/>
    <col min="15396" max="15396" width="19.85546875" style="608" bestFit="1" customWidth="1"/>
    <col min="15397" max="15397" width="0" style="608" hidden="1" customWidth="1"/>
    <col min="15398" max="15398" width="12.5703125" style="608" customWidth="1"/>
    <col min="15399" max="15616" width="8.85546875" style="608"/>
    <col min="15617" max="15618" width="0.85546875" style="608" customWidth="1"/>
    <col min="15619" max="15619" width="2.7109375" style="608" customWidth="1"/>
    <col min="15620" max="15620" width="35.140625" style="608" customWidth="1"/>
    <col min="15621" max="15621" width="3" style="608" customWidth="1"/>
    <col min="15622" max="15622" width="15.7109375" style="608" customWidth="1"/>
    <col min="15623" max="15633" width="0" style="608" hidden="1" customWidth="1"/>
    <col min="15634" max="15634" width="14.42578125" style="608" customWidth="1"/>
    <col min="15635" max="15636" width="15.7109375" style="608" customWidth="1"/>
    <col min="15637" max="15647" width="0" style="608" hidden="1" customWidth="1"/>
    <col min="15648" max="15649" width="15.7109375" style="608" customWidth="1"/>
    <col min="15650" max="15650" width="2" style="608" customWidth="1"/>
    <col min="15651" max="15651" width="1.7109375" style="608" customWidth="1"/>
    <col min="15652" max="15652" width="19.85546875" style="608" bestFit="1" customWidth="1"/>
    <col min="15653" max="15653" width="0" style="608" hidden="1" customWidth="1"/>
    <col min="15654" max="15654" width="12.5703125" style="608" customWidth="1"/>
    <col min="15655" max="15872" width="8.85546875" style="608"/>
    <col min="15873" max="15874" width="0.85546875" style="608" customWidth="1"/>
    <col min="15875" max="15875" width="2.7109375" style="608" customWidth="1"/>
    <col min="15876" max="15876" width="35.140625" style="608" customWidth="1"/>
    <col min="15877" max="15877" width="3" style="608" customWidth="1"/>
    <col min="15878" max="15878" width="15.7109375" style="608" customWidth="1"/>
    <col min="15879" max="15889" width="0" style="608" hidden="1" customWidth="1"/>
    <col min="15890" max="15890" width="14.42578125" style="608" customWidth="1"/>
    <col min="15891" max="15892" width="15.7109375" style="608" customWidth="1"/>
    <col min="15893" max="15903" width="0" style="608" hidden="1" customWidth="1"/>
    <col min="15904" max="15905" width="15.7109375" style="608" customWidth="1"/>
    <col min="15906" max="15906" width="2" style="608" customWidth="1"/>
    <col min="15907" max="15907" width="1.7109375" style="608" customWidth="1"/>
    <col min="15908" max="15908" width="19.85546875" style="608" bestFit="1" customWidth="1"/>
    <col min="15909" max="15909" width="0" style="608" hidden="1" customWidth="1"/>
    <col min="15910" max="15910" width="12.5703125" style="608" customWidth="1"/>
    <col min="15911" max="16128" width="8.85546875" style="608"/>
    <col min="16129" max="16130" width="0.85546875" style="608" customWidth="1"/>
    <col min="16131" max="16131" width="2.7109375" style="608" customWidth="1"/>
    <col min="16132" max="16132" width="35.140625" style="608" customWidth="1"/>
    <col min="16133" max="16133" width="3" style="608" customWidth="1"/>
    <col min="16134" max="16134" width="15.7109375" style="608" customWidth="1"/>
    <col min="16135" max="16145" width="0" style="608" hidden="1" customWidth="1"/>
    <col min="16146" max="16146" width="14.42578125" style="608" customWidth="1"/>
    <col min="16147" max="16148" width="15.7109375" style="608" customWidth="1"/>
    <col min="16149" max="16159" width="0" style="608" hidden="1" customWidth="1"/>
    <col min="16160" max="16161" width="15.7109375" style="608" customWidth="1"/>
    <col min="16162" max="16162" width="2" style="608" customWidth="1"/>
    <col min="16163" max="16163" width="1.7109375" style="608" customWidth="1"/>
    <col min="16164" max="16164" width="19.85546875" style="608" bestFit="1" customWidth="1"/>
    <col min="16165" max="16165" width="0" style="608" hidden="1" customWidth="1"/>
    <col min="16166" max="16166" width="12.5703125" style="608" customWidth="1"/>
    <col min="16167" max="16384" width="8.85546875" style="608"/>
  </cols>
  <sheetData>
    <row r="1" spans="1:37" ht="15.75" x14ac:dyDescent="0.25">
      <c r="A1" s="603"/>
      <c r="B1" s="603"/>
      <c r="C1" s="604" t="s">
        <v>552</v>
      </c>
      <c r="D1" s="605"/>
      <c r="E1" s="606"/>
      <c r="F1" s="607"/>
      <c r="G1" s="607"/>
      <c r="H1" s="607"/>
      <c r="I1" s="607"/>
      <c r="J1" s="607"/>
      <c r="K1" s="607"/>
      <c r="L1" s="607"/>
      <c r="M1" s="607"/>
      <c r="N1" s="607"/>
      <c r="O1" s="607"/>
      <c r="P1" s="607"/>
      <c r="Q1" s="607"/>
      <c r="R1" s="607"/>
      <c r="S1" s="607"/>
      <c r="T1" s="606"/>
      <c r="U1" s="606"/>
      <c r="V1" s="606"/>
      <c r="W1" s="606"/>
      <c r="X1" s="606"/>
      <c r="Y1" s="606"/>
      <c r="Z1" s="606"/>
      <c r="AA1" s="606"/>
      <c r="AB1" s="606"/>
      <c r="AC1" s="606"/>
      <c r="AD1" s="606"/>
      <c r="AE1" s="606"/>
      <c r="AF1" s="606"/>
      <c r="AG1" s="607"/>
      <c r="AH1" s="603"/>
      <c r="AI1" s="603"/>
    </row>
    <row r="2" spans="1:37" x14ac:dyDescent="0.2">
      <c r="A2" s="603"/>
      <c r="B2" s="603"/>
      <c r="C2" s="433"/>
      <c r="D2" s="609"/>
      <c r="E2" s="523"/>
      <c r="F2" s="748" t="s">
        <v>0</v>
      </c>
      <c r="G2" s="793"/>
      <c r="H2" s="793"/>
      <c r="I2" s="793"/>
      <c r="J2" s="793"/>
      <c r="K2" s="793"/>
      <c r="L2" s="793"/>
      <c r="M2" s="793"/>
      <c r="N2" s="793"/>
      <c r="O2" s="793"/>
      <c r="P2" s="793"/>
      <c r="Q2" s="793"/>
      <c r="R2" s="793"/>
      <c r="S2" s="794"/>
      <c r="T2" s="748" t="s">
        <v>1</v>
      </c>
      <c r="U2" s="793"/>
      <c r="V2" s="793"/>
      <c r="W2" s="793"/>
      <c r="X2" s="793"/>
      <c r="Y2" s="793"/>
      <c r="Z2" s="793"/>
      <c r="AA2" s="793"/>
      <c r="AB2" s="793"/>
      <c r="AC2" s="793"/>
      <c r="AD2" s="793"/>
      <c r="AE2" s="793"/>
      <c r="AF2" s="793"/>
      <c r="AG2" s="794"/>
      <c r="AH2" s="610"/>
      <c r="AI2" s="603"/>
    </row>
    <row r="3" spans="1:37" x14ac:dyDescent="0.2">
      <c r="A3" s="603"/>
      <c r="B3" s="603"/>
      <c r="C3" s="5"/>
      <c r="D3" s="239"/>
      <c r="E3" s="527"/>
      <c r="F3" s="611" t="s">
        <v>2</v>
      </c>
      <c r="G3" s="528" t="s">
        <v>3</v>
      </c>
      <c r="H3" s="612" t="s">
        <v>4</v>
      </c>
      <c r="I3" s="528" t="s">
        <v>5</v>
      </c>
      <c r="J3" s="612" t="s">
        <v>6</v>
      </c>
      <c r="K3" s="528" t="s">
        <v>7</v>
      </c>
      <c r="L3" s="612" t="s">
        <v>8</v>
      </c>
      <c r="M3" s="528" t="s">
        <v>9</v>
      </c>
      <c r="N3" s="612" t="s">
        <v>10</v>
      </c>
      <c r="O3" s="528" t="s">
        <v>11</v>
      </c>
      <c r="P3" s="612" t="s">
        <v>12</v>
      </c>
      <c r="Q3" s="528" t="s">
        <v>13</v>
      </c>
      <c r="R3" s="612" t="s">
        <v>14</v>
      </c>
      <c r="S3" s="612" t="s">
        <v>15</v>
      </c>
      <c r="T3" s="528" t="s">
        <v>16</v>
      </c>
      <c r="U3" s="528" t="s">
        <v>3</v>
      </c>
      <c r="V3" s="613" t="s">
        <v>4</v>
      </c>
      <c r="W3" s="528" t="s">
        <v>5</v>
      </c>
      <c r="X3" s="527" t="s">
        <v>6</v>
      </c>
      <c r="Y3" s="528" t="s">
        <v>7</v>
      </c>
      <c r="Z3" s="527" t="s">
        <v>8</v>
      </c>
      <c r="AA3" s="528" t="s">
        <v>9</v>
      </c>
      <c r="AB3" s="527" t="s">
        <v>10</v>
      </c>
      <c r="AC3" s="528" t="s">
        <v>11</v>
      </c>
      <c r="AD3" s="527" t="s">
        <v>12</v>
      </c>
      <c r="AE3" s="528" t="s">
        <v>13</v>
      </c>
      <c r="AF3" s="527" t="s">
        <v>14</v>
      </c>
      <c r="AG3" s="612" t="s">
        <v>15</v>
      </c>
      <c r="AH3" s="610"/>
      <c r="AI3" s="603"/>
    </row>
    <row r="4" spans="1:37" x14ac:dyDescent="0.2">
      <c r="A4" s="603"/>
      <c r="B4" s="603"/>
      <c r="C4" s="614" t="s">
        <v>17</v>
      </c>
      <c r="D4" s="303"/>
      <c r="E4" s="534"/>
      <c r="F4" s="535" t="s">
        <v>19</v>
      </c>
      <c r="G4" s="536"/>
      <c r="H4" s="615"/>
      <c r="I4" s="536"/>
      <c r="J4" s="615"/>
      <c r="K4" s="536"/>
      <c r="L4" s="615"/>
      <c r="M4" s="536"/>
      <c r="N4" s="615"/>
      <c r="O4" s="536"/>
      <c r="P4" s="615"/>
      <c r="Q4" s="536"/>
      <c r="R4" s="615"/>
      <c r="S4" s="615"/>
      <c r="T4" s="536" t="s">
        <v>34</v>
      </c>
      <c r="U4" s="536"/>
      <c r="V4" s="616"/>
      <c r="W4" s="536"/>
      <c r="X4" s="534"/>
      <c r="Y4" s="536"/>
      <c r="Z4" s="534"/>
      <c r="AA4" s="536"/>
      <c r="AB4" s="534"/>
      <c r="AC4" s="536"/>
      <c r="AD4" s="534"/>
      <c r="AE4" s="536"/>
      <c r="AF4" s="534"/>
      <c r="AG4" s="615"/>
      <c r="AH4" s="610"/>
      <c r="AI4" s="603"/>
    </row>
    <row r="5" spans="1:37" x14ac:dyDescent="0.2">
      <c r="A5" s="603"/>
      <c r="B5" s="603"/>
      <c r="C5" s="5"/>
      <c r="D5" s="195"/>
      <c r="E5" s="527"/>
      <c r="F5" s="529"/>
      <c r="G5" s="529"/>
      <c r="H5" s="617"/>
      <c r="I5" s="529"/>
      <c r="J5" s="527"/>
      <c r="K5" s="529"/>
      <c r="L5" s="527"/>
      <c r="M5" s="529"/>
      <c r="N5" s="527"/>
      <c r="O5" s="529"/>
      <c r="P5" s="527"/>
      <c r="Q5" s="529"/>
      <c r="R5" s="527"/>
      <c r="S5" s="618"/>
      <c r="T5" s="529"/>
      <c r="U5" s="529"/>
      <c r="V5" s="617"/>
      <c r="W5" s="529"/>
      <c r="X5" s="527"/>
      <c r="Y5" s="529"/>
      <c r="Z5" s="527"/>
      <c r="AA5" s="529"/>
      <c r="AB5" s="527"/>
      <c r="AC5" s="529"/>
      <c r="AD5" s="527"/>
      <c r="AE5" s="529"/>
      <c r="AF5" s="527"/>
      <c r="AG5" s="618"/>
      <c r="AH5" s="610"/>
      <c r="AI5" s="603"/>
    </row>
    <row r="6" spans="1:37" x14ac:dyDescent="0.2">
      <c r="A6" s="603"/>
      <c r="B6" s="603"/>
      <c r="C6" s="619" t="s">
        <v>553</v>
      </c>
      <c r="D6" s="239"/>
      <c r="E6" s="545"/>
      <c r="F6" s="618">
        <f>SUM(F7:F38)</f>
        <v>25590572</v>
      </c>
      <c r="G6" s="618">
        <f>SUM(G7:G38)</f>
        <v>1236489</v>
      </c>
      <c r="H6" s="618">
        <f t="shared" ref="H6:R6" si="0">SUM(H7:H38)</f>
        <v>2807140</v>
      </c>
      <c r="I6" s="618">
        <f>SUM(I7:I38)</f>
        <v>3319954</v>
      </c>
      <c r="J6" s="618">
        <f>SUM(J7:J38)</f>
        <v>3550323</v>
      </c>
      <c r="K6" s="618">
        <f t="shared" si="0"/>
        <v>3161507</v>
      </c>
      <c r="L6" s="618">
        <f>SUM(L7:L38)</f>
        <v>1941577</v>
      </c>
      <c r="M6" s="618">
        <f t="shared" si="0"/>
        <v>2581412</v>
      </c>
      <c r="N6" s="618">
        <f t="shared" si="0"/>
        <v>900558</v>
      </c>
      <c r="O6" s="618">
        <f>SUM(O7:O38)</f>
        <v>2698953</v>
      </c>
      <c r="P6" s="618">
        <f>SUM(P7:P38)</f>
        <v>1360720</v>
      </c>
      <c r="Q6" s="618">
        <f t="shared" si="0"/>
        <v>574224</v>
      </c>
      <c r="R6" s="618">
        <f t="shared" si="0"/>
        <v>1637061</v>
      </c>
      <c r="S6" s="618">
        <f t="shared" ref="S6:AF6" si="1">SUM(S7:S38)</f>
        <v>25769918</v>
      </c>
      <c r="T6" s="618">
        <f t="shared" si="1"/>
        <v>12801333</v>
      </c>
      <c r="U6" s="618">
        <f t="shared" si="1"/>
        <v>1191518</v>
      </c>
      <c r="V6" s="618">
        <f t="shared" si="1"/>
        <v>5522378</v>
      </c>
      <c r="W6" s="618">
        <f t="shared" si="1"/>
        <v>193328</v>
      </c>
      <c r="X6" s="618">
        <f t="shared" si="1"/>
        <v>236828</v>
      </c>
      <c r="Y6" s="618">
        <f t="shared" si="1"/>
        <v>536881</v>
      </c>
      <c r="Z6" s="618">
        <f t="shared" si="1"/>
        <v>309645</v>
      </c>
      <c r="AA6" s="618">
        <f t="shared" si="1"/>
        <v>149579</v>
      </c>
      <c r="AB6" s="618">
        <f t="shared" si="1"/>
        <v>389977</v>
      </c>
      <c r="AC6" s="618">
        <f t="shared" si="1"/>
        <v>143285</v>
      </c>
      <c r="AD6" s="618">
        <f t="shared" si="1"/>
        <v>307553</v>
      </c>
      <c r="AE6" s="618">
        <f t="shared" si="1"/>
        <v>558415</v>
      </c>
      <c r="AF6" s="618">
        <f t="shared" si="1"/>
        <v>3261946</v>
      </c>
      <c r="AG6" s="618">
        <f>SUM(AG7:AG38)</f>
        <v>12801333</v>
      </c>
      <c r="AH6" s="620"/>
      <c r="AI6" s="603"/>
      <c r="AJ6" s="621"/>
      <c r="AK6" s="621"/>
    </row>
    <row r="7" spans="1:37" ht="12" hidden="1" customHeight="1" x14ac:dyDescent="0.2">
      <c r="A7" s="603"/>
      <c r="B7" s="603"/>
      <c r="C7" s="619"/>
      <c r="D7" s="510" t="s">
        <v>554</v>
      </c>
      <c r="E7" s="558"/>
      <c r="F7" s="622">
        <v>0</v>
      </c>
      <c r="G7" s="622">
        <v>0</v>
      </c>
      <c r="H7" s="622">
        <v>0</v>
      </c>
      <c r="I7" s="622">
        <v>0</v>
      </c>
      <c r="J7" s="622">
        <v>0</v>
      </c>
      <c r="K7" s="622">
        <v>0</v>
      </c>
      <c r="L7" s="622">
        <v>0</v>
      </c>
      <c r="M7" s="622">
        <v>0</v>
      </c>
      <c r="N7" s="622">
        <v>0</v>
      </c>
      <c r="O7" s="622">
        <v>0</v>
      </c>
      <c r="P7" s="622">
        <v>0</v>
      </c>
      <c r="Q7" s="622">
        <v>0</v>
      </c>
      <c r="R7" s="622">
        <v>0</v>
      </c>
      <c r="S7" s="17">
        <f>SUM(G7:R7)</f>
        <v>0</v>
      </c>
      <c r="T7" s="622">
        <v>0</v>
      </c>
      <c r="U7" s="622">
        <v>0</v>
      </c>
      <c r="V7" s="622">
        <v>0</v>
      </c>
      <c r="W7" s="622">
        <v>0</v>
      </c>
      <c r="X7" s="622">
        <v>0</v>
      </c>
      <c r="Y7" s="622">
        <v>0</v>
      </c>
      <c r="Z7" s="622">
        <v>0</v>
      </c>
      <c r="AA7" s="622">
        <v>0</v>
      </c>
      <c r="AB7" s="622">
        <v>0</v>
      </c>
      <c r="AC7" s="622">
        <v>0</v>
      </c>
      <c r="AD7" s="622">
        <v>0</v>
      </c>
      <c r="AE7" s="622">
        <v>0</v>
      </c>
      <c r="AF7" s="622">
        <v>0</v>
      </c>
      <c r="AG7" s="17">
        <f t="shared" ref="AG7:AG20" si="2">SUM(U7:U7)</f>
        <v>0</v>
      </c>
      <c r="AH7" s="623"/>
      <c r="AI7" s="603"/>
      <c r="AJ7" s="621"/>
      <c r="AK7" s="621"/>
    </row>
    <row r="8" spans="1:37" ht="12.75" hidden="1" customHeight="1" x14ac:dyDescent="0.2">
      <c r="A8" s="603"/>
      <c r="B8" s="603"/>
      <c r="C8" s="619"/>
      <c r="D8" s="267" t="s">
        <v>555</v>
      </c>
      <c r="E8" s="558"/>
      <c r="F8" s="622">
        <v>0</v>
      </c>
      <c r="G8" s="622">
        <v>0</v>
      </c>
      <c r="H8" s="622">
        <v>0</v>
      </c>
      <c r="I8" s="622">
        <v>0</v>
      </c>
      <c r="J8" s="622">
        <v>0</v>
      </c>
      <c r="K8" s="622">
        <v>0</v>
      </c>
      <c r="L8" s="622">
        <v>0</v>
      </c>
      <c r="M8" s="622">
        <v>0</v>
      </c>
      <c r="N8" s="622">
        <v>0</v>
      </c>
      <c r="O8" s="622">
        <v>0</v>
      </c>
      <c r="P8" s="622">
        <v>0</v>
      </c>
      <c r="Q8" s="622">
        <v>0</v>
      </c>
      <c r="R8" s="622">
        <v>0</v>
      </c>
      <c r="S8" s="17">
        <f t="shared" ref="S8:S34" si="3">SUM(G8:R8)</f>
        <v>0</v>
      </c>
      <c r="T8" s="622">
        <v>0</v>
      </c>
      <c r="U8" s="622">
        <v>0</v>
      </c>
      <c r="V8" s="622">
        <v>0</v>
      </c>
      <c r="W8" s="622">
        <v>0</v>
      </c>
      <c r="X8" s="622">
        <v>0</v>
      </c>
      <c r="Y8" s="622">
        <v>0</v>
      </c>
      <c r="Z8" s="622">
        <v>0</v>
      </c>
      <c r="AA8" s="622">
        <v>0</v>
      </c>
      <c r="AB8" s="622">
        <v>0</v>
      </c>
      <c r="AC8" s="622">
        <v>0</v>
      </c>
      <c r="AD8" s="622">
        <v>0</v>
      </c>
      <c r="AE8" s="622">
        <v>0</v>
      </c>
      <c r="AF8" s="622">
        <v>0</v>
      </c>
      <c r="AG8" s="17">
        <f t="shared" si="2"/>
        <v>0</v>
      </c>
      <c r="AH8" s="623"/>
      <c r="AI8" s="603"/>
      <c r="AJ8" s="621"/>
      <c r="AK8" s="621"/>
    </row>
    <row r="9" spans="1:37" ht="12.75" hidden="1" customHeight="1" x14ac:dyDescent="0.2">
      <c r="A9" s="603"/>
      <c r="B9" s="603"/>
      <c r="C9" s="619"/>
      <c r="D9" s="267" t="s">
        <v>556</v>
      </c>
      <c r="E9" s="558"/>
      <c r="F9" s="622">
        <v>0</v>
      </c>
      <c r="G9" s="622">
        <v>0</v>
      </c>
      <c r="H9" s="622">
        <v>0</v>
      </c>
      <c r="I9" s="622">
        <v>0</v>
      </c>
      <c r="J9" s="622">
        <v>0</v>
      </c>
      <c r="K9" s="622">
        <v>0</v>
      </c>
      <c r="L9" s="622">
        <v>0</v>
      </c>
      <c r="M9" s="622">
        <v>0</v>
      </c>
      <c r="N9" s="622">
        <v>0</v>
      </c>
      <c r="O9" s="622">
        <v>0</v>
      </c>
      <c r="P9" s="622">
        <v>0</v>
      </c>
      <c r="Q9" s="622">
        <v>0</v>
      </c>
      <c r="R9" s="622">
        <v>0</v>
      </c>
      <c r="S9" s="17">
        <f t="shared" si="3"/>
        <v>0</v>
      </c>
      <c r="T9" s="622">
        <v>0</v>
      </c>
      <c r="U9" s="622">
        <v>0</v>
      </c>
      <c r="V9" s="622">
        <v>0</v>
      </c>
      <c r="W9" s="622">
        <v>0</v>
      </c>
      <c r="X9" s="622">
        <v>0</v>
      </c>
      <c r="Y9" s="622">
        <v>0</v>
      </c>
      <c r="Z9" s="622">
        <v>0</v>
      </c>
      <c r="AA9" s="622">
        <v>0</v>
      </c>
      <c r="AB9" s="622">
        <v>0</v>
      </c>
      <c r="AC9" s="622">
        <v>0</v>
      </c>
      <c r="AD9" s="622">
        <v>0</v>
      </c>
      <c r="AE9" s="622">
        <v>0</v>
      </c>
      <c r="AF9" s="622">
        <v>0</v>
      </c>
      <c r="AG9" s="17">
        <f t="shared" si="2"/>
        <v>0</v>
      </c>
      <c r="AH9" s="623"/>
      <c r="AI9" s="603"/>
      <c r="AJ9" s="621"/>
      <c r="AK9" s="621"/>
    </row>
    <row r="10" spans="1:37" ht="12.75" hidden="1" customHeight="1" x14ac:dyDescent="0.2">
      <c r="A10" s="603"/>
      <c r="B10" s="603"/>
      <c r="C10" s="619"/>
      <c r="D10" s="510" t="s">
        <v>557</v>
      </c>
      <c r="E10" s="624"/>
      <c r="F10" s="622">
        <v>0</v>
      </c>
      <c r="G10" s="622">
        <v>0</v>
      </c>
      <c r="H10" s="622">
        <v>0</v>
      </c>
      <c r="I10" s="622">
        <v>0</v>
      </c>
      <c r="J10" s="622">
        <v>0</v>
      </c>
      <c r="K10" s="622">
        <v>0</v>
      </c>
      <c r="L10" s="622">
        <v>0</v>
      </c>
      <c r="M10" s="622">
        <v>0</v>
      </c>
      <c r="N10" s="622">
        <v>0</v>
      </c>
      <c r="O10" s="622">
        <v>0</v>
      </c>
      <c r="P10" s="622">
        <v>0</v>
      </c>
      <c r="Q10" s="622">
        <v>0</v>
      </c>
      <c r="R10" s="622">
        <v>0</v>
      </c>
      <c r="S10" s="17">
        <f>SUM(G10:R10)</f>
        <v>0</v>
      </c>
      <c r="T10" s="622">
        <v>0</v>
      </c>
      <c r="U10" s="622">
        <v>0</v>
      </c>
      <c r="V10" s="622">
        <v>0</v>
      </c>
      <c r="W10" s="622">
        <v>0</v>
      </c>
      <c r="X10" s="622">
        <v>0</v>
      </c>
      <c r="Y10" s="622">
        <v>0</v>
      </c>
      <c r="Z10" s="622">
        <v>0</v>
      </c>
      <c r="AA10" s="622">
        <v>0</v>
      </c>
      <c r="AB10" s="622">
        <v>0</v>
      </c>
      <c r="AC10" s="622">
        <v>0</v>
      </c>
      <c r="AD10" s="622">
        <v>0</v>
      </c>
      <c r="AE10" s="622">
        <v>0</v>
      </c>
      <c r="AF10" s="622">
        <v>0</v>
      </c>
      <c r="AG10" s="17">
        <f t="shared" si="2"/>
        <v>0</v>
      </c>
      <c r="AH10" s="623"/>
      <c r="AI10" s="603"/>
      <c r="AJ10" s="621"/>
      <c r="AK10" s="621"/>
    </row>
    <row r="11" spans="1:37" hidden="1" x14ac:dyDescent="0.2">
      <c r="A11" s="603"/>
      <c r="B11" s="603"/>
      <c r="C11" s="619"/>
      <c r="D11" s="267" t="s">
        <v>558</v>
      </c>
      <c r="E11" s="558"/>
      <c r="F11" s="622">
        <v>0</v>
      </c>
      <c r="G11" s="622">
        <v>0</v>
      </c>
      <c r="H11" s="622">
        <v>0</v>
      </c>
      <c r="I11" s="622">
        <v>0</v>
      </c>
      <c r="J11" s="622">
        <v>0</v>
      </c>
      <c r="K11" s="622">
        <v>0</v>
      </c>
      <c r="L11" s="622">
        <v>0</v>
      </c>
      <c r="M11" s="622">
        <v>0</v>
      </c>
      <c r="N11" s="622">
        <v>0</v>
      </c>
      <c r="O11" s="622">
        <v>0</v>
      </c>
      <c r="P11" s="622">
        <v>0</v>
      </c>
      <c r="Q11" s="622">
        <v>0</v>
      </c>
      <c r="R11" s="622">
        <v>0</v>
      </c>
      <c r="S11" s="17">
        <f>SUM(G11:R11)</f>
        <v>0</v>
      </c>
      <c r="T11" s="622">
        <v>0</v>
      </c>
      <c r="U11" s="622">
        <v>0</v>
      </c>
      <c r="V11" s="622">
        <v>0</v>
      </c>
      <c r="W11" s="622">
        <v>0</v>
      </c>
      <c r="X11" s="622">
        <v>0</v>
      </c>
      <c r="Y11" s="622">
        <v>0</v>
      </c>
      <c r="Z11" s="622">
        <v>0</v>
      </c>
      <c r="AA11" s="622">
        <v>0</v>
      </c>
      <c r="AB11" s="622">
        <v>0</v>
      </c>
      <c r="AC11" s="622">
        <v>0</v>
      </c>
      <c r="AD11" s="622">
        <v>0</v>
      </c>
      <c r="AE11" s="622">
        <v>0</v>
      </c>
      <c r="AF11" s="622">
        <v>0</v>
      </c>
      <c r="AG11" s="17">
        <f t="shared" si="2"/>
        <v>0</v>
      </c>
      <c r="AH11" s="623"/>
      <c r="AI11" s="603"/>
      <c r="AJ11" s="621"/>
      <c r="AK11" s="621"/>
    </row>
    <row r="12" spans="1:37" ht="12.75" hidden="1" customHeight="1" x14ac:dyDescent="0.2">
      <c r="A12" s="603"/>
      <c r="B12" s="603"/>
      <c r="C12" s="619"/>
      <c r="D12" s="267" t="s">
        <v>559</v>
      </c>
      <c r="E12" s="558"/>
      <c r="F12" s="622">
        <v>0</v>
      </c>
      <c r="G12" s="622">
        <v>0</v>
      </c>
      <c r="H12" s="622">
        <v>0</v>
      </c>
      <c r="I12" s="622">
        <v>0</v>
      </c>
      <c r="J12" s="622">
        <v>0</v>
      </c>
      <c r="K12" s="622">
        <v>0</v>
      </c>
      <c r="L12" s="622">
        <v>0</v>
      </c>
      <c r="M12" s="622">
        <v>0</v>
      </c>
      <c r="N12" s="622">
        <v>0</v>
      </c>
      <c r="O12" s="622">
        <v>0</v>
      </c>
      <c r="P12" s="622">
        <v>0</v>
      </c>
      <c r="Q12" s="622">
        <v>0</v>
      </c>
      <c r="R12" s="622">
        <v>0</v>
      </c>
      <c r="S12" s="17">
        <f t="shared" si="3"/>
        <v>0</v>
      </c>
      <c r="T12" s="622">
        <v>0</v>
      </c>
      <c r="U12" s="622">
        <v>0</v>
      </c>
      <c r="V12" s="622">
        <v>0</v>
      </c>
      <c r="W12" s="622">
        <v>0</v>
      </c>
      <c r="X12" s="622">
        <v>0</v>
      </c>
      <c r="Y12" s="622">
        <v>0</v>
      </c>
      <c r="Z12" s="622">
        <v>0</v>
      </c>
      <c r="AA12" s="622">
        <v>0</v>
      </c>
      <c r="AB12" s="622">
        <v>0</v>
      </c>
      <c r="AC12" s="622">
        <v>0</v>
      </c>
      <c r="AD12" s="622">
        <v>0</v>
      </c>
      <c r="AE12" s="622">
        <v>0</v>
      </c>
      <c r="AF12" s="622">
        <v>0</v>
      </c>
      <c r="AG12" s="17">
        <f t="shared" si="2"/>
        <v>0</v>
      </c>
      <c r="AH12" s="623"/>
      <c r="AI12" s="603"/>
      <c r="AJ12" s="621"/>
      <c r="AK12" s="621"/>
    </row>
    <row r="13" spans="1:37" ht="12.75" hidden="1" customHeight="1" x14ac:dyDescent="0.2">
      <c r="A13" s="603"/>
      <c r="B13" s="603"/>
      <c r="C13" s="619"/>
      <c r="D13" s="510" t="s">
        <v>560</v>
      </c>
      <c r="E13" s="558"/>
      <c r="F13" s="622">
        <v>0</v>
      </c>
      <c r="G13" s="17">
        <v>0</v>
      </c>
      <c r="H13" s="17">
        <v>0</v>
      </c>
      <c r="I13" s="17">
        <v>0</v>
      </c>
      <c r="J13" s="17">
        <v>0</v>
      </c>
      <c r="K13" s="17">
        <v>0</v>
      </c>
      <c r="L13" s="17">
        <v>0</v>
      </c>
      <c r="M13" s="17">
        <v>0</v>
      </c>
      <c r="N13" s="17">
        <v>0</v>
      </c>
      <c r="O13" s="17">
        <v>0</v>
      </c>
      <c r="P13" s="17">
        <v>0</v>
      </c>
      <c r="Q13" s="17">
        <v>0</v>
      </c>
      <c r="R13" s="17">
        <v>0</v>
      </c>
      <c r="S13" s="17">
        <f t="shared" si="3"/>
        <v>0</v>
      </c>
      <c r="T13" s="622">
        <v>0</v>
      </c>
      <c r="U13" s="17">
        <v>0</v>
      </c>
      <c r="V13" s="17">
        <v>0</v>
      </c>
      <c r="W13" s="17">
        <v>0</v>
      </c>
      <c r="X13" s="17">
        <v>0</v>
      </c>
      <c r="Y13" s="17">
        <v>0</v>
      </c>
      <c r="Z13" s="17">
        <v>0</v>
      </c>
      <c r="AA13" s="17">
        <v>0</v>
      </c>
      <c r="AB13" s="17">
        <v>0</v>
      </c>
      <c r="AC13" s="17">
        <v>0</v>
      </c>
      <c r="AD13" s="17">
        <v>0</v>
      </c>
      <c r="AE13" s="17">
        <v>0</v>
      </c>
      <c r="AF13" s="17">
        <v>0</v>
      </c>
      <c r="AG13" s="17">
        <f t="shared" si="2"/>
        <v>0</v>
      </c>
      <c r="AH13" s="623"/>
      <c r="AI13" s="603"/>
      <c r="AJ13" s="621"/>
      <c r="AK13" s="621"/>
    </row>
    <row r="14" spans="1:37" ht="12.75" hidden="1" customHeight="1" x14ac:dyDescent="0.2">
      <c r="A14" s="603"/>
      <c r="B14" s="603"/>
      <c r="C14" s="619"/>
      <c r="D14" s="267" t="s">
        <v>561</v>
      </c>
      <c r="E14" s="558"/>
      <c r="F14" s="622">
        <v>0</v>
      </c>
      <c r="G14" s="622">
        <v>0</v>
      </c>
      <c r="H14" s="622">
        <v>0</v>
      </c>
      <c r="I14" s="622">
        <v>0</v>
      </c>
      <c r="J14" s="622">
        <v>0</v>
      </c>
      <c r="K14" s="622">
        <v>0</v>
      </c>
      <c r="L14" s="622">
        <v>0</v>
      </c>
      <c r="M14" s="622">
        <v>0</v>
      </c>
      <c r="N14" s="622">
        <v>0</v>
      </c>
      <c r="O14" s="622">
        <v>0</v>
      </c>
      <c r="P14" s="622">
        <v>0</v>
      </c>
      <c r="Q14" s="622">
        <v>0</v>
      </c>
      <c r="R14" s="622">
        <v>0</v>
      </c>
      <c r="S14" s="17">
        <f t="shared" si="3"/>
        <v>0</v>
      </c>
      <c r="T14" s="622">
        <v>0</v>
      </c>
      <c r="U14" s="622">
        <v>0</v>
      </c>
      <c r="V14" s="622">
        <v>0</v>
      </c>
      <c r="W14" s="622">
        <v>0</v>
      </c>
      <c r="X14" s="622">
        <v>0</v>
      </c>
      <c r="Y14" s="622">
        <v>0</v>
      </c>
      <c r="Z14" s="622">
        <v>0</v>
      </c>
      <c r="AA14" s="622">
        <v>0</v>
      </c>
      <c r="AB14" s="622">
        <v>0</v>
      </c>
      <c r="AC14" s="622">
        <v>0</v>
      </c>
      <c r="AD14" s="622">
        <v>0</v>
      </c>
      <c r="AE14" s="622">
        <v>0</v>
      </c>
      <c r="AF14" s="622">
        <v>0</v>
      </c>
      <c r="AG14" s="17">
        <f t="shared" si="2"/>
        <v>0</v>
      </c>
      <c r="AH14" s="623"/>
      <c r="AI14" s="603"/>
      <c r="AJ14" s="621"/>
      <c r="AK14" s="621"/>
    </row>
    <row r="15" spans="1:37" ht="12.75" hidden="1" customHeight="1" x14ac:dyDescent="0.2">
      <c r="A15" s="603"/>
      <c r="B15" s="603"/>
      <c r="C15" s="619"/>
      <c r="D15" s="267" t="s">
        <v>562</v>
      </c>
      <c r="E15" s="558"/>
      <c r="F15" s="622">
        <v>0</v>
      </c>
      <c r="G15" s="622">
        <v>0</v>
      </c>
      <c r="H15" s="622">
        <v>0</v>
      </c>
      <c r="I15" s="622">
        <v>0</v>
      </c>
      <c r="J15" s="622">
        <v>0</v>
      </c>
      <c r="K15" s="622">
        <v>0</v>
      </c>
      <c r="L15" s="622">
        <v>0</v>
      </c>
      <c r="M15" s="622">
        <v>0</v>
      </c>
      <c r="N15" s="622">
        <v>0</v>
      </c>
      <c r="O15" s="622">
        <v>0</v>
      </c>
      <c r="P15" s="622">
        <v>0</v>
      </c>
      <c r="Q15" s="622">
        <v>0</v>
      </c>
      <c r="R15" s="622">
        <v>0</v>
      </c>
      <c r="S15" s="17">
        <f t="shared" si="3"/>
        <v>0</v>
      </c>
      <c r="T15" s="622">
        <v>0</v>
      </c>
      <c r="U15" s="622">
        <v>0</v>
      </c>
      <c r="V15" s="622">
        <v>0</v>
      </c>
      <c r="W15" s="622">
        <v>0</v>
      </c>
      <c r="X15" s="622">
        <v>0</v>
      </c>
      <c r="Y15" s="622">
        <v>0</v>
      </c>
      <c r="Z15" s="622">
        <v>0</v>
      </c>
      <c r="AA15" s="622">
        <v>0</v>
      </c>
      <c r="AB15" s="622">
        <v>0</v>
      </c>
      <c r="AC15" s="622">
        <v>0</v>
      </c>
      <c r="AD15" s="622">
        <v>0</v>
      </c>
      <c r="AE15" s="622">
        <v>0</v>
      </c>
      <c r="AF15" s="622">
        <v>0</v>
      </c>
      <c r="AG15" s="17">
        <f t="shared" si="2"/>
        <v>0</v>
      </c>
      <c r="AH15" s="623"/>
      <c r="AI15" s="603"/>
      <c r="AJ15" s="621"/>
      <c r="AK15" s="621"/>
    </row>
    <row r="16" spans="1:37" ht="12.75" hidden="1" customHeight="1" x14ac:dyDescent="0.2">
      <c r="A16" s="603"/>
      <c r="B16" s="603"/>
      <c r="C16" s="619"/>
      <c r="D16" s="267" t="s">
        <v>563</v>
      </c>
      <c r="E16" s="558"/>
      <c r="F16" s="622">
        <v>0</v>
      </c>
      <c r="G16" s="17">
        <v>0</v>
      </c>
      <c r="H16" s="17">
        <v>0</v>
      </c>
      <c r="I16" s="17">
        <v>0</v>
      </c>
      <c r="J16" s="17">
        <v>0</v>
      </c>
      <c r="K16" s="17">
        <v>0</v>
      </c>
      <c r="L16" s="17">
        <v>0</v>
      </c>
      <c r="M16" s="17">
        <v>0</v>
      </c>
      <c r="N16" s="17">
        <v>0</v>
      </c>
      <c r="O16" s="17">
        <v>0</v>
      </c>
      <c r="P16" s="17">
        <v>0</v>
      </c>
      <c r="Q16" s="17">
        <v>0</v>
      </c>
      <c r="R16" s="17">
        <v>0</v>
      </c>
      <c r="S16" s="17">
        <f t="shared" si="3"/>
        <v>0</v>
      </c>
      <c r="T16" s="622">
        <v>0</v>
      </c>
      <c r="U16" s="17">
        <v>0</v>
      </c>
      <c r="V16" s="17">
        <v>0</v>
      </c>
      <c r="W16" s="17">
        <v>0</v>
      </c>
      <c r="X16" s="17">
        <v>0</v>
      </c>
      <c r="Y16" s="17">
        <v>0</v>
      </c>
      <c r="Z16" s="17">
        <v>0</v>
      </c>
      <c r="AA16" s="17">
        <v>0</v>
      </c>
      <c r="AB16" s="17">
        <v>0</v>
      </c>
      <c r="AC16" s="17">
        <v>0</v>
      </c>
      <c r="AD16" s="17">
        <v>0</v>
      </c>
      <c r="AE16" s="17">
        <v>0</v>
      </c>
      <c r="AF16" s="17">
        <v>0</v>
      </c>
      <c r="AG16" s="17">
        <f t="shared" si="2"/>
        <v>0</v>
      </c>
      <c r="AH16" s="623"/>
      <c r="AI16" s="603"/>
      <c r="AJ16" s="621"/>
      <c r="AK16" s="621"/>
    </row>
    <row r="17" spans="1:37" ht="12.75" hidden="1" customHeight="1" x14ac:dyDescent="0.2">
      <c r="A17" s="603"/>
      <c r="B17" s="603"/>
      <c r="C17" s="619"/>
      <c r="D17" s="510" t="s">
        <v>564</v>
      </c>
      <c r="E17" s="558"/>
      <c r="F17" s="622">
        <v>0</v>
      </c>
      <c r="G17" s="622">
        <v>0</v>
      </c>
      <c r="H17" s="622">
        <v>0</v>
      </c>
      <c r="I17" s="622">
        <v>0</v>
      </c>
      <c r="J17" s="622">
        <v>0</v>
      </c>
      <c r="K17" s="622">
        <v>0</v>
      </c>
      <c r="L17" s="622">
        <v>0</v>
      </c>
      <c r="M17" s="622">
        <v>0</v>
      </c>
      <c r="N17" s="622">
        <v>0</v>
      </c>
      <c r="O17" s="622">
        <v>0</v>
      </c>
      <c r="P17" s="622">
        <v>0</v>
      </c>
      <c r="Q17" s="622">
        <v>0</v>
      </c>
      <c r="R17" s="622">
        <v>0</v>
      </c>
      <c r="S17" s="17">
        <f t="shared" si="3"/>
        <v>0</v>
      </c>
      <c r="T17" s="622">
        <v>0</v>
      </c>
      <c r="U17" s="622">
        <v>0</v>
      </c>
      <c r="V17" s="622">
        <v>0</v>
      </c>
      <c r="W17" s="622">
        <v>0</v>
      </c>
      <c r="X17" s="622">
        <v>0</v>
      </c>
      <c r="Y17" s="622">
        <v>0</v>
      </c>
      <c r="Z17" s="622">
        <v>0</v>
      </c>
      <c r="AA17" s="622">
        <v>0</v>
      </c>
      <c r="AB17" s="622">
        <v>0</v>
      </c>
      <c r="AC17" s="622">
        <v>0</v>
      </c>
      <c r="AD17" s="622">
        <v>0</v>
      </c>
      <c r="AE17" s="622">
        <v>0</v>
      </c>
      <c r="AF17" s="622">
        <v>0</v>
      </c>
      <c r="AG17" s="17">
        <f t="shared" si="2"/>
        <v>0</v>
      </c>
      <c r="AH17" s="623"/>
      <c r="AI17" s="603"/>
      <c r="AJ17" s="621"/>
      <c r="AK17" s="621"/>
    </row>
    <row r="18" spans="1:37" x14ac:dyDescent="0.2">
      <c r="A18" s="603"/>
      <c r="B18" s="603"/>
      <c r="C18" s="619"/>
      <c r="D18" s="510" t="s">
        <v>565</v>
      </c>
      <c r="E18" s="558"/>
      <c r="F18" s="625">
        <v>1730</v>
      </c>
      <c r="G18" s="625">
        <v>316</v>
      </c>
      <c r="H18" s="625">
        <v>168</v>
      </c>
      <c r="I18" s="625">
        <v>91</v>
      </c>
      <c r="J18" s="625">
        <v>138</v>
      </c>
      <c r="K18" s="625">
        <v>118</v>
      </c>
      <c r="L18" s="625">
        <v>206</v>
      </c>
      <c r="M18" s="625">
        <v>157</v>
      </c>
      <c r="N18" s="625">
        <v>179</v>
      </c>
      <c r="O18" s="625">
        <v>280</v>
      </c>
      <c r="P18" s="625">
        <v>77</v>
      </c>
      <c r="Q18" s="625">
        <v>0</v>
      </c>
      <c r="R18" s="625">
        <v>491</v>
      </c>
      <c r="S18" s="17">
        <f>SUM(G18:R18)</f>
        <v>2221</v>
      </c>
      <c r="T18" s="625">
        <v>2345</v>
      </c>
      <c r="U18" s="625">
        <v>228</v>
      </c>
      <c r="V18" s="625">
        <v>407</v>
      </c>
      <c r="W18" s="625">
        <v>198</v>
      </c>
      <c r="X18" s="625">
        <v>167</v>
      </c>
      <c r="Y18" s="625">
        <v>84</v>
      </c>
      <c r="Z18" s="625">
        <v>204</v>
      </c>
      <c r="AA18" s="625">
        <v>142</v>
      </c>
      <c r="AB18" s="625">
        <v>262</v>
      </c>
      <c r="AC18" s="625">
        <v>130</v>
      </c>
      <c r="AD18" s="625">
        <v>173</v>
      </c>
      <c r="AE18" s="625">
        <v>168</v>
      </c>
      <c r="AF18" s="625">
        <v>182</v>
      </c>
      <c r="AG18" s="17">
        <f>SUM(U18:AF18)</f>
        <v>2345</v>
      </c>
      <c r="AH18" s="623"/>
      <c r="AI18" s="603"/>
      <c r="AJ18" s="621"/>
      <c r="AK18" s="621"/>
    </row>
    <row r="19" spans="1:37" ht="12.75" hidden="1" customHeight="1" x14ac:dyDescent="0.2">
      <c r="A19" s="603"/>
      <c r="B19" s="603"/>
      <c r="C19" s="619"/>
      <c r="D19" s="510" t="s">
        <v>566</v>
      </c>
      <c r="E19" s="558"/>
      <c r="F19" s="625">
        <v>0</v>
      </c>
      <c r="G19" s="625">
        <v>0</v>
      </c>
      <c r="H19" s="625">
        <v>0</v>
      </c>
      <c r="I19" s="625">
        <v>0</v>
      </c>
      <c r="J19" s="625">
        <v>0</v>
      </c>
      <c r="K19" s="625">
        <v>0</v>
      </c>
      <c r="L19" s="625">
        <v>0</v>
      </c>
      <c r="M19" s="625">
        <v>0</v>
      </c>
      <c r="N19" s="625">
        <v>0</v>
      </c>
      <c r="O19" s="625">
        <v>0</v>
      </c>
      <c r="P19" s="625">
        <v>0</v>
      </c>
      <c r="Q19" s="625">
        <v>0</v>
      </c>
      <c r="R19" s="625">
        <v>0</v>
      </c>
      <c r="S19" s="17">
        <f t="shared" si="3"/>
        <v>0</v>
      </c>
      <c r="T19" s="625">
        <v>0</v>
      </c>
      <c r="U19" s="625">
        <v>0</v>
      </c>
      <c r="V19" s="625">
        <v>0</v>
      </c>
      <c r="W19" s="625">
        <v>0</v>
      </c>
      <c r="X19" s="625">
        <v>0</v>
      </c>
      <c r="Y19" s="625">
        <v>0</v>
      </c>
      <c r="Z19" s="625">
        <v>0</v>
      </c>
      <c r="AA19" s="625">
        <v>0</v>
      </c>
      <c r="AB19" s="625">
        <v>0</v>
      </c>
      <c r="AC19" s="625">
        <v>0</v>
      </c>
      <c r="AD19" s="625">
        <v>0</v>
      </c>
      <c r="AE19" s="625">
        <v>0</v>
      </c>
      <c r="AF19" s="625">
        <v>0</v>
      </c>
      <c r="AG19" s="17">
        <f t="shared" si="2"/>
        <v>0</v>
      </c>
      <c r="AH19" s="623"/>
      <c r="AI19" s="603"/>
      <c r="AJ19" s="621"/>
      <c r="AK19" s="621"/>
    </row>
    <row r="20" spans="1:37" ht="12.75" hidden="1" customHeight="1" x14ac:dyDescent="0.2">
      <c r="A20" s="603"/>
      <c r="B20" s="603"/>
      <c r="C20" s="619"/>
      <c r="D20" s="510" t="s">
        <v>567</v>
      </c>
      <c r="E20" s="558"/>
      <c r="F20" s="625">
        <v>0</v>
      </c>
      <c r="G20" s="625">
        <v>0</v>
      </c>
      <c r="H20" s="625">
        <v>0</v>
      </c>
      <c r="I20" s="625">
        <v>0</v>
      </c>
      <c r="J20" s="625">
        <v>0</v>
      </c>
      <c r="K20" s="625">
        <v>0</v>
      </c>
      <c r="L20" s="625">
        <v>0</v>
      </c>
      <c r="M20" s="625">
        <v>0</v>
      </c>
      <c r="N20" s="625">
        <v>0</v>
      </c>
      <c r="O20" s="625">
        <v>0</v>
      </c>
      <c r="P20" s="625">
        <v>0</v>
      </c>
      <c r="Q20" s="625">
        <v>0</v>
      </c>
      <c r="R20" s="625">
        <v>0</v>
      </c>
      <c r="S20" s="17">
        <f t="shared" si="3"/>
        <v>0</v>
      </c>
      <c r="T20" s="625">
        <v>0</v>
      </c>
      <c r="U20" s="625">
        <v>0</v>
      </c>
      <c r="V20" s="625">
        <v>0</v>
      </c>
      <c r="W20" s="625">
        <v>0</v>
      </c>
      <c r="X20" s="625">
        <v>0</v>
      </c>
      <c r="Y20" s="625">
        <v>0</v>
      </c>
      <c r="Z20" s="625">
        <v>0</v>
      </c>
      <c r="AA20" s="625">
        <v>0</v>
      </c>
      <c r="AB20" s="625">
        <v>0</v>
      </c>
      <c r="AC20" s="625">
        <v>0</v>
      </c>
      <c r="AD20" s="625">
        <v>0</v>
      </c>
      <c r="AE20" s="625">
        <v>0</v>
      </c>
      <c r="AF20" s="625">
        <v>0</v>
      </c>
      <c r="AG20" s="17">
        <f t="shared" si="2"/>
        <v>0</v>
      </c>
      <c r="AH20" s="623"/>
      <c r="AI20" s="603"/>
      <c r="AJ20" s="621"/>
      <c r="AK20" s="621"/>
    </row>
    <row r="21" spans="1:37" ht="12.75" customHeight="1" x14ac:dyDescent="0.2">
      <c r="A21" s="603"/>
      <c r="B21" s="603"/>
      <c r="C21" s="619"/>
      <c r="D21" s="267" t="s">
        <v>568</v>
      </c>
      <c r="E21" s="514"/>
      <c r="F21" s="625">
        <v>397236</v>
      </c>
      <c r="G21" s="625">
        <v>0</v>
      </c>
      <c r="H21" s="625">
        <v>0</v>
      </c>
      <c r="I21" s="625">
        <v>0</v>
      </c>
      <c r="J21" s="625">
        <v>0</v>
      </c>
      <c r="K21" s="625">
        <v>0</v>
      </c>
      <c r="L21" s="625">
        <v>0</v>
      </c>
      <c r="M21" s="625">
        <v>0</v>
      </c>
      <c r="N21" s="625">
        <v>0</v>
      </c>
      <c r="O21" s="625">
        <v>0</v>
      </c>
      <c r="P21" s="625">
        <v>0</v>
      </c>
      <c r="Q21" s="625">
        <v>397326</v>
      </c>
      <c r="R21" s="625">
        <v>0</v>
      </c>
      <c r="S21" s="17">
        <f>SUM(G21:R21)</f>
        <v>397326</v>
      </c>
      <c r="T21" s="625">
        <v>378078</v>
      </c>
      <c r="U21" s="625">
        <v>0</v>
      </c>
      <c r="V21" s="625">
        <v>378078</v>
      </c>
      <c r="W21" s="625">
        <v>0</v>
      </c>
      <c r="X21" s="625">
        <v>0</v>
      </c>
      <c r="Y21" s="625">
        <v>0</v>
      </c>
      <c r="Z21" s="625">
        <v>0</v>
      </c>
      <c r="AA21" s="625">
        <v>0</v>
      </c>
      <c r="AB21" s="625">
        <v>0</v>
      </c>
      <c r="AC21" s="625">
        <v>0</v>
      </c>
      <c r="AD21" s="625">
        <v>0</v>
      </c>
      <c r="AE21" s="625">
        <v>0</v>
      </c>
      <c r="AF21" s="625">
        <v>0</v>
      </c>
      <c r="AG21" s="17">
        <f t="shared" ref="AG21:AG26" si="4">SUM(U21:AF21)</f>
        <v>378078</v>
      </c>
      <c r="AH21" s="623"/>
      <c r="AI21" s="603"/>
      <c r="AJ21" s="621"/>
      <c r="AK21" s="621"/>
    </row>
    <row r="22" spans="1:37" x14ac:dyDescent="0.2">
      <c r="A22" s="603"/>
      <c r="B22" s="603"/>
      <c r="C22" s="619"/>
      <c r="D22" s="267" t="s">
        <v>569</v>
      </c>
      <c r="E22" s="545"/>
      <c r="F22" s="625">
        <v>14000000</v>
      </c>
      <c r="G22" s="625">
        <v>376261</v>
      </c>
      <c r="H22" s="625">
        <v>1466990</v>
      </c>
      <c r="I22" s="625">
        <v>764417</v>
      </c>
      <c r="J22" s="625">
        <v>2780720</v>
      </c>
      <c r="K22" s="625">
        <v>1213553</v>
      </c>
      <c r="L22" s="625">
        <v>716835</v>
      </c>
      <c r="M22" s="625">
        <v>2010551</v>
      </c>
      <c r="N22" s="625">
        <v>777625</v>
      </c>
      <c r="O22" s="625">
        <v>2213621</v>
      </c>
      <c r="P22" s="625">
        <v>1216723</v>
      </c>
      <c r="Q22" s="625">
        <v>33827</v>
      </c>
      <c r="R22" s="625">
        <v>756787</v>
      </c>
      <c r="S22" s="17">
        <f>SUM(G22:R22)</f>
        <v>14327910</v>
      </c>
      <c r="T22" s="625">
        <v>3462654</v>
      </c>
      <c r="U22" s="625">
        <v>236014</v>
      </c>
      <c r="V22" s="625">
        <v>324359</v>
      </c>
      <c r="W22" s="625">
        <v>183897</v>
      </c>
      <c r="X22" s="625">
        <v>236661</v>
      </c>
      <c r="Y22" s="625">
        <v>513409</v>
      </c>
      <c r="Z22" s="625">
        <v>241446</v>
      </c>
      <c r="AA22" s="625">
        <v>54544</v>
      </c>
      <c r="AB22" s="625">
        <v>368953</v>
      </c>
      <c r="AC22" s="625">
        <v>133269</v>
      </c>
      <c r="AD22" s="625">
        <v>279324</v>
      </c>
      <c r="AE22" s="625">
        <v>508862</v>
      </c>
      <c r="AF22" s="625">
        <v>381916</v>
      </c>
      <c r="AG22" s="17">
        <f t="shared" si="4"/>
        <v>3462654</v>
      </c>
      <c r="AH22" s="623"/>
      <c r="AI22" s="603"/>
      <c r="AJ22" s="626"/>
      <c r="AK22" s="621"/>
    </row>
    <row r="23" spans="1:37" ht="12.75" hidden="1" customHeight="1" x14ac:dyDescent="0.2">
      <c r="A23" s="603"/>
      <c r="B23" s="603"/>
      <c r="C23" s="619"/>
      <c r="D23" s="510" t="s">
        <v>570</v>
      </c>
      <c r="E23" s="558"/>
      <c r="F23" s="625">
        <v>0</v>
      </c>
      <c r="G23" s="625">
        <v>0</v>
      </c>
      <c r="H23" s="625">
        <v>0</v>
      </c>
      <c r="I23" s="625">
        <v>0</v>
      </c>
      <c r="J23" s="625">
        <v>0</v>
      </c>
      <c r="K23" s="625">
        <v>0</v>
      </c>
      <c r="L23" s="625">
        <v>0</v>
      </c>
      <c r="M23" s="625">
        <v>0</v>
      </c>
      <c r="N23" s="625">
        <v>0</v>
      </c>
      <c r="O23" s="625">
        <v>0</v>
      </c>
      <c r="P23" s="625">
        <v>0</v>
      </c>
      <c r="Q23" s="625">
        <v>0</v>
      </c>
      <c r="R23" s="625">
        <v>0</v>
      </c>
      <c r="S23" s="17">
        <f>SUM(G23:R23)</f>
        <v>0</v>
      </c>
      <c r="T23" s="625">
        <v>0</v>
      </c>
      <c r="U23" s="625">
        <v>0</v>
      </c>
      <c r="V23" s="625">
        <v>0</v>
      </c>
      <c r="W23" s="625">
        <v>0</v>
      </c>
      <c r="X23" s="625">
        <v>0</v>
      </c>
      <c r="Y23" s="625">
        <v>0</v>
      </c>
      <c r="Z23" s="625">
        <v>0</v>
      </c>
      <c r="AA23" s="625">
        <v>0</v>
      </c>
      <c r="AB23" s="625">
        <v>0</v>
      </c>
      <c r="AC23" s="625">
        <v>0</v>
      </c>
      <c r="AD23" s="625">
        <v>0</v>
      </c>
      <c r="AE23" s="625">
        <v>0</v>
      </c>
      <c r="AF23" s="625">
        <v>0</v>
      </c>
      <c r="AG23" s="17">
        <f t="shared" si="4"/>
        <v>0</v>
      </c>
      <c r="AH23" s="623"/>
      <c r="AI23" s="603"/>
      <c r="AJ23" s="621"/>
      <c r="AK23" s="621"/>
    </row>
    <row r="24" spans="1:37" ht="12.75" hidden="1" customHeight="1" x14ac:dyDescent="0.2">
      <c r="A24" s="603"/>
      <c r="B24" s="603"/>
      <c r="C24" s="619"/>
      <c r="D24" s="267" t="s">
        <v>571</v>
      </c>
      <c r="E24" s="558"/>
      <c r="F24" s="625">
        <v>0</v>
      </c>
      <c r="G24" s="625">
        <v>0</v>
      </c>
      <c r="H24" s="625">
        <v>0</v>
      </c>
      <c r="I24" s="625">
        <v>0</v>
      </c>
      <c r="J24" s="625">
        <v>0</v>
      </c>
      <c r="K24" s="625">
        <v>0</v>
      </c>
      <c r="L24" s="625">
        <v>0</v>
      </c>
      <c r="M24" s="625">
        <v>0</v>
      </c>
      <c r="N24" s="625">
        <v>0</v>
      </c>
      <c r="O24" s="625">
        <v>0</v>
      </c>
      <c r="P24" s="625">
        <v>0</v>
      </c>
      <c r="Q24" s="625">
        <v>0</v>
      </c>
      <c r="R24" s="625">
        <v>0</v>
      </c>
      <c r="S24" s="17">
        <f t="shared" si="3"/>
        <v>0</v>
      </c>
      <c r="T24" s="625">
        <v>0</v>
      </c>
      <c r="U24" s="625">
        <v>0</v>
      </c>
      <c r="V24" s="625">
        <v>0</v>
      </c>
      <c r="W24" s="625">
        <v>0</v>
      </c>
      <c r="X24" s="625">
        <v>0</v>
      </c>
      <c r="Y24" s="625">
        <v>0</v>
      </c>
      <c r="Z24" s="625">
        <v>0</v>
      </c>
      <c r="AA24" s="625">
        <v>0</v>
      </c>
      <c r="AB24" s="625">
        <v>0</v>
      </c>
      <c r="AC24" s="625">
        <v>0</v>
      </c>
      <c r="AD24" s="625">
        <v>0</v>
      </c>
      <c r="AE24" s="625">
        <v>0</v>
      </c>
      <c r="AF24" s="625">
        <v>0</v>
      </c>
      <c r="AG24" s="17">
        <f t="shared" si="4"/>
        <v>0</v>
      </c>
      <c r="AH24" s="623"/>
      <c r="AI24" s="603"/>
      <c r="AJ24" s="621"/>
      <c r="AK24" s="621"/>
    </row>
    <row r="25" spans="1:37" ht="12.75" hidden="1" customHeight="1" x14ac:dyDescent="0.2">
      <c r="A25" s="603"/>
      <c r="B25" s="603"/>
      <c r="C25" s="619"/>
      <c r="D25" s="267" t="s">
        <v>572</v>
      </c>
      <c r="E25" s="558"/>
      <c r="F25" s="625">
        <v>0</v>
      </c>
      <c r="G25" s="625">
        <v>0</v>
      </c>
      <c r="H25" s="625">
        <v>0</v>
      </c>
      <c r="I25" s="625">
        <v>0</v>
      </c>
      <c r="J25" s="625">
        <v>0</v>
      </c>
      <c r="K25" s="625">
        <v>0</v>
      </c>
      <c r="L25" s="625">
        <v>0</v>
      </c>
      <c r="M25" s="625">
        <v>0</v>
      </c>
      <c r="N25" s="625">
        <v>0</v>
      </c>
      <c r="O25" s="625">
        <v>0</v>
      </c>
      <c r="P25" s="625">
        <v>0</v>
      </c>
      <c r="Q25" s="625">
        <v>0</v>
      </c>
      <c r="R25" s="625">
        <v>0</v>
      </c>
      <c r="S25" s="17">
        <f t="shared" si="3"/>
        <v>0</v>
      </c>
      <c r="T25" s="625">
        <v>0</v>
      </c>
      <c r="U25" s="625">
        <v>0</v>
      </c>
      <c r="V25" s="625">
        <v>0</v>
      </c>
      <c r="W25" s="625">
        <v>0</v>
      </c>
      <c r="X25" s="625">
        <v>0</v>
      </c>
      <c r="Y25" s="625">
        <v>0</v>
      </c>
      <c r="Z25" s="625">
        <v>0</v>
      </c>
      <c r="AA25" s="625">
        <v>0</v>
      </c>
      <c r="AB25" s="625">
        <v>0</v>
      </c>
      <c r="AC25" s="625">
        <v>0</v>
      </c>
      <c r="AD25" s="625">
        <v>0</v>
      </c>
      <c r="AE25" s="625">
        <v>0</v>
      </c>
      <c r="AF25" s="625">
        <v>0</v>
      </c>
      <c r="AG25" s="17">
        <f t="shared" si="4"/>
        <v>0</v>
      </c>
      <c r="AH25" s="623"/>
      <c r="AI25" s="603"/>
      <c r="AJ25" s="621"/>
      <c r="AK25" s="621"/>
    </row>
    <row r="26" spans="1:37" x14ac:dyDescent="0.2">
      <c r="A26" s="603"/>
      <c r="B26" s="603"/>
      <c r="C26" s="619"/>
      <c r="D26" s="267" t="s">
        <v>573</v>
      </c>
      <c r="E26" s="558"/>
      <c r="F26" s="625">
        <v>11191606</v>
      </c>
      <c r="G26" s="625">
        <v>859912</v>
      </c>
      <c r="H26" s="625">
        <v>1339982</v>
      </c>
      <c r="I26" s="625">
        <v>2555446</v>
      </c>
      <c r="J26" s="625">
        <v>769465</v>
      </c>
      <c r="K26" s="625">
        <v>1947836</v>
      </c>
      <c r="L26" s="625">
        <v>1224536</v>
      </c>
      <c r="M26" s="625">
        <v>570704</v>
      </c>
      <c r="N26" s="625">
        <v>122754</v>
      </c>
      <c r="O26" s="625">
        <v>485052</v>
      </c>
      <c r="P26" s="625">
        <v>143920</v>
      </c>
      <c r="Q26" s="625">
        <v>143071</v>
      </c>
      <c r="R26" s="625">
        <v>879783</v>
      </c>
      <c r="S26" s="17">
        <f>SUM(G26:R26)</f>
        <v>11042461</v>
      </c>
      <c r="T26" s="625">
        <v>8958256</v>
      </c>
      <c r="U26" s="625">
        <v>955276</v>
      </c>
      <c r="V26" s="625">
        <v>4819534</v>
      </c>
      <c r="W26" s="625">
        <v>9233</v>
      </c>
      <c r="X26" s="625">
        <v>0</v>
      </c>
      <c r="Y26" s="625">
        <v>23388</v>
      </c>
      <c r="Z26" s="625">
        <v>67995</v>
      </c>
      <c r="AA26" s="625">
        <v>94893</v>
      </c>
      <c r="AB26" s="625">
        <v>20762</v>
      </c>
      <c r="AC26" s="625">
        <v>9886</v>
      </c>
      <c r="AD26" s="625">
        <v>28056</v>
      </c>
      <c r="AE26" s="625">
        <v>49385</v>
      </c>
      <c r="AF26" s="625">
        <v>2879848</v>
      </c>
      <c r="AG26" s="17">
        <f t="shared" si="4"/>
        <v>8958256</v>
      </c>
      <c r="AH26" s="623"/>
      <c r="AI26" s="603"/>
      <c r="AJ26" s="626"/>
      <c r="AK26" s="621"/>
    </row>
    <row r="27" spans="1:37" ht="12.75" hidden="1" customHeight="1" x14ac:dyDescent="0.2">
      <c r="A27" s="603"/>
      <c r="B27" s="603"/>
      <c r="C27" s="619"/>
      <c r="D27" s="267" t="s">
        <v>574</v>
      </c>
      <c r="E27" s="558"/>
      <c r="F27" s="625">
        <v>0</v>
      </c>
      <c r="G27" s="622">
        <v>0</v>
      </c>
      <c r="H27" s="622">
        <v>0</v>
      </c>
      <c r="I27" s="622">
        <v>0</v>
      </c>
      <c r="J27" s="622">
        <v>0</v>
      </c>
      <c r="K27" s="622">
        <v>0</v>
      </c>
      <c r="L27" s="622">
        <v>0</v>
      </c>
      <c r="M27" s="622">
        <v>0</v>
      </c>
      <c r="N27" s="622">
        <v>0</v>
      </c>
      <c r="O27" s="622">
        <v>0</v>
      </c>
      <c r="P27" s="622">
        <v>0</v>
      </c>
      <c r="Q27" s="622">
        <v>0</v>
      </c>
      <c r="R27" s="622">
        <v>0</v>
      </c>
      <c r="S27" s="17">
        <f t="shared" si="3"/>
        <v>0</v>
      </c>
      <c r="T27" s="625">
        <v>0</v>
      </c>
      <c r="U27" s="622">
        <v>0</v>
      </c>
      <c r="V27" s="622">
        <v>0</v>
      </c>
      <c r="W27" s="622">
        <v>0</v>
      </c>
      <c r="X27" s="622">
        <v>0</v>
      </c>
      <c r="Y27" s="622">
        <v>0</v>
      </c>
      <c r="Z27" s="622">
        <v>0</v>
      </c>
      <c r="AA27" s="622">
        <v>0</v>
      </c>
      <c r="AB27" s="622">
        <v>0</v>
      </c>
      <c r="AC27" s="622">
        <v>0</v>
      </c>
      <c r="AD27" s="622">
        <v>0</v>
      </c>
      <c r="AE27" s="622">
        <v>0</v>
      </c>
      <c r="AF27" s="622">
        <v>0</v>
      </c>
      <c r="AG27" s="17">
        <f t="shared" ref="AG27:AG38" si="5">SUM(U27:AA27)</f>
        <v>0</v>
      </c>
      <c r="AH27" s="623"/>
      <c r="AI27" s="603"/>
      <c r="AJ27" s="621"/>
      <c r="AK27" s="621"/>
    </row>
    <row r="28" spans="1:37" ht="12.75" hidden="1" customHeight="1" x14ac:dyDescent="0.2">
      <c r="A28" s="603"/>
      <c r="B28" s="603"/>
      <c r="C28" s="619"/>
      <c r="D28" s="510" t="s">
        <v>575</v>
      </c>
      <c r="E28" s="624" t="s">
        <v>73</v>
      </c>
      <c r="F28" s="625">
        <v>0</v>
      </c>
      <c r="G28" s="622">
        <v>0</v>
      </c>
      <c r="H28" s="622">
        <v>0</v>
      </c>
      <c r="I28" s="622">
        <v>0</v>
      </c>
      <c r="J28" s="622">
        <v>0</v>
      </c>
      <c r="K28" s="622">
        <v>0</v>
      </c>
      <c r="L28" s="622">
        <v>0</v>
      </c>
      <c r="M28" s="622">
        <v>0</v>
      </c>
      <c r="N28" s="622">
        <v>0</v>
      </c>
      <c r="O28" s="622">
        <v>0</v>
      </c>
      <c r="P28" s="622">
        <v>0</v>
      </c>
      <c r="Q28" s="622">
        <v>0</v>
      </c>
      <c r="R28" s="622">
        <v>0</v>
      </c>
      <c r="S28" s="17">
        <f t="shared" si="3"/>
        <v>0</v>
      </c>
      <c r="T28" s="625">
        <v>0</v>
      </c>
      <c r="U28" s="622">
        <v>0</v>
      </c>
      <c r="V28" s="622">
        <v>0</v>
      </c>
      <c r="W28" s="622">
        <v>0</v>
      </c>
      <c r="X28" s="622">
        <v>0</v>
      </c>
      <c r="Y28" s="622">
        <v>0</v>
      </c>
      <c r="Z28" s="622">
        <v>0</v>
      </c>
      <c r="AA28" s="622">
        <v>0</v>
      </c>
      <c r="AB28" s="622">
        <v>0</v>
      </c>
      <c r="AC28" s="622">
        <v>0</v>
      </c>
      <c r="AD28" s="622">
        <v>0</v>
      </c>
      <c r="AE28" s="622">
        <v>0</v>
      </c>
      <c r="AF28" s="622">
        <v>0</v>
      </c>
      <c r="AG28" s="17">
        <f t="shared" si="5"/>
        <v>0</v>
      </c>
      <c r="AH28" s="623"/>
      <c r="AI28" s="603"/>
      <c r="AJ28" s="621"/>
      <c r="AK28" s="621"/>
    </row>
    <row r="29" spans="1:37" s="628" customFormat="1" ht="12.75" hidden="1" customHeight="1" x14ac:dyDescent="0.2">
      <c r="A29" s="606"/>
      <c r="B29" s="606"/>
      <c r="C29" s="584"/>
      <c r="D29" s="267" t="s">
        <v>576</v>
      </c>
      <c r="E29" s="558"/>
      <c r="F29" s="625">
        <v>0</v>
      </c>
      <c r="G29" s="622">
        <v>0</v>
      </c>
      <c r="H29" s="622">
        <v>0</v>
      </c>
      <c r="I29" s="622">
        <v>0</v>
      </c>
      <c r="J29" s="622">
        <v>0</v>
      </c>
      <c r="K29" s="622">
        <v>0</v>
      </c>
      <c r="L29" s="622">
        <v>0</v>
      </c>
      <c r="M29" s="622">
        <v>0</v>
      </c>
      <c r="N29" s="622">
        <v>0</v>
      </c>
      <c r="O29" s="622">
        <v>0</v>
      </c>
      <c r="P29" s="622">
        <v>0</v>
      </c>
      <c r="Q29" s="622">
        <v>0</v>
      </c>
      <c r="R29" s="622">
        <v>0</v>
      </c>
      <c r="S29" s="17">
        <f>SUM(G29:R29)</f>
        <v>0</v>
      </c>
      <c r="T29" s="625">
        <v>0</v>
      </c>
      <c r="U29" s="622">
        <v>0</v>
      </c>
      <c r="V29" s="622">
        <v>0</v>
      </c>
      <c r="W29" s="622">
        <v>0</v>
      </c>
      <c r="X29" s="622">
        <v>0</v>
      </c>
      <c r="Y29" s="622">
        <v>0</v>
      </c>
      <c r="Z29" s="622">
        <v>0</v>
      </c>
      <c r="AA29" s="622">
        <v>0</v>
      </c>
      <c r="AB29" s="622">
        <v>0</v>
      </c>
      <c r="AC29" s="622">
        <v>0</v>
      </c>
      <c r="AD29" s="622">
        <v>0</v>
      </c>
      <c r="AE29" s="622">
        <v>0</v>
      </c>
      <c r="AF29" s="622">
        <v>0</v>
      </c>
      <c r="AG29" s="17">
        <f t="shared" si="5"/>
        <v>0</v>
      </c>
      <c r="AH29" s="627"/>
      <c r="AI29" s="606"/>
      <c r="AJ29" s="621"/>
      <c r="AK29" s="621"/>
    </row>
    <row r="30" spans="1:37" s="628" customFormat="1" ht="12.75" hidden="1" customHeight="1" x14ac:dyDescent="0.2">
      <c r="A30" s="606"/>
      <c r="B30" s="606"/>
      <c r="C30" s="584"/>
      <c r="D30" s="510" t="s">
        <v>577</v>
      </c>
      <c r="E30" s="558"/>
      <c r="F30" s="625">
        <v>0</v>
      </c>
      <c r="G30" s="622">
        <v>0</v>
      </c>
      <c r="H30" s="622">
        <v>0</v>
      </c>
      <c r="I30" s="622">
        <v>0</v>
      </c>
      <c r="J30" s="622">
        <v>0</v>
      </c>
      <c r="K30" s="622">
        <v>0</v>
      </c>
      <c r="L30" s="622">
        <v>0</v>
      </c>
      <c r="M30" s="622">
        <v>0</v>
      </c>
      <c r="N30" s="622">
        <v>0</v>
      </c>
      <c r="O30" s="622">
        <v>0</v>
      </c>
      <c r="P30" s="622">
        <v>0</v>
      </c>
      <c r="Q30" s="622">
        <v>0</v>
      </c>
      <c r="R30" s="622">
        <v>0</v>
      </c>
      <c r="S30" s="17">
        <f t="shared" si="3"/>
        <v>0</v>
      </c>
      <c r="T30" s="625">
        <v>0</v>
      </c>
      <c r="U30" s="622">
        <v>0</v>
      </c>
      <c r="V30" s="622">
        <v>0</v>
      </c>
      <c r="W30" s="622">
        <v>0</v>
      </c>
      <c r="X30" s="622">
        <v>0</v>
      </c>
      <c r="Y30" s="622">
        <v>0</v>
      </c>
      <c r="Z30" s="622">
        <v>0</v>
      </c>
      <c r="AA30" s="622">
        <v>0</v>
      </c>
      <c r="AB30" s="622">
        <v>0</v>
      </c>
      <c r="AC30" s="622">
        <v>0</v>
      </c>
      <c r="AD30" s="622">
        <v>0</v>
      </c>
      <c r="AE30" s="622">
        <v>0</v>
      </c>
      <c r="AF30" s="622">
        <v>0</v>
      </c>
      <c r="AG30" s="17">
        <f t="shared" si="5"/>
        <v>0</v>
      </c>
      <c r="AH30" s="627"/>
      <c r="AI30" s="606"/>
      <c r="AJ30" s="621"/>
      <c r="AK30" s="621"/>
    </row>
    <row r="31" spans="1:37" s="628" customFormat="1" ht="12.75" hidden="1" customHeight="1" x14ac:dyDescent="0.2">
      <c r="A31" s="606"/>
      <c r="B31" s="606"/>
      <c r="C31" s="584"/>
      <c r="D31" s="510" t="s">
        <v>578</v>
      </c>
      <c r="E31" s="558"/>
      <c r="F31" s="625">
        <v>0</v>
      </c>
      <c r="G31" s="622">
        <v>0</v>
      </c>
      <c r="H31" s="622">
        <v>0</v>
      </c>
      <c r="I31" s="622">
        <v>0</v>
      </c>
      <c r="J31" s="622">
        <v>0</v>
      </c>
      <c r="K31" s="622">
        <v>0</v>
      </c>
      <c r="L31" s="622">
        <v>0</v>
      </c>
      <c r="M31" s="622">
        <v>0</v>
      </c>
      <c r="N31" s="622">
        <v>0</v>
      </c>
      <c r="O31" s="622">
        <v>0</v>
      </c>
      <c r="P31" s="622">
        <v>0</v>
      </c>
      <c r="Q31" s="622">
        <v>0</v>
      </c>
      <c r="R31" s="622">
        <v>0</v>
      </c>
      <c r="S31" s="17">
        <f t="shared" si="3"/>
        <v>0</v>
      </c>
      <c r="T31" s="625">
        <v>0</v>
      </c>
      <c r="U31" s="622">
        <v>0</v>
      </c>
      <c r="V31" s="622">
        <v>0</v>
      </c>
      <c r="W31" s="622">
        <v>0</v>
      </c>
      <c r="X31" s="622">
        <v>0</v>
      </c>
      <c r="Y31" s="622">
        <v>0</v>
      </c>
      <c r="Z31" s="622">
        <v>0</v>
      </c>
      <c r="AA31" s="622">
        <v>0</v>
      </c>
      <c r="AB31" s="622">
        <v>0</v>
      </c>
      <c r="AC31" s="622">
        <v>0</v>
      </c>
      <c r="AD31" s="622">
        <v>0</v>
      </c>
      <c r="AE31" s="622">
        <v>0</v>
      </c>
      <c r="AF31" s="622">
        <v>0</v>
      </c>
      <c r="AG31" s="17">
        <f t="shared" si="5"/>
        <v>0</v>
      </c>
      <c r="AH31" s="627"/>
      <c r="AI31" s="606"/>
      <c r="AJ31" s="621"/>
      <c r="AK31" s="621"/>
    </row>
    <row r="32" spans="1:37" ht="12.75" hidden="1" customHeight="1" x14ac:dyDescent="0.2">
      <c r="A32" s="603"/>
      <c r="B32" s="603"/>
      <c r="C32" s="619"/>
      <c r="D32" s="510" t="s">
        <v>579</v>
      </c>
      <c r="E32" s="558"/>
      <c r="F32" s="625">
        <v>0</v>
      </c>
      <c r="G32" s="622">
        <v>0</v>
      </c>
      <c r="H32" s="622">
        <v>0</v>
      </c>
      <c r="I32" s="622">
        <v>0</v>
      </c>
      <c r="J32" s="622">
        <v>0</v>
      </c>
      <c r="K32" s="622">
        <v>0</v>
      </c>
      <c r="L32" s="622">
        <v>0</v>
      </c>
      <c r="M32" s="622">
        <v>0</v>
      </c>
      <c r="N32" s="622">
        <v>0</v>
      </c>
      <c r="O32" s="622">
        <v>0</v>
      </c>
      <c r="P32" s="622">
        <v>0</v>
      </c>
      <c r="Q32" s="622">
        <v>0</v>
      </c>
      <c r="R32" s="622">
        <v>0</v>
      </c>
      <c r="S32" s="17">
        <f t="shared" si="3"/>
        <v>0</v>
      </c>
      <c r="T32" s="625">
        <v>0</v>
      </c>
      <c r="U32" s="622">
        <v>0</v>
      </c>
      <c r="V32" s="622">
        <v>0</v>
      </c>
      <c r="W32" s="622">
        <v>0</v>
      </c>
      <c r="X32" s="622">
        <v>0</v>
      </c>
      <c r="Y32" s="622">
        <v>0</v>
      </c>
      <c r="Z32" s="622">
        <v>0</v>
      </c>
      <c r="AA32" s="622">
        <v>0</v>
      </c>
      <c r="AB32" s="622">
        <v>0</v>
      </c>
      <c r="AC32" s="622">
        <v>0</v>
      </c>
      <c r="AD32" s="622">
        <v>0</v>
      </c>
      <c r="AE32" s="622">
        <v>0</v>
      </c>
      <c r="AF32" s="622">
        <v>0</v>
      </c>
      <c r="AG32" s="17">
        <f t="shared" si="5"/>
        <v>0</v>
      </c>
      <c r="AH32" s="623"/>
      <c r="AI32" s="603"/>
      <c r="AJ32" s="621"/>
      <c r="AK32" s="621"/>
    </row>
    <row r="33" spans="1:37" ht="12.75" hidden="1" customHeight="1" x14ac:dyDescent="0.2">
      <c r="A33" s="603"/>
      <c r="B33" s="603"/>
      <c r="C33" s="619"/>
      <c r="D33" s="510" t="s">
        <v>579</v>
      </c>
      <c r="E33" s="558"/>
      <c r="F33" s="625">
        <v>0</v>
      </c>
      <c r="G33" s="622">
        <v>0</v>
      </c>
      <c r="H33" s="622">
        <v>0</v>
      </c>
      <c r="I33" s="622">
        <v>0</v>
      </c>
      <c r="J33" s="622">
        <v>0</v>
      </c>
      <c r="K33" s="622">
        <v>0</v>
      </c>
      <c r="L33" s="622">
        <v>0</v>
      </c>
      <c r="M33" s="622">
        <v>0</v>
      </c>
      <c r="N33" s="622">
        <v>0</v>
      </c>
      <c r="O33" s="622">
        <v>0</v>
      </c>
      <c r="P33" s="622">
        <v>0</v>
      </c>
      <c r="Q33" s="622">
        <v>0</v>
      </c>
      <c r="R33" s="622">
        <v>0</v>
      </c>
      <c r="S33" s="17">
        <f t="shared" si="3"/>
        <v>0</v>
      </c>
      <c r="T33" s="625">
        <v>0</v>
      </c>
      <c r="U33" s="622">
        <v>0</v>
      </c>
      <c r="V33" s="622">
        <v>0</v>
      </c>
      <c r="W33" s="622">
        <v>0</v>
      </c>
      <c r="X33" s="622">
        <v>0</v>
      </c>
      <c r="Y33" s="622">
        <v>0</v>
      </c>
      <c r="Z33" s="622">
        <v>0</v>
      </c>
      <c r="AA33" s="622">
        <v>0</v>
      </c>
      <c r="AB33" s="622">
        <v>0</v>
      </c>
      <c r="AC33" s="622">
        <v>0</v>
      </c>
      <c r="AD33" s="622">
        <v>0</v>
      </c>
      <c r="AE33" s="622">
        <v>0</v>
      </c>
      <c r="AF33" s="622">
        <v>0</v>
      </c>
      <c r="AG33" s="17">
        <f t="shared" si="5"/>
        <v>0</v>
      </c>
      <c r="AH33" s="623"/>
      <c r="AI33" s="603"/>
      <c r="AJ33" s="621"/>
      <c r="AK33" s="621"/>
    </row>
    <row r="34" spans="1:37" ht="15" hidden="1" customHeight="1" x14ac:dyDescent="0.2">
      <c r="A34" s="603"/>
      <c r="B34" s="603"/>
      <c r="C34" s="619"/>
      <c r="D34" s="267" t="s">
        <v>580</v>
      </c>
      <c r="E34" s="558"/>
      <c r="F34" s="625">
        <v>0</v>
      </c>
      <c r="G34" s="622">
        <v>0</v>
      </c>
      <c r="H34" s="622">
        <v>0</v>
      </c>
      <c r="I34" s="622">
        <v>0</v>
      </c>
      <c r="J34" s="622">
        <v>0</v>
      </c>
      <c r="K34" s="622">
        <v>0</v>
      </c>
      <c r="L34" s="622">
        <v>0</v>
      </c>
      <c r="M34" s="622">
        <v>0</v>
      </c>
      <c r="N34" s="622">
        <v>0</v>
      </c>
      <c r="O34" s="622">
        <v>0</v>
      </c>
      <c r="P34" s="622">
        <v>0</v>
      </c>
      <c r="Q34" s="622">
        <v>0</v>
      </c>
      <c r="R34" s="622">
        <v>0</v>
      </c>
      <c r="S34" s="17">
        <f t="shared" si="3"/>
        <v>0</v>
      </c>
      <c r="T34" s="625">
        <v>0</v>
      </c>
      <c r="U34" s="622">
        <v>0</v>
      </c>
      <c r="V34" s="622">
        <v>0</v>
      </c>
      <c r="W34" s="622">
        <v>0</v>
      </c>
      <c r="X34" s="622">
        <v>0</v>
      </c>
      <c r="Y34" s="622">
        <v>0</v>
      </c>
      <c r="Z34" s="622">
        <v>0</v>
      </c>
      <c r="AA34" s="622">
        <v>0</v>
      </c>
      <c r="AB34" s="622">
        <v>0</v>
      </c>
      <c r="AC34" s="622">
        <v>0</v>
      </c>
      <c r="AD34" s="622">
        <v>0</v>
      </c>
      <c r="AE34" s="622">
        <v>0</v>
      </c>
      <c r="AF34" s="622">
        <v>0</v>
      </c>
      <c r="AG34" s="17">
        <f t="shared" si="5"/>
        <v>0</v>
      </c>
      <c r="AH34" s="623"/>
      <c r="AI34" s="603"/>
      <c r="AJ34" s="621"/>
      <c r="AK34" s="621"/>
    </row>
    <row r="35" spans="1:37" ht="12.75" hidden="1" customHeight="1" x14ac:dyDescent="0.2">
      <c r="A35" s="603"/>
      <c r="B35" s="603"/>
      <c r="C35" s="619"/>
      <c r="D35" s="510" t="s">
        <v>581</v>
      </c>
      <c r="E35" s="558"/>
      <c r="F35" s="625">
        <v>0</v>
      </c>
      <c r="G35" s="622">
        <v>0</v>
      </c>
      <c r="H35" s="622">
        <v>0</v>
      </c>
      <c r="I35" s="622">
        <v>0</v>
      </c>
      <c r="J35" s="622">
        <v>0</v>
      </c>
      <c r="K35" s="622">
        <v>0</v>
      </c>
      <c r="L35" s="622">
        <v>0</v>
      </c>
      <c r="M35" s="622">
        <v>0</v>
      </c>
      <c r="N35" s="622">
        <v>0</v>
      </c>
      <c r="O35" s="622">
        <v>0</v>
      </c>
      <c r="P35" s="622">
        <v>0</v>
      </c>
      <c r="Q35" s="622">
        <v>0</v>
      </c>
      <c r="R35" s="622">
        <v>0</v>
      </c>
      <c r="S35" s="17">
        <f>SUM(G35:R35)</f>
        <v>0</v>
      </c>
      <c r="T35" s="625">
        <v>0</v>
      </c>
      <c r="U35" s="622">
        <v>0</v>
      </c>
      <c r="V35" s="622">
        <v>0</v>
      </c>
      <c r="W35" s="622">
        <v>0</v>
      </c>
      <c r="X35" s="622">
        <v>0</v>
      </c>
      <c r="Y35" s="622">
        <v>0</v>
      </c>
      <c r="Z35" s="622">
        <v>0</v>
      </c>
      <c r="AA35" s="622">
        <v>0</v>
      </c>
      <c r="AB35" s="622">
        <v>0</v>
      </c>
      <c r="AC35" s="622">
        <v>0</v>
      </c>
      <c r="AD35" s="622">
        <v>0</v>
      </c>
      <c r="AE35" s="622">
        <v>0</v>
      </c>
      <c r="AF35" s="622">
        <v>0</v>
      </c>
      <c r="AG35" s="17">
        <f t="shared" si="5"/>
        <v>0</v>
      </c>
      <c r="AH35" s="623"/>
      <c r="AI35" s="603"/>
      <c r="AJ35" s="621"/>
      <c r="AK35" s="621"/>
    </row>
    <row r="36" spans="1:37" hidden="1" x14ac:dyDescent="0.2">
      <c r="A36" s="603"/>
      <c r="B36" s="603"/>
      <c r="C36" s="619"/>
      <c r="D36" s="510" t="s">
        <v>582</v>
      </c>
      <c r="E36" s="558"/>
      <c r="F36" s="625">
        <v>0</v>
      </c>
      <c r="G36" s="622">
        <v>0</v>
      </c>
      <c r="H36" s="622">
        <v>0</v>
      </c>
      <c r="I36" s="622">
        <v>0</v>
      </c>
      <c r="J36" s="622">
        <v>0</v>
      </c>
      <c r="K36" s="622">
        <v>0</v>
      </c>
      <c r="L36" s="622">
        <v>0</v>
      </c>
      <c r="M36" s="622">
        <v>0</v>
      </c>
      <c r="N36" s="622">
        <v>0</v>
      </c>
      <c r="O36" s="622">
        <v>0</v>
      </c>
      <c r="P36" s="622">
        <v>0</v>
      </c>
      <c r="Q36" s="622">
        <v>0</v>
      </c>
      <c r="R36" s="622">
        <v>0</v>
      </c>
      <c r="S36" s="17">
        <f>SUM(G36:R36)</f>
        <v>0</v>
      </c>
      <c r="T36" s="625">
        <v>0</v>
      </c>
      <c r="U36" s="622">
        <v>0</v>
      </c>
      <c r="V36" s="622">
        <v>0</v>
      </c>
      <c r="W36" s="622">
        <v>0</v>
      </c>
      <c r="X36" s="622">
        <v>0</v>
      </c>
      <c r="Y36" s="622">
        <v>0</v>
      </c>
      <c r="Z36" s="622">
        <v>0</v>
      </c>
      <c r="AA36" s="622">
        <v>0</v>
      </c>
      <c r="AB36" s="622">
        <v>0</v>
      </c>
      <c r="AC36" s="622">
        <v>0</v>
      </c>
      <c r="AD36" s="622">
        <v>0</v>
      </c>
      <c r="AE36" s="622">
        <v>0</v>
      </c>
      <c r="AF36" s="622">
        <v>0</v>
      </c>
      <c r="AG36" s="17">
        <f t="shared" si="5"/>
        <v>0</v>
      </c>
      <c r="AH36" s="623"/>
      <c r="AI36" s="603"/>
      <c r="AJ36" s="621"/>
      <c r="AK36" s="621">
        <v>1316271</v>
      </c>
    </row>
    <row r="37" spans="1:37" hidden="1" x14ac:dyDescent="0.2">
      <c r="A37" s="603"/>
      <c r="B37" s="603"/>
      <c r="C37" s="619"/>
      <c r="D37" s="510" t="s">
        <v>583</v>
      </c>
      <c r="E37" s="558"/>
      <c r="F37" s="625">
        <v>0</v>
      </c>
      <c r="G37" s="622">
        <v>0</v>
      </c>
      <c r="H37" s="622">
        <v>0</v>
      </c>
      <c r="I37" s="622">
        <v>0</v>
      </c>
      <c r="J37" s="622">
        <v>0</v>
      </c>
      <c r="K37" s="622">
        <v>0</v>
      </c>
      <c r="L37" s="622">
        <v>0</v>
      </c>
      <c r="M37" s="622">
        <v>0</v>
      </c>
      <c r="N37" s="622">
        <v>0</v>
      </c>
      <c r="O37" s="622">
        <v>0</v>
      </c>
      <c r="P37" s="622">
        <v>0</v>
      </c>
      <c r="Q37" s="622">
        <v>0</v>
      </c>
      <c r="R37" s="622">
        <v>0</v>
      </c>
      <c r="S37" s="17">
        <f>SUM(G37:R37)</f>
        <v>0</v>
      </c>
      <c r="T37" s="625">
        <v>0</v>
      </c>
      <c r="U37" s="622">
        <v>0</v>
      </c>
      <c r="V37" s="622">
        <v>0</v>
      </c>
      <c r="W37" s="622">
        <v>0</v>
      </c>
      <c r="X37" s="622">
        <v>0</v>
      </c>
      <c r="Y37" s="622">
        <v>0</v>
      </c>
      <c r="Z37" s="622">
        <v>0</v>
      </c>
      <c r="AA37" s="622">
        <v>0</v>
      </c>
      <c r="AB37" s="622">
        <v>0</v>
      </c>
      <c r="AC37" s="622">
        <v>0</v>
      </c>
      <c r="AD37" s="622">
        <v>0</v>
      </c>
      <c r="AE37" s="622">
        <v>0</v>
      </c>
      <c r="AF37" s="622">
        <v>0</v>
      </c>
      <c r="AG37" s="17">
        <f t="shared" si="5"/>
        <v>0</v>
      </c>
      <c r="AH37" s="623"/>
      <c r="AI37" s="603"/>
      <c r="AJ37" s="621"/>
      <c r="AK37" s="621"/>
    </row>
    <row r="38" spans="1:37" hidden="1" x14ac:dyDescent="0.2">
      <c r="A38" s="603"/>
      <c r="B38" s="603"/>
      <c r="C38" s="619"/>
      <c r="D38" s="267" t="s">
        <v>584</v>
      </c>
      <c r="E38" s="558"/>
      <c r="F38" s="622">
        <v>0</v>
      </c>
      <c r="G38" s="622">
        <v>0</v>
      </c>
      <c r="H38" s="622">
        <v>0</v>
      </c>
      <c r="I38" s="622">
        <v>0</v>
      </c>
      <c r="J38" s="622">
        <v>0</v>
      </c>
      <c r="K38" s="622">
        <v>0</v>
      </c>
      <c r="L38" s="622">
        <v>0</v>
      </c>
      <c r="M38" s="622">
        <v>0</v>
      </c>
      <c r="N38" s="622">
        <v>0</v>
      </c>
      <c r="O38" s="622">
        <v>0</v>
      </c>
      <c r="P38" s="622">
        <v>0</v>
      </c>
      <c r="Q38" s="622">
        <v>0</v>
      </c>
      <c r="R38" s="622">
        <v>0</v>
      </c>
      <c r="S38" s="17">
        <f>SUM(G38:R38)</f>
        <v>0</v>
      </c>
      <c r="T38" s="622">
        <v>0</v>
      </c>
      <c r="U38" s="622">
        <v>0</v>
      </c>
      <c r="V38" s="622">
        <v>0</v>
      </c>
      <c r="W38" s="622">
        <v>0</v>
      </c>
      <c r="X38" s="622">
        <v>0</v>
      </c>
      <c r="Y38" s="622">
        <v>0</v>
      </c>
      <c r="Z38" s="622">
        <v>0</v>
      </c>
      <c r="AA38" s="622">
        <v>0</v>
      </c>
      <c r="AB38" s="622">
        <v>0</v>
      </c>
      <c r="AC38" s="622">
        <v>0</v>
      </c>
      <c r="AD38" s="622">
        <v>0</v>
      </c>
      <c r="AE38" s="622">
        <v>0</v>
      </c>
      <c r="AF38" s="622">
        <v>0</v>
      </c>
      <c r="AG38" s="17">
        <f t="shared" si="5"/>
        <v>0</v>
      </c>
      <c r="AH38" s="623"/>
      <c r="AI38" s="603"/>
      <c r="AJ38" s="621"/>
      <c r="AK38" s="621"/>
    </row>
    <row r="39" spans="1:37" ht="12.75" customHeight="1" x14ac:dyDescent="0.2">
      <c r="A39" s="603"/>
      <c r="B39" s="603"/>
      <c r="C39" s="619"/>
      <c r="D39" s="267"/>
      <c r="E39" s="514"/>
      <c r="F39" s="622"/>
      <c r="G39" s="622"/>
      <c r="H39" s="622"/>
      <c r="I39" s="622"/>
      <c r="J39" s="622"/>
      <c r="K39" s="622"/>
      <c r="L39" s="622"/>
      <c r="M39" s="622"/>
      <c r="N39" s="622"/>
      <c r="O39" s="622"/>
      <c r="P39" s="622"/>
      <c r="Q39" s="622"/>
      <c r="R39" s="622"/>
      <c r="S39" s="17"/>
      <c r="T39" s="622"/>
      <c r="U39" s="622"/>
      <c r="V39" s="622"/>
      <c r="W39" s="622"/>
      <c r="X39" s="622"/>
      <c r="Y39" s="622"/>
      <c r="Z39" s="622"/>
      <c r="AA39" s="622"/>
      <c r="AB39" s="622"/>
      <c r="AC39" s="622"/>
      <c r="AD39" s="622"/>
      <c r="AE39" s="622"/>
      <c r="AF39" s="622"/>
      <c r="AG39" s="17"/>
      <c r="AH39" s="623"/>
      <c r="AI39" s="603"/>
      <c r="AJ39" s="621"/>
      <c r="AK39" s="621"/>
    </row>
    <row r="40" spans="1:37" x14ac:dyDescent="0.2">
      <c r="A40" s="603"/>
      <c r="B40" s="603"/>
      <c r="C40" s="619" t="s">
        <v>585</v>
      </c>
      <c r="D40" s="239"/>
      <c r="E40" s="629"/>
      <c r="F40" s="618">
        <f t="shared" ref="F40:R40" si="6">SUM(F41:F49)</f>
        <v>-480432</v>
      </c>
      <c r="G40" s="618">
        <f>SUM(G41:G49)</f>
        <v>-18</v>
      </c>
      <c r="H40" s="618">
        <f t="shared" si="6"/>
        <v>-111334</v>
      </c>
      <c r="I40" s="618">
        <f t="shared" si="6"/>
        <v>-2</v>
      </c>
      <c r="J40" s="618">
        <f t="shared" si="6"/>
        <v>0</v>
      </c>
      <c r="K40" s="618">
        <f t="shared" si="6"/>
        <v>-1</v>
      </c>
      <c r="L40" s="618">
        <f t="shared" si="6"/>
        <v>-66260</v>
      </c>
      <c r="M40" s="618">
        <f t="shared" si="6"/>
        <v>-260</v>
      </c>
      <c r="N40" s="618">
        <f t="shared" si="6"/>
        <v>0</v>
      </c>
      <c r="O40" s="618">
        <f t="shared" si="6"/>
        <v>-2</v>
      </c>
      <c r="P40" s="618">
        <f>SUM(P41:P49)</f>
        <v>-8</v>
      </c>
      <c r="Q40" s="618">
        <f t="shared" si="6"/>
        <v>-410372</v>
      </c>
      <c r="R40" s="618">
        <f t="shared" si="6"/>
        <v>-86</v>
      </c>
      <c r="S40" s="618">
        <f>SUM(S41:S49)</f>
        <v>-588343</v>
      </c>
      <c r="T40" s="618">
        <f>SUM(T41:T49)</f>
        <v>-468468</v>
      </c>
      <c r="U40" s="618">
        <f>SUM(U41:U49)</f>
        <v>-131872</v>
      </c>
      <c r="V40" s="618">
        <f t="shared" ref="V40:AC40" si="7">SUM(V41:V49)</f>
        <v>-83878</v>
      </c>
      <c r="W40" s="618">
        <f t="shared" si="7"/>
        <v>-23306</v>
      </c>
      <c r="X40" s="618">
        <f t="shared" si="7"/>
        <v>-119906</v>
      </c>
      <c r="Y40" s="618">
        <f t="shared" si="7"/>
        <v>-230</v>
      </c>
      <c r="Z40" s="618">
        <f t="shared" si="7"/>
        <v>-21</v>
      </c>
      <c r="AA40" s="618">
        <f t="shared" si="7"/>
        <v>-30</v>
      </c>
      <c r="AB40" s="618">
        <f t="shared" si="7"/>
        <v>-1363</v>
      </c>
      <c r="AC40" s="618">
        <f t="shared" si="7"/>
        <v>-107525</v>
      </c>
      <c r="AD40" s="618">
        <f>SUM(AD41:AD49)</f>
        <v>-298</v>
      </c>
      <c r="AE40" s="618">
        <f>SUM(AE41:AE49)</f>
        <v>0</v>
      </c>
      <c r="AF40" s="618">
        <f>SUM(AF41:AF49)</f>
        <v>-39</v>
      </c>
      <c r="AG40" s="618">
        <f>SUM(AG41:AG49)</f>
        <v>-468468</v>
      </c>
      <c r="AH40" s="623"/>
      <c r="AI40" s="603"/>
      <c r="AJ40" s="621"/>
      <c r="AK40" s="621"/>
    </row>
    <row r="41" spans="1:37" hidden="1" x14ac:dyDescent="0.2">
      <c r="A41" s="603"/>
      <c r="B41" s="603"/>
      <c r="C41" s="630"/>
      <c r="D41" s="267" t="s">
        <v>586</v>
      </c>
      <c r="E41" s="558"/>
      <c r="F41" s="622">
        <v>0</v>
      </c>
      <c r="G41" s="17">
        <v>0</v>
      </c>
      <c r="H41" s="17">
        <v>0</v>
      </c>
      <c r="I41" s="17">
        <v>0</v>
      </c>
      <c r="J41" s="17">
        <v>0</v>
      </c>
      <c r="K41" s="17">
        <v>0</v>
      </c>
      <c r="L41" s="17">
        <v>0</v>
      </c>
      <c r="M41" s="17">
        <v>0</v>
      </c>
      <c r="N41" s="17">
        <v>0</v>
      </c>
      <c r="O41" s="17">
        <v>0</v>
      </c>
      <c r="P41" s="17">
        <v>0</v>
      </c>
      <c r="Q41" s="17">
        <v>0</v>
      </c>
      <c r="R41" s="17">
        <v>0</v>
      </c>
      <c r="S41" s="17">
        <f t="shared" ref="S41:S49" si="8">SUM(G41:R41)</f>
        <v>0</v>
      </c>
      <c r="T41" s="622">
        <v>0</v>
      </c>
      <c r="U41" s="17">
        <v>0</v>
      </c>
      <c r="V41" s="17">
        <v>0</v>
      </c>
      <c r="W41" s="17">
        <v>0</v>
      </c>
      <c r="X41" s="17">
        <v>0</v>
      </c>
      <c r="Y41" s="17">
        <v>0</v>
      </c>
      <c r="Z41" s="17">
        <v>0</v>
      </c>
      <c r="AA41" s="17">
        <v>0</v>
      </c>
      <c r="AB41" s="17">
        <v>0</v>
      </c>
      <c r="AC41" s="17">
        <v>0</v>
      </c>
      <c r="AD41" s="17">
        <v>0</v>
      </c>
      <c r="AE41" s="17">
        <v>0</v>
      </c>
      <c r="AF41" s="17">
        <v>0</v>
      </c>
      <c r="AG41" s="17">
        <f t="shared" ref="AG41:AG49" si="9">SUM(U41:AF41)</f>
        <v>0</v>
      </c>
      <c r="AH41" s="620"/>
      <c r="AI41" s="603"/>
      <c r="AJ41" s="621"/>
      <c r="AK41" s="621"/>
    </row>
    <row r="42" spans="1:37" hidden="1" x14ac:dyDescent="0.2">
      <c r="A42" s="603"/>
      <c r="B42" s="603"/>
      <c r="C42" s="630"/>
      <c r="D42" s="267" t="s">
        <v>587</v>
      </c>
      <c r="E42" s="558"/>
      <c r="F42" s="625">
        <v>0</v>
      </c>
      <c r="G42" s="17">
        <v>0</v>
      </c>
      <c r="H42" s="17">
        <v>0</v>
      </c>
      <c r="I42" s="17">
        <v>0</v>
      </c>
      <c r="J42" s="17">
        <v>0</v>
      </c>
      <c r="K42" s="17">
        <v>0</v>
      </c>
      <c r="L42" s="17">
        <v>0</v>
      </c>
      <c r="M42" s="17">
        <v>0</v>
      </c>
      <c r="N42" s="17">
        <v>0</v>
      </c>
      <c r="O42" s="17">
        <v>0</v>
      </c>
      <c r="P42" s="17">
        <v>0</v>
      </c>
      <c r="Q42" s="17">
        <v>0</v>
      </c>
      <c r="R42" s="17">
        <v>0</v>
      </c>
      <c r="S42" s="17">
        <f t="shared" si="8"/>
        <v>0</v>
      </c>
      <c r="T42" s="625">
        <v>0</v>
      </c>
      <c r="U42" s="17">
        <v>0</v>
      </c>
      <c r="V42" s="17">
        <v>0</v>
      </c>
      <c r="W42" s="17">
        <v>0</v>
      </c>
      <c r="X42" s="17">
        <v>0</v>
      </c>
      <c r="Y42" s="17">
        <v>0</v>
      </c>
      <c r="Z42" s="17">
        <v>0</v>
      </c>
      <c r="AA42" s="17">
        <v>0</v>
      </c>
      <c r="AB42" s="17">
        <v>0</v>
      </c>
      <c r="AC42" s="17">
        <v>0</v>
      </c>
      <c r="AD42" s="17">
        <v>0</v>
      </c>
      <c r="AE42" s="17">
        <v>0</v>
      </c>
      <c r="AF42" s="17">
        <v>0</v>
      </c>
      <c r="AG42" s="17">
        <f t="shared" si="9"/>
        <v>0</v>
      </c>
      <c r="AH42" s="620"/>
      <c r="AI42" s="603"/>
      <c r="AJ42" s="621"/>
      <c r="AK42" s="621"/>
    </row>
    <row r="43" spans="1:37" x14ac:dyDescent="0.2">
      <c r="A43" s="603"/>
      <c r="B43" s="603"/>
      <c r="C43" s="630"/>
      <c r="D43" s="510" t="s">
        <v>588</v>
      </c>
      <c r="E43" s="629" t="s">
        <v>75</v>
      </c>
      <c r="F43" s="625">
        <v>-111331</v>
      </c>
      <c r="G43" s="17">
        <v>0</v>
      </c>
      <c r="H43" s="17">
        <v>-111331</v>
      </c>
      <c r="I43" s="17">
        <v>0</v>
      </c>
      <c r="J43" s="17">
        <v>0</v>
      </c>
      <c r="K43" s="17">
        <v>0</v>
      </c>
      <c r="L43" s="17">
        <v>0</v>
      </c>
      <c r="M43" s="17">
        <v>0</v>
      </c>
      <c r="N43" s="17">
        <v>0</v>
      </c>
      <c r="O43" s="17">
        <v>0</v>
      </c>
      <c r="P43" s="17">
        <v>0</v>
      </c>
      <c r="Q43" s="17">
        <v>0</v>
      </c>
      <c r="R43" s="17">
        <v>0</v>
      </c>
      <c r="S43" s="17">
        <f t="shared" si="8"/>
        <v>-111331</v>
      </c>
      <c r="T43" s="625">
        <v>-131729</v>
      </c>
      <c r="U43" s="17">
        <v>-131729</v>
      </c>
      <c r="V43" s="17">
        <v>0</v>
      </c>
      <c r="W43" s="17">
        <v>0</v>
      </c>
      <c r="X43" s="17">
        <v>0</v>
      </c>
      <c r="Y43" s="17">
        <v>0</v>
      </c>
      <c r="Z43" s="17">
        <v>0</v>
      </c>
      <c r="AA43" s="17">
        <v>0</v>
      </c>
      <c r="AB43" s="17">
        <v>0</v>
      </c>
      <c r="AC43" s="17">
        <v>0</v>
      </c>
      <c r="AD43" s="17">
        <v>0</v>
      </c>
      <c r="AE43" s="17">
        <v>0</v>
      </c>
      <c r="AF43" s="17">
        <v>0</v>
      </c>
      <c r="AG43" s="17">
        <f t="shared" si="9"/>
        <v>-131729</v>
      </c>
      <c r="AH43" s="620"/>
      <c r="AI43" s="603"/>
      <c r="AJ43" s="621"/>
      <c r="AK43" s="621"/>
    </row>
    <row r="44" spans="1:37" ht="12.75" customHeight="1" x14ac:dyDescent="0.2">
      <c r="A44" s="603"/>
      <c r="B44" s="603"/>
      <c r="C44" s="630"/>
      <c r="D44" s="267" t="s">
        <v>589</v>
      </c>
      <c r="E44" s="558"/>
      <c r="F44" s="625">
        <v>-66520</v>
      </c>
      <c r="G44" s="17">
        <v>0</v>
      </c>
      <c r="H44" s="17">
        <v>0</v>
      </c>
      <c r="I44" s="17">
        <v>0</v>
      </c>
      <c r="J44" s="17">
        <v>0</v>
      </c>
      <c r="K44" s="17">
        <v>0</v>
      </c>
      <c r="L44" s="17">
        <v>-66260</v>
      </c>
      <c r="M44" s="17">
        <v>-260</v>
      </c>
      <c r="N44" s="17">
        <v>0</v>
      </c>
      <c r="O44" s="17">
        <v>0</v>
      </c>
      <c r="P44" s="17">
        <v>0</v>
      </c>
      <c r="Q44" s="17">
        <v>0</v>
      </c>
      <c r="R44" s="17">
        <v>0</v>
      </c>
      <c r="S44" s="17">
        <f t="shared" si="8"/>
        <v>-66520</v>
      </c>
      <c r="T44" s="625">
        <v>-252652</v>
      </c>
      <c r="U44" s="17">
        <v>0</v>
      </c>
      <c r="V44" s="17">
        <v>0</v>
      </c>
      <c r="W44" s="17">
        <v>-23306</v>
      </c>
      <c r="X44" s="17">
        <v>-119905</v>
      </c>
      <c r="Y44" s="17">
        <v>-217</v>
      </c>
      <c r="Z44" s="17">
        <v>0</v>
      </c>
      <c r="AA44" s="17">
        <v>-30</v>
      </c>
      <c r="AB44" s="17">
        <v>-1360</v>
      </c>
      <c r="AC44" s="17">
        <v>-107525</v>
      </c>
      <c r="AD44" s="17">
        <v>-298</v>
      </c>
      <c r="AE44" s="17">
        <v>0</v>
      </c>
      <c r="AF44" s="17">
        <v>-11</v>
      </c>
      <c r="AG44" s="17">
        <f t="shared" si="9"/>
        <v>-252652</v>
      </c>
      <c r="AH44" s="620"/>
      <c r="AI44" s="603"/>
      <c r="AJ44" s="621"/>
      <c r="AK44" s="621"/>
    </row>
    <row r="45" spans="1:37" x14ac:dyDescent="0.2">
      <c r="A45" s="603"/>
      <c r="B45" s="603"/>
      <c r="C45" s="630"/>
      <c r="D45" s="267" t="s">
        <v>590</v>
      </c>
      <c r="E45" s="558"/>
      <c r="F45" s="625">
        <v>-302552</v>
      </c>
      <c r="G45" s="17">
        <v>0</v>
      </c>
      <c r="H45" s="17">
        <v>0</v>
      </c>
      <c r="I45" s="17">
        <v>0</v>
      </c>
      <c r="J45" s="17">
        <v>0</v>
      </c>
      <c r="K45" s="17">
        <v>0</v>
      </c>
      <c r="L45" s="17">
        <v>0</v>
      </c>
      <c r="M45" s="17">
        <v>0</v>
      </c>
      <c r="N45" s="17">
        <v>0</v>
      </c>
      <c r="O45" s="17">
        <v>0</v>
      </c>
      <c r="P45" s="17">
        <v>0</v>
      </c>
      <c r="Q45" s="17">
        <v>-410339</v>
      </c>
      <c r="R45" s="17">
        <v>0</v>
      </c>
      <c r="S45" s="17">
        <f t="shared" si="8"/>
        <v>-410339</v>
      </c>
      <c r="T45" s="625">
        <v>-83878</v>
      </c>
      <c r="U45" s="17">
        <v>0</v>
      </c>
      <c r="V45" s="17">
        <v>-83878</v>
      </c>
      <c r="W45" s="17">
        <v>0</v>
      </c>
      <c r="X45" s="17">
        <v>0</v>
      </c>
      <c r="Y45" s="17">
        <v>0</v>
      </c>
      <c r="Z45" s="17">
        <v>0</v>
      </c>
      <c r="AA45" s="17">
        <v>0</v>
      </c>
      <c r="AB45" s="17">
        <v>0</v>
      </c>
      <c r="AC45" s="17">
        <v>0</v>
      </c>
      <c r="AD45" s="17">
        <v>0</v>
      </c>
      <c r="AE45" s="17">
        <v>0</v>
      </c>
      <c r="AF45" s="17">
        <v>0</v>
      </c>
      <c r="AG45" s="17">
        <f t="shared" si="9"/>
        <v>-83878</v>
      </c>
      <c r="AH45" s="620"/>
      <c r="AI45" s="603"/>
      <c r="AJ45" s="621"/>
      <c r="AK45" s="621"/>
    </row>
    <row r="46" spans="1:37" hidden="1" x14ac:dyDescent="0.2">
      <c r="A46" s="603"/>
      <c r="B46" s="603"/>
      <c r="C46" s="630"/>
      <c r="D46" s="267" t="s">
        <v>591</v>
      </c>
      <c r="E46" s="558"/>
      <c r="F46" s="622">
        <v>0</v>
      </c>
      <c r="G46" s="17">
        <v>0</v>
      </c>
      <c r="H46" s="17">
        <v>0</v>
      </c>
      <c r="I46" s="17">
        <v>0</v>
      </c>
      <c r="J46" s="17">
        <v>0</v>
      </c>
      <c r="K46" s="17">
        <v>0</v>
      </c>
      <c r="L46" s="17">
        <v>0</v>
      </c>
      <c r="M46" s="17">
        <v>0</v>
      </c>
      <c r="N46" s="17">
        <v>0</v>
      </c>
      <c r="O46" s="17">
        <v>0</v>
      </c>
      <c r="P46" s="17">
        <v>0</v>
      </c>
      <c r="Q46" s="17">
        <v>0</v>
      </c>
      <c r="R46" s="17">
        <v>0</v>
      </c>
      <c r="S46" s="17">
        <f t="shared" si="8"/>
        <v>0</v>
      </c>
      <c r="T46" s="622">
        <v>0</v>
      </c>
      <c r="U46" s="17">
        <v>0</v>
      </c>
      <c r="V46" s="17">
        <v>0</v>
      </c>
      <c r="W46" s="17">
        <v>0</v>
      </c>
      <c r="X46" s="17">
        <v>0</v>
      </c>
      <c r="Y46" s="17">
        <v>0</v>
      </c>
      <c r="Z46" s="17">
        <v>0</v>
      </c>
      <c r="AA46" s="17">
        <v>0</v>
      </c>
      <c r="AB46" s="17">
        <v>0</v>
      </c>
      <c r="AC46" s="17">
        <v>0</v>
      </c>
      <c r="AD46" s="17">
        <v>0</v>
      </c>
      <c r="AE46" s="17">
        <v>0</v>
      </c>
      <c r="AF46" s="17">
        <v>0</v>
      </c>
      <c r="AG46" s="17">
        <f t="shared" si="9"/>
        <v>0</v>
      </c>
      <c r="AH46" s="620"/>
      <c r="AI46" s="603"/>
      <c r="AJ46" s="621"/>
      <c r="AK46" s="621"/>
    </row>
    <row r="47" spans="1:37" ht="12.75" hidden="1" customHeight="1" x14ac:dyDescent="0.2">
      <c r="A47" s="603"/>
      <c r="B47" s="603"/>
      <c r="C47" s="630"/>
      <c r="D47" s="510" t="s">
        <v>592</v>
      </c>
      <c r="E47" s="514"/>
      <c r="F47" s="622">
        <v>0</v>
      </c>
      <c r="G47" s="17">
        <v>0</v>
      </c>
      <c r="H47" s="17">
        <v>0</v>
      </c>
      <c r="I47" s="17">
        <v>0</v>
      </c>
      <c r="J47" s="17">
        <v>0</v>
      </c>
      <c r="K47" s="17">
        <v>0</v>
      </c>
      <c r="L47" s="17">
        <v>0</v>
      </c>
      <c r="M47" s="17">
        <v>0</v>
      </c>
      <c r="N47" s="17">
        <v>0</v>
      </c>
      <c r="O47" s="17">
        <v>0</v>
      </c>
      <c r="P47" s="17">
        <v>0</v>
      </c>
      <c r="Q47" s="17">
        <v>0</v>
      </c>
      <c r="R47" s="17">
        <v>0</v>
      </c>
      <c r="S47" s="17">
        <f t="shared" si="8"/>
        <v>0</v>
      </c>
      <c r="T47" s="622">
        <v>0</v>
      </c>
      <c r="U47" s="17">
        <v>0</v>
      </c>
      <c r="V47" s="17">
        <v>0</v>
      </c>
      <c r="W47" s="17">
        <v>0</v>
      </c>
      <c r="X47" s="17">
        <v>0</v>
      </c>
      <c r="Y47" s="17">
        <v>0</v>
      </c>
      <c r="Z47" s="17">
        <v>0</v>
      </c>
      <c r="AA47" s="17">
        <v>0</v>
      </c>
      <c r="AB47" s="17">
        <v>0</v>
      </c>
      <c r="AC47" s="17">
        <v>0</v>
      </c>
      <c r="AD47" s="17">
        <v>0</v>
      </c>
      <c r="AE47" s="17">
        <v>0</v>
      </c>
      <c r="AF47" s="17">
        <v>0</v>
      </c>
      <c r="AG47" s="17">
        <f t="shared" si="9"/>
        <v>0</v>
      </c>
      <c r="AH47" s="620"/>
      <c r="AI47" s="603"/>
      <c r="AJ47" s="621"/>
      <c r="AK47" s="621"/>
    </row>
    <row r="48" spans="1:37" ht="12.75" hidden="1" customHeight="1" x14ac:dyDescent="0.2">
      <c r="A48" s="603"/>
      <c r="B48" s="603"/>
      <c r="C48" s="630"/>
      <c r="D48" s="510" t="s">
        <v>593</v>
      </c>
      <c r="E48" s="514"/>
      <c r="F48" s="622">
        <v>0</v>
      </c>
      <c r="G48" s="17">
        <v>0</v>
      </c>
      <c r="H48" s="17">
        <v>0</v>
      </c>
      <c r="I48" s="17">
        <v>0</v>
      </c>
      <c r="J48" s="17">
        <v>0</v>
      </c>
      <c r="K48" s="17">
        <v>0</v>
      </c>
      <c r="L48" s="17">
        <v>0</v>
      </c>
      <c r="M48" s="17">
        <v>0</v>
      </c>
      <c r="N48" s="17">
        <v>0</v>
      </c>
      <c r="O48" s="17">
        <v>0</v>
      </c>
      <c r="P48" s="17">
        <v>0</v>
      </c>
      <c r="Q48" s="17">
        <v>0</v>
      </c>
      <c r="R48" s="17">
        <v>0</v>
      </c>
      <c r="S48" s="17">
        <f t="shared" si="8"/>
        <v>0</v>
      </c>
      <c r="T48" s="622">
        <v>0</v>
      </c>
      <c r="U48" s="17">
        <v>0</v>
      </c>
      <c r="V48" s="17">
        <v>0</v>
      </c>
      <c r="W48" s="17">
        <v>0</v>
      </c>
      <c r="X48" s="17">
        <v>0</v>
      </c>
      <c r="Y48" s="17">
        <v>0</v>
      </c>
      <c r="Z48" s="17">
        <v>0</v>
      </c>
      <c r="AA48" s="17">
        <v>0</v>
      </c>
      <c r="AB48" s="17">
        <v>0</v>
      </c>
      <c r="AC48" s="17">
        <v>0</v>
      </c>
      <c r="AD48" s="17">
        <v>0</v>
      </c>
      <c r="AE48" s="17">
        <v>0</v>
      </c>
      <c r="AF48" s="17">
        <v>0</v>
      </c>
      <c r="AG48" s="17">
        <f t="shared" si="9"/>
        <v>0</v>
      </c>
      <c r="AH48" s="620"/>
      <c r="AI48" s="603"/>
      <c r="AJ48" s="621"/>
      <c r="AK48" s="621"/>
    </row>
    <row r="49" spans="1:37" ht="12.75" customHeight="1" x14ac:dyDescent="0.2">
      <c r="A49" s="603"/>
      <c r="B49" s="603"/>
      <c r="C49" s="630"/>
      <c r="D49" s="510" t="s">
        <v>594</v>
      </c>
      <c r="E49" s="514"/>
      <c r="F49" s="622">
        <v>-29</v>
      </c>
      <c r="G49" s="17">
        <v>-18</v>
      </c>
      <c r="H49" s="17">
        <v>-3</v>
      </c>
      <c r="I49" s="17">
        <v>-2</v>
      </c>
      <c r="J49" s="17">
        <v>0</v>
      </c>
      <c r="K49" s="17">
        <v>-1</v>
      </c>
      <c r="L49" s="17">
        <v>0</v>
      </c>
      <c r="M49" s="17">
        <v>0</v>
      </c>
      <c r="N49" s="17">
        <v>0</v>
      </c>
      <c r="O49" s="17">
        <v>-2</v>
      </c>
      <c r="P49" s="17">
        <v>-8</v>
      </c>
      <c r="Q49" s="17">
        <v>-33</v>
      </c>
      <c r="R49" s="17">
        <v>-86</v>
      </c>
      <c r="S49" s="17">
        <f t="shared" si="8"/>
        <v>-153</v>
      </c>
      <c r="T49" s="622">
        <v>-209</v>
      </c>
      <c r="U49" s="17">
        <v>-143</v>
      </c>
      <c r="V49" s="17">
        <v>0</v>
      </c>
      <c r="W49" s="17">
        <v>0</v>
      </c>
      <c r="X49" s="17">
        <v>-1</v>
      </c>
      <c r="Y49" s="17">
        <v>-13</v>
      </c>
      <c r="Z49" s="17">
        <v>-21</v>
      </c>
      <c r="AA49" s="17">
        <v>0</v>
      </c>
      <c r="AB49" s="17">
        <v>-3</v>
      </c>
      <c r="AC49" s="17">
        <v>0</v>
      </c>
      <c r="AD49" s="17">
        <v>0</v>
      </c>
      <c r="AE49" s="17">
        <v>0</v>
      </c>
      <c r="AF49" s="17">
        <v>-28</v>
      </c>
      <c r="AG49" s="17">
        <f t="shared" si="9"/>
        <v>-209</v>
      </c>
      <c r="AH49" s="620"/>
      <c r="AI49" s="603"/>
      <c r="AJ49" s="621"/>
      <c r="AK49" s="621"/>
    </row>
    <row r="50" spans="1:37" ht="12.75" hidden="1" customHeight="1" x14ac:dyDescent="0.2">
      <c r="A50" s="603"/>
      <c r="B50" s="603"/>
      <c r="C50" s="630"/>
      <c r="D50" s="510"/>
      <c r="E50" s="514"/>
      <c r="F50" s="622"/>
      <c r="G50" s="17"/>
      <c r="H50" s="17"/>
      <c r="I50" s="17"/>
      <c r="J50" s="17"/>
      <c r="K50" s="17"/>
      <c r="L50" s="17"/>
      <c r="M50" s="17"/>
      <c r="N50" s="17"/>
      <c r="O50" s="17"/>
      <c r="P50" s="17"/>
      <c r="Q50" s="17"/>
      <c r="R50" s="17"/>
      <c r="S50" s="17"/>
      <c r="T50" s="622"/>
      <c r="U50" s="17"/>
      <c r="V50" s="17"/>
      <c r="W50" s="17"/>
      <c r="X50" s="17"/>
      <c r="Y50" s="17"/>
      <c r="Z50" s="17"/>
      <c r="AA50" s="17"/>
      <c r="AB50" s="17"/>
      <c r="AC50" s="17"/>
      <c r="AD50" s="17"/>
      <c r="AE50" s="17"/>
      <c r="AF50" s="17"/>
      <c r="AG50" s="274"/>
      <c r="AH50" s="620"/>
      <c r="AI50" s="603"/>
      <c r="AJ50" s="621"/>
      <c r="AK50" s="621"/>
    </row>
    <row r="51" spans="1:37" ht="12.75" hidden="1" customHeight="1" x14ac:dyDescent="0.2">
      <c r="A51" s="603"/>
      <c r="B51" s="603"/>
      <c r="C51" s="630"/>
      <c r="D51" s="510"/>
      <c r="E51" s="514"/>
      <c r="F51" s="622"/>
      <c r="G51" s="17"/>
      <c r="H51" s="17"/>
      <c r="I51" s="17"/>
      <c r="J51" s="17"/>
      <c r="K51" s="17"/>
      <c r="L51" s="17"/>
      <c r="M51" s="17"/>
      <c r="N51" s="17"/>
      <c r="O51" s="17"/>
      <c r="P51" s="17"/>
      <c r="Q51" s="17"/>
      <c r="R51" s="17"/>
      <c r="S51" s="17"/>
      <c r="T51" s="622"/>
      <c r="U51" s="17"/>
      <c r="V51" s="17"/>
      <c r="W51" s="17"/>
      <c r="X51" s="17"/>
      <c r="Y51" s="17"/>
      <c r="Z51" s="17"/>
      <c r="AA51" s="17"/>
      <c r="AB51" s="17"/>
      <c r="AC51" s="17"/>
      <c r="AD51" s="17"/>
      <c r="AE51" s="17"/>
      <c r="AF51" s="17"/>
      <c r="AG51" s="274"/>
      <c r="AH51" s="620"/>
      <c r="AI51" s="603"/>
      <c r="AJ51" s="621"/>
      <c r="AK51" s="621"/>
    </row>
    <row r="52" spans="1:37" ht="12.75" hidden="1" customHeight="1" x14ac:dyDescent="0.2">
      <c r="A52" s="603"/>
      <c r="B52" s="603"/>
      <c r="C52" s="630"/>
      <c r="D52" s="510"/>
      <c r="E52" s="514"/>
      <c r="F52" s="622"/>
      <c r="G52" s="17"/>
      <c r="H52" s="17"/>
      <c r="I52" s="17"/>
      <c r="J52" s="17"/>
      <c r="K52" s="17"/>
      <c r="L52" s="17"/>
      <c r="M52" s="17"/>
      <c r="N52" s="17"/>
      <c r="O52" s="17"/>
      <c r="P52" s="17"/>
      <c r="Q52" s="17"/>
      <c r="R52" s="17"/>
      <c r="S52" s="17"/>
      <c r="T52" s="622"/>
      <c r="U52" s="17"/>
      <c r="V52" s="17"/>
      <c r="W52" s="17"/>
      <c r="X52" s="17"/>
      <c r="Y52" s="17"/>
      <c r="Z52" s="17"/>
      <c r="AA52" s="17"/>
      <c r="AB52" s="17"/>
      <c r="AC52" s="17"/>
      <c r="AD52" s="17"/>
      <c r="AE52" s="17"/>
      <c r="AF52" s="17"/>
      <c r="AG52" s="274"/>
      <c r="AH52" s="620"/>
      <c r="AI52" s="603"/>
      <c r="AJ52" s="621"/>
      <c r="AK52" s="621"/>
    </row>
    <row r="53" spans="1:37" ht="12.75" hidden="1" customHeight="1" x14ac:dyDescent="0.2">
      <c r="A53" s="603"/>
      <c r="B53" s="603"/>
      <c r="C53" s="630"/>
      <c r="D53" s="510"/>
      <c r="E53" s="514"/>
      <c r="F53" s="622"/>
      <c r="G53" s="17"/>
      <c r="H53" s="17"/>
      <c r="I53" s="17"/>
      <c r="J53" s="17"/>
      <c r="K53" s="17"/>
      <c r="L53" s="17"/>
      <c r="M53" s="17"/>
      <c r="N53" s="17"/>
      <c r="O53" s="17"/>
      <c r="P53" s="17"/>
      <c r="Q53" s="17"/>
      <c r="R53" s="17"/>
      <c r="S53" s="17"/>
      <c r="T53" s="622"/>
      <c r="U53" s="17"/>
      <c r="V53" s="17"/>
      <c r="W53" s="17"/>
      <c r="X53" s="17"/>
      <c r="Y53" s="17"/>
      <c r="Z53" s="17"/>
      <c r="AA53" s="17"/>
      <c r="AB53" s="17"/>
      <c r="AC53" s="17"/>
      <c r="AD53" s="17"/>
      <c r="AE53" s="17"/>
      <c r="AF53" s="17"/>
      <c r="AG53" s="274"/>
      <c r="AH53" s="620"/>
      <c r="AI53" s="603"/>
      <c r="AJ53" s="621"/>
      <c r="AK53" s="621"/>
    </row>
    <row r="54" spans="1:37" ht="12.75" hidden="1" customHeight="1" x14ac:dyDescent="0.2">
      <c r="A54" s="603"/>
      <c r="B54" s="603"/>
      <c r="C54" s="630"/>
      <c r="D54" s="510"/>
      <c r="E54" s="514"/>
      <c r="F54" s="622"/>
      <c r="G54" s="17"/>
      <c r="H54" s="17"/>
      <c r="I54" s="17"/>
      <c r="J54" s="17"/>
      <c r="K54" s="17"/>
      <c r="L54" s="17"/>
      <c r="M54" s="17"/>
      <c r="N54" s="17"/>
      <c r="O54" s="17"/>
      <c r="P54" s="17"/>
      <c r="Q54" s="17"/>
      <c r="R54" s="17"/>
      <c r="S54" s="17"/>
      <c r="T54" s="622"/>
      <c r="U54" s="17"/>
      <c r="V54" s="17"/>
      <c r="W54" s="17"/>
      <c r="X54" s="17"/>
      <c r="Y54" s="17"/>
      <c r="Z54" s="17"/>
      <c r="AA54" s="17"/>
      <c r="AB54" s="17"/>
      <c r="AC54" s="17"/>
      <c r="AD54" s="17"/>
      <c r="AE54" s="17"/>
      <c r="AF54" s="17"/>
      <c r="AG54" s="274"/>
      <c r="AH54" s="620"/>
      <c r="AI54" s="603"/>
      <c r="AJ54" s="621"/>
      <c r="AK54" s="621"/>
    </row>
    <row r="55" spans="1:37" ht="12.75" hidden="1" customHeight="1" x14ac:dyDescent="0.2">
      <c r="A55" s="603"/>
      <c r="B55" s="603"/>
      <c r="C55" s="630"/>
      <c r="D55" s="510"/>
      <c r="E55" s="514"/>
      <c r="F55" s="622"/>
      <c r="G55" s="17"/>
      <c r="H55" s="17"/>
      <c r="I55" s="17"/>
      <c r="J55" s="17"/>
      <c r="K55" s="17"/>
      <c r="L55" s="17"/>
      <c r="M55" s="17"/>
      <c r="N55" s="17"/>
      <c r="O55" s="17"/>
      <c r="P55" s="17"/>
      <c r="Q55" s="17"/>
      <c r="R55" s="17"/>
      <c r="S55" s="17"/>
      <c r="T55" s="622"/>
      <c r="U55" s="17"/>
      <c r="V55" s="17"/>
      <c r="W55" s="17"/>
      <c r="X55" s="17"/>
      <c r="Y55" s="17"/>
      <c r="Z55" s="17"/>
      <c r="AA55" s="17"/>
      <c r="AB55" s="17"/>
      <c r="AC55" s="17"/>
      <c r="AD55" s="17"/>
      <c r="AE55" s="17"/>
      <c r="AF55" s="17"/>
      <c r="AG55" s="274"/>
      <c r="AH55" s="620"/>
      <c r="AI55" s="603"/>
      <c r="AJ55" s="621"/>
      <c r="AK55" s="621"/>
    </row>
    <row r="56" spans="1:37" ht="12.75" hidden="1" customHeight="1" x14ac:dyDescent="0.2">
      <c r="A56" s="603"/>
      <c r="B56" s="603"/>
      <c r="C56" s="630"/>
      <c r="D56" s="510"/>
      <c r="E56" s="514"/>
      <c r="F56" s="622"/>
      <c r="G56" s="17"/>
      <c r="H56" s="17"/>
      <c r="I56" s="17"/>
      <c r="J56" s="17"/>
      <c r="K56" s="17"/>
      <c r="L56" s="17"/>
      <c r="M56" s="17"/>
      <c r="N56" s="17"/>
      <c r="O56" s="17"/>
      <c r="P56" s="17"/>
      <c r="Q56" s="17"/>
      <c r="R56" s="17"/>
      <c r="S56" s="17"/>
      <c r="T56" s="622"/>
      <c r="U56" s="17"/>
      <c r="V56" s="17"/>
      <c r="W56" s="17"/>
      <c r="X56" s="17"/>
      <c r="Y56" s="17"/>
      <c r="Z56" s="17"/>
      <c r="AA56" s="17"/>
      <c r="AB56" s="17"/>
      <c r="AC56" s="17"/>
      <c r="AD56" s="17"/>
      <c r="AE56" s="17"/>
      <c r="AF56" s="17"/>
      <c r="AG56" s="274"/>
      <c r="AH56" s="620"/>
      <c r="AI56" s="603"/>
      <c r="AJ56" s="621"/>
      <c r="AK56" s="621"/>
    </row>
    <row r="57" spans="1:37" ht="12.75" hidden="1" customHeight="1" x14ac:dyDescent="0.2">
      <c r="A57" s="603"/>
      <c r="B57" s="603"/>
      <c r="C57" s="630"/>
      <c r="D57" s="510"/>
      <c r="E57" s="514"/>
      <c r="F57" s="622"/>
      <c r="G57" s="17"/>
      <c r="H57" s="17"/>
      <c r="I57" s="17"/>
      <c r="J57" s="17"/>
      <c r="K57" s="17"/>
      <c r="L57" s="17"/>
      <c r="M57" s="17"/>
      <c r="N57" s="17"/>
      <c r="O57" s="17"/>
      <c r="P57" s="17"/>
      <c r="Q57" s="17"/>
      <c r="R57" s="17"/>
      <c r="S57" s="17"/>
      <c r="T57" s="622"/>
      <c r="U57" s="17"/>
      <c r="V57" s="17"/>
      <c r="W57" s="17"/>
      <c r="X57" s="17"/>
      <c r="Y57" s="17"/>
      <c r="Z57" s="17"/>
      <c r="AA57" s="17"/>
      <c r="AB57" s="17"/>
      <c r="AC57" s="17"/>
      <c r="AD57" s="17"/>
      <c r="AE57" s="17"/>
      <c r="AF57" s="17"/>
      <c r="AG57" s="274"/>
      <c r="AH57" s="620"/>
      <c r="AI57" s="603"/>
      <c r="AJ57" s="621"/>
      <c r="AK57" s="621"/>
    </row>
    <row r="58" spans="1:37" ht="12.75" hidden="1" customHeight="1" x14ac:dyDescent="0.2">
      <c r="A58" s="603"/>
      <c r="B58" s="603"/>
      <c r="C58" s="630"/>
      <c r="D58" s="510"/>
      <c r="E58" s="514"/>
      <c r="F58" s="622"/>
      <c r="G58" s="17"/>
      <c r="H58" s="17"/>
      <c r="I58" s="17"/>
      <c r="J58" s="17"/>
      <c r="K58" s="17"/>
      <c r="L58" s="17"/>
      <c r="M58" s="17"/>
      <c r="N58" s="17"/>
      <c r="O58" s="17"/>
      <c r="P58" s="17"/>
      <c r="Q58" s="17"/>
      <c r="R58" s="17"/>
      <c r="S58" s="17"/>
      <c r="T58" s="622"/>
      <c r="U58" s="17"/>
      <c r="V58" s="17"/>
      <c r="W58" s="17"/>
      <c r="X58" s="17"/>
      <c r="Y58" s="17"/>
      <c r="Z58" s="17"/>
      <c r="AA58" s="17"/>
      <c r="AB58" s="17"/>
      <c r="AC58" s="17"/>
      <c r="AD58" s="17"/>
      <c r="AE58" s="17"/>
      <c r="AF58" s="17"/>
      <c r="AG58" s="274"/>
      <c r="AH58" s="620"/>
      <c r="AI58" s="603"/>
      <c r="AJ58" s="621"/>
      <c r="AK58" s="621"/>
    </row>
    <row r="59" spans="1:37" ht="12.75" hidden="1" customHeight="1" x14ac:dyDescent="0.2">
      <c r="A59" s="603"/>
      <c r="B59" s="603"/>
      <c r="C59" s="630"/>
      <c r="D59" s="510"/>
      <c r="E59" s="514"/>
      <c r="F59" s="622"/>
      <c r="G59" s="17"/>
      <c r="H59" s="17"/>
      <c r="I59" s="17"/>
      <c r="J59" s="17"/>
      <c r="K59" s="17"/>
      <c r="L59" s="17"/>
      <c r="M59" s="17"/>
      <c r="N59" s="17"/>
      <c r="O59" s="17"/>
      <c r="P59" s="17"/>
      <c r="Q59" s="17"/>
      <c r="R59" s="17"/>
      <c r="S59" s="17"/>
      <c r="T59" s="622"/>
      <c r="U59" s="17"/>
      <c r="V59" s="17"/>
      <c r="W59" s="17"/>
      <c r="X59" s="17"/>
      <c r="Y59" s="17"/>
      <c r="Z59" s="17"/>
      <c r="AA59" s="17"/>
      <c r="AB59" s="17"/>
      <c r="AC59" s="17"/>
      <c r="AD59" s="17"/>
      <c r="AE59" s="17"/>
      <c r="AF59" s="17"/>
      <c r="AG59" s="274"/>
      <c r="AH59" s="620"/>
      <c r="AI59" s="603"/>
      <c r="AJ59" s="621"/>
      <c r="AK59" s="621"/>
    </row>
    <row r="60" spans="1:37" ht="12.75" hidden="1" customHeight="1" x14ac:dyDescent="0.2">
      <c r="A60" s="603"/>
      <c r="B60" s="603"/>
      <c r="C60" s="630"/>
      <c r="D60" s="510"/>
      <c r="E60" s="514"/>
      <c r="F60" s="622"/>
      <c r="G60" s="17"/>
      <c r="H60" s="17"/>
      <c r="I60" s="17"/>
      <c r="J60" s="17"/>
      <c r="K60" s="17"/>
      <c r="L60" s="17"/>
      <c r="M60" s="17"/>
      <c r="N60" s="17"/>
      <c r="O60" s="17"/>
      <c r="P60" s="17"/>
      <c r="Q60" s="17"/>
      <c r="R60" s="17"/>
      <c r="S60" s="17"/>
      <c r="T60" s="622"/>
      <c r="U60" s="17"/>
      <c r="V60" s="17"/>
      <c r="W60" s="17"/>
      <c r="X60" s="17"/>
      <c r="Y60" s="17"/>
      <c r="Z60" s="17"/>
      <c r="AA60" s="17"/>
      <c r="AB60" s="17"/>
      <c r="AC60" s="17"/>
      <c r="AD60" s="17"/>
      <c r="AE60" s="17"/>
      <c r="AF60" s="17"/>
      <c r="AG60" s="274"/>
      <c r="AH60" s="620"/>
      <c r="AI60" s="603"/>
      <c r="AJ60" s="621"/>
      <c r="AK60" s="621"/>
    </row>
    <row r="61" spans="1:37" ht="12.75" hidden="1" customHeight="1" x14ac:dyDescent="0.2">
      <c r="A61" s="603"/>
      <c r="B61" s="603"/>
      <c r="C61" s="630"/>
      <c r="D61" s="510"/>
      <c r="E61" s="514"/>
      <c r="F61" s="622"/>
      <c r="G61" s="17"/>
      <c r="H61" s="17"/>
      <c r="I61" s="17"/>
      <c r="J61" s="17"/>
      <c r="K61" s="17"/>
      <c r="L61" s="17"/>
      <c r="M61" s="17"/>
      <c r="N61" s="17"/>
      <c r="O61" s="17"/>
      <c r="P61" s="17"/>
      <c r="Q61" s="17"/>
      <c r="R61" s="17"/>
      <c r="S61" s="17"/>
      <c r="T61" s="622"/>
      <c r="U61" s="17"/>
      <c r="V61" s="17"/>
      <c r="W61" s="17"/>
      <c r="X61" s="17"/>
      <c r="Y61" s="17"/>
      <c r="Z61" s="17"/>
      <c r="AA61" s="17"/>
      <c r="AB61" s="17"/>
      <c r="AC61" s="17"/>
      <c r="AD61" s="17"/>
      <c r="AE61" s="17"/>
      <c r="AF61" s="17"/>
      <c r="AG61" s="274"/>
      <c r="AH61" s="620"/>
      <c r="AI61" s="603"/>
      <c r="AJ61" s="621"/>
      <c r="AK61" s="621"/>
    </row>
    <row r="62" spans="1:37" ht="12.75" hidden="1" customHeight="1" x14ac:dyDescent="0.2">
      <c r="A62" s="603"/>
      <c r="B62" s="603"/>
      <c r="C62" s="630"/>
      <c r="D62" s="510"/>
      <c r="E62" s="514"/>
      <c r="F62" s="622"/>
      <c r="G62" s="17"/>
      <c r="H62" s="17"/>
      <c r="I62" s="17"/>
      <c r="J62" s="17"/>
      <c r="K62" s="17"/>
      <c r="L62" s="17"/>
      <c r="M62" s="17"/>
      <c r="N62" s="17"/>
      <c r="O62" s="17"/>
      <c r="P62" s="17"/>
      <c r="Q62" s="17"/>
      <c r="R62" s="17"/>
      <c r="S62" s="17"/>
      <c r="T62" s="622"/>
      <c r="U62" s="17"/>
      <c r="V62" s="17"/>
      <c r="W62" s="17"/>
      <c r="X62" s="17"/>
      <c r="Y62" s="17"/>
      <c r="Z62" s="17"/>
      <c r="AA62" s="17"/>
      <c r="AB62" s="17"/>
      <c r="AC62" s="17"/>
      <c r="AD62" s="17"/>
      <c r="AE62" s="17"/>
      <c r="AF62" s="17"/>
      <c r="AG62" s="274"/>
      <c r="AH62" s="620"/>
      <c r="AI62" s="603"/>
      <c r="AJ62" s="621"/>
      <c r="AK62" s="621"/>
    </row>
    <row r="63" spans="1:37" hidden="1" x14ac:dyDescent="0.2">
      <c r="A63" s="603"/>
      <c r="B63" s="603"/>
      <c r="C63" s="630"/>
      <c r="D63" s="510"/>
      <c r="E63" s="514"/>
      <c r="F63" s="622"/>
      <c r="G63" s="17"/>
      <c r="H63" s="17"/>
      <c r="I63" s="17"/>
      <c r="J63" s="17"/>
      <c r="K63" s="17"/>
      <c r="L63" s="17"/>
      <c r="M63" s="17"/>
      <c r="N63" s="17"/>
      <c r="O63" s="17"/>
      <c r="P63" s="17"/>
      <c r="Q63" s="17"/>
      <c r="R63" s="17"/>
      <c r="S63" s="17"/>
      <c r="T63" s="622"/>
      <c r="U63" s="17"/>
      <c r="V63" s="17"/>
      <c r="W63" s="17"/>
      <c r="X63" s="17"/>
      <c r="Y63" s="17"/>
      <c r="Z63" s="17"/>
      <c r="AA63" s="17"/>
      <c r="AB63" s="17"/>
      <c r="AC63" s="17"/>
      <c r="AD63" s="17"/>
      <c r="AE63" s="17"/>
      <c r="AF63" s="17"/>
      <c r="AG63" s="274"/>
      <c r="AH63" s="620"/>
      <c r="AI63" s="603"/>
      <c r="AJ63" s="621"/>
      <c r="AK63" s="621"/>
    </row>
    <row r="64" spans="1:37" ht="12.75" customHeight="1" x14ac:dyDescent="0.2">
      <c r="A64" s="603"/>
      <c r="B64" s="603"/>
      <c r="C64" s="631"/>
      <c r="D64" s="632"/>
      <c r="E64" s="633"/>
      <c r="F64" s="634"/>
      <c r="G64" s="574"/>
      <c r="H64" s="574"/>
      <c r="I64" s="574"/>
      <c r="J64" s="574"/>
      <c r="K64" s="574"/>
      <c r="L64" s="574"/>
      <c r="M64" s="574"/>
      <c r="N64" s="574"/>
      <c r="O64" s="574"/>
      <c r="P64" s="574"/>
      <c r="Q64" s="574"/>
      <c r="R64" s="574"/>
      <c r="S64" s="574"/>
      <c r="T64" s="634"/>
      <c r="U64" s="574"/>
      <c r="V64" s="574"/>
      <c r="W64" s="574"/>
      <c r="X64" s="574"/>
      <c r="Y64" s="574"/>
      <c r="Z64" s="574"/>
      <c r="AA64" s="574"/>
      <c r="AB64" s="574"/>
      <c r="AC64" s="574"/>
      <c r="AD64" s="574"/>
      <c r="AE64" s="574"/>
      <c r="AF64" s="574"/>
      <c r="AG64" s="575"/>
      <c r="AH64" s="620"/>
      <c r="AI64" s="603"/>
      <c r="AJ64" s="621"/>
      <c r="AK64" s="621"/>
    </row>
    <row r="65" spans="1:38" ht="12.75" hidden="1" customHeight="1" x14ac:dyDescent="0.2">
      <c r="A65" s="603"/>
      <c r="B65" s="603"/>
      <c r="C65" s="635" t="s">
        <v>595</v>
      </c>
      <c r="D65" s="636"/>
      <c r="E65" s="637"/>
      <c r="F65" s="638">
        <v>0</v>
      </c>
      <c r="G65" s="574">
        <v>0</v>
      </c>
      <c r="H65" s="574">
        <v>0</v>
      </c>
      <c r="I65" s="574">
        <v>0</v>
      </c>
      <c r="J65" s="574">
        <v>0</v>
      </c>
      <c r="K65" s="574">
        <v>0</v>
      </c>
      <c r="L65" s="574">
        <v>0</v>
      </c>
      <c r="M65" s="574">
        <v>0</v>
      </c>
      <c r="N65" s="574">
        <v>0</v>
      </c>
      <c r="O65" s="574">
        <v>0</v>
      </c>
      <c r="P65" s="574">
        <v>0</v>
      </c>
      <c r="Q65" s="574">
        <v>0</v>
      </c>
      <c r="R65" s="574">
        <v>0</v>
      </c>
      <c r="S65" s="574">
        <f>SUM(G65:R65)</f>
        <v>0</v>
      </c>
      <c r="T65" s="634">
        <v>0</v>
      </c>
      <c r="U65" s="574">
        <v>0</v>
      </c>
      <c r="V65" s="574">
        <v>0</v>
      </c>
      <c r="W65" s="574">
        <v>0</v>
      </c>
      <c r="X65" s="574">
        <v>0</v>
      </c>
      <c r="Y65" s="574">
        <v>0</v>
      </c>
      <c r="Z65" s="574">
        <v>0</v>
      </c>
      <c r="AA65" s="574">
        <v>0</v>
      </c>
      <c r="AB65" s="574">
        <v>0</v>
      </c>
      <c r="AC65" s="574">
        <v>0</v>
      </c>
      <c r="AD65" s="574">
        <v>0</v>
      </c>
      <c r="AE65" s="574">
        <v>0</v>
      </c>
      <c r="AF65" s="574">
        <v>0</v>
      </c>
      <c r="AG65" s="575">
        <f>SUM(U65:V65)</f>
        <v>0</v>
      </c>
      <c r="AH65" s="620"/>
      <c r="AI65" s="603"/>
      <c r="AJ65" s="621"/>
      <c r="AK65" s="621"/>
    </row>
    <row r="66" spans="1:38" s="643" customFormat="1" ht="15" customHeight="1" x14ac:dyDescent="0.2">
      <c r="A66" s="603"/>
      <c r="B66" s="603"/>
      <c r="C66" s="639" t="s">
        <v>596</v>
      </c>
      <c r="D66" s="25"/>
      <c r="E66" s="527"/>
      <c r="F66" s="640"/>
      <c r="G66" s="640"/>
      <c r="H66" s="640"/>
      <c r="I66" s="640"/>
      <c r="J66" s="640"/>
      <c r="K66" s="640"/>
      <c r="L66" s="640"/>
      <c r="M66" s="14"/>
      <c r="N66" s="14"/>
      <c r="O66" s="14"/>
      <c r="P66" s="14"/>
      <c r="Q66" s="14"/>
      <c r="R66" s="14"/>
      <c r="S66" s="14"/>
      <c r="T66" s="640"/>
      <c r="U66" s="640"/>
      <c r="V66" s="640"/>
      <c r="W66" s="640"/>
      <c r="X66" s="640"/>
      <c r="Y66" s="640"/>
      <c r="Z66" s="640"/>
      <c r="AA66" s="14"/>
      <c r="AB66" s="14"/>
      <c r="AC66" s="14"/>
      <c r="AD66" s="14"/>
      <c r="AE66" s="14"/>
      <c r="AF66" s="14"/>
      <c r="AG66" s="14"/>
      <c r="AH66" s="641"/>
      <c r="AI66" s="642"/>
    </row>
    <row r="67" spans="1:38" x14ac:dyDescent="0.2">
      <c r="A67" s="603"/>
      <c r="B67" s="603"/>
      <c r="C67" s="639" t="s">
        <v>597</v>
      </c>
      <c r="D67" s="25"/>
      <c r="E67" s="598"/>
      <c r="F67" s="509"/>
      <c r="G67" s="509"/>
      <c r="H67" s="519"/>
      <c r="I67" s="509"/>
      <c r="J67" s="509"/>
      <c r="K67" s="509"/>
      <c r="L67" s="509"/>
      <c r="M67" s="509"/>
      <c r="N67" s="509"/>
      <c r="O67" s="509"/>
      <c r="P67" s="509"/>
      <c r="Q67" s="509"/>
      <c r="R67" s="509"/>
      <c r="S67" s="519"/>
      <c r="T67" s="509"/>
      <c r="U67" s="509"/>
      <c r="V67" s="509"/>
      <c r="W67" s="509"/>
      <c r="X67" s="509"/>
      <c r="Y67" s="509"/>
      <c r="Z67" s="509"/>
      <c r="AA67" s="509"/>
      <c r="AB67" s="509"/>
      <c r="AC67" s="509"/>
      <c r="AD67" s="509"/>
      <c r="AE67" s="509"/>
      <c r="AF67" s="509"/>
      <c r="AG67" s="509"/>
      <c r="AH67" s="641"/>
      <c r="AI67" s="603"/>
      <c r="AJ67" s="644"/>
      <c r="AL67" s="621"/>
    </row>
    <row r="68" spans="1:38" x14ac:dyDescent="0.2">
      <c r="A68" s="603"/>
      <c r="B68" s="603"/>
      <c r="C68" s="639"/>
      <c r="D68" s="267"/>
      <c r="E68" s="514"/>
      <c r="F68" s="510"/>
      <c r="G68" s="510"/>
      <c r="H68" s="511"/>
      <c r="I68" s="510"/>
      <c r="J68" s="510"/>
      <c r="K68" s="510"/>
      <c r="L68" s="510"/>
      <c r="M68" s="510"/>
      <c r="N68" s="510"/>
      <c r="O68" s="510"/>
      <c r="P68" s="510"/>
      <c r="Q68" s="510"/>
      <c r="R68" s="510"/>
      <c r="S68" s="510"/>
      <c r="T68" s="510"/>
      <c r="U68" s="510"/>
      <c r="V68" s="510"/>
      <c r="W68" s="510"/>
      <c r="X68" s="510"/>
      <c r="Y68" s="510"/>
      <c r="Z68" s="510"/>
      <c r="AA68" s="510"/>
      <c r="AB68" s="510"/>
      <c r="AC68" s="510"/>
      <c r="AD68" s="510"/>
      <c r="AE68" s="510"/>
      <c r="AF68" s="510"/>
      <c r="AG68" s="510"/>
      <c r="AH68" s="641"/>
      <c r="AI68" s="603"/>
      <c r="AJ68" s="644"/>
      <c r="AL68" s="621"/>
    </row>
    <row r="69" spans="1:38" x14ac:dyDescent="0.2">
      <c r="A69" s="603"/>
      <c r="B69" s="603"/>
      <c r="C69" s="267"/>
      <c r="E69" s="510"/>
      <c r="F69" s="510"/>
      <c r="G69" s="510"/>
      <c r="H69" s="511"/>
      <c r="I69" s="510"/>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603"/>
      <c r="AL69" s="645"/>
    </row>
    <row r="70" spans="1:38" ht="12.75" hidden="1" customHeight="1" x14ac:dyDescent="0.2">
      <c r="C70" s="608" t="s">
        <v>598</v>
      </c>
      <c r="H70" s="644"/>
    </row>
    <row r="71" spans="1:38" ht="12.75" hidden="1" customHeight="1" x14ac:dyDescent="0.2">
      <c r="C71" s="608" t="s">
        <v>599</v>
      </c>
      <c r="H71" s="644"/>
    </row>
    <row r="72" spans="1:38" ht="12.75" hidden="1" customHeight="1" x14ac:dyDescent="0.2">
      <c r="C72" s="608" t="s">
        <v>600</v>
      </c>
      <c r="H72" s="644"/>
    </row>
    <row r="73" spans="1:38" ht="12.75" hidden="1" customHeight="1" x14ac:dyDescent="0.2">
      <c r="C73" s="608" t="s">
        <v>601</v>
      </c>
      <c r="H73" s="644"/>
    </row>
    <row r="74" spans="1:38" ht="12.75" hidden="1" customHeight="1" x14ac:dyDescent="0.2">
      <c r="C74" s="608" t="s">
        <v>602</v>
      </c>
    </row>
    <row r="75" spans="1:38" ht="12.75" hidden="1" customHeight="1" x14ac:dyDescent="0.2">
      <c r="C75" s="608" t="s">
        <v>603</v>
      </c>
    </row>
    <row r="76" spans="1:38" ht="12.75" hidden="1" customHeight="1" x14ac:dyDescent="0.2">
      <c r="C76" s="608" t="s">
        <v>604</v>
      </c>
    </row>
    <row r="77" spans="1:38" hidden="1" x14ac:dyDescent="0.2">
      <c r="A77" s="603"/>
      <c r="B77" s="603"/>
      <c r="D77" s="646"/>
      <c r="M77" s="644"/>
      <c r="AH77" s="641"/>
      <c r="AI77" s="603"/>
    </row>
    <row r="78" spans="1:38" hidden="1" x14ac:dyDescent="0.2">
      <c r="A78" s="603"/>
      <c r="B78" s="603"/>
      <c r="T78" s="644"/>
      <c r="AH78" s="641"/>
      <c r="AI78" s="603"/>
    </row>
    <row r="79" spans="1:38" hidden="1" x14ac:dyDescent="0.2">
      <c r="C79" s="647"/>
      <c r="D79" s="647"/>
      <c r="E79" s="648"/>
      <c r="F79" s="648"/>
    </row>
    <row r="80" spans="1:38" hidden="1" x14ac:dyDescent="0.2">
      <c r="F80" s="644"/>
    </row>
    <row r="81" spans="4:33" hidden="1" x14ac:dyDescent="0.2">
      <c r="T81" s="649">
        <v>9603525</v>
      </c>
    </row>
    <row r="82" spans="4:33" hidden="1" x14ac:dyDescent="0.2">
      <c r="T82" s="649">
        <f>T81-S6</f>
        <v>-16166393</v>
      </c>
    </row>
    <row r="83" spans="4:33" hidden="1" x14ac:dyDescent="0.2">
      <c r="T83" s="649"/>
    </row>
    <row r="84" spans="4:33" hidden="1" x14ac:dyDescent="0.2">
      <c r="T84" s="649">
        <v>3335838</v>
      </c>
    </row>
    <row r="85" spans="4:33" hidden="1" x14ac:dyDescent="0.2">
      <c r="T85" s="649">
        <f>T84-S22</f>
        <v>-10992072</v>
      </c>
    </row>
    <row r="86" spans="4:33" hidden="1" x14ac:dyDescent="0.2">
      <c r="T86" s="649"/>
    </row>
    <row r="87" spans="4:33" s="650" customFormat="1" x14ac:dyDescent="0.2">
      <c r="E87" s="649"/>
      <c r="F87" s="649"/>
      <c r="G87" s="651"/>
      <c r="H87" s="651"/>
      <c r="I87" s="651"/>
      <c r="J87" s="651"/>
      <c r="K87" s="651"/>
      <c r="L87" s="651"/>
      <c r="M87" s="652"/>
      <c r="N87" s="653"/>
      <c r="O87" s="651"/>
      <c r="P87" s="651"/>
      <c r="Q87" s="651"/>
      <c r="R87" s="651"/>
      <c r="S87" s="654"/>
      <c r="T87" s="649"/>
      <c r="U87" s="649"/>
      <c r="V87" s="649"/>
      <c r="W87" s="649"/>
      <c r="X87" s="649"/>
      <c r="Y87" s="649"/>
      <c r="Z87" s="649"/>
      <c r="AA87" s="649"/>
      <c r="AB87" s="649"/>
      <c r="AC87" s="649"/>
      <c r="AD87" s="649"/>
      <c r="AE87" s="649"/>
      <c r="AF87" s="649"/>
      <c r="AG87" s="649"/>
    </row>
    <row r="88" spans="4:33" s="650" customFormat="1" x14ac:dyDescent="0.2">
      <c r="E88" s="649"/>
      <c r="F88" s="649"/>
      <c r="G88" s="651"/>
      <c r="H88" s="651"/>
      <c r="I88" s="651"/>
      <c r="J88" s="651"/>
      <c r="K88" s="651"/>
      <c r="L88" s="651"/>
      <c r="M88" s="651"/>
      <c r="N88" s="651"/>
      <c r="O88" s="651"/>
      <c r="P88" s="651"/>
      <c r="Q88" s="651"/>
      <c r="R88" s="651"/>
      <c r="S88" s="654"/>
      <c r="T88" s="651"/>
      <c r="U88" s="649"/>
      <c r="V88" s="649"/>
      <c r="W88" s="649"/>
      <c r="X88" s="649"/>
      <c r="Y88" s="649"/>
      <c r="Z88" s="649"/>
      <c r="AA88" s="649"/>
      <c r="AB88" s="649"/>
      <c r="AC88" s="649"/>
      <c r="AD88" s="649"/>
      <c r="AE88" s="649"/>
      <c r="AF88" s="649"/>
      <c r="AG88" s="649"/>
    </row>
    <row r="89" spans="4:33" s="650" customFormat="1" x14ac:dyDescent="0.2">
      <c r="E89" s="649"/>
      <c r="F89" s="649"/>
      <c r="G89" s="649"/>
      <c r="H89" s="649"/>
      <c r="I89" s="649"/>
      <c r="J89" s="649"/>
      <c r="K89" s="649"/>
      <c r="L89" s="649"/>
      <c r="M89" s="649"/>
      <c r="N89" s="649"/>
      <c r="O89" s="649"/>
      <c r="P89" s="649"/>
      <c r="Q89" s="649"/>
      <c r="R89" s="649"/>
      <c r="S89" s="654"/>
      <c r="T89" s="649"/>
      <c r="U89" s="649"/>
      <c r="V89" s="649"/>
      <c r="W89" s="649"/>
      <c r="X89" s="649"/>
      <c r="Y89" s="649"/>
      <c r="Z89" s="649"/>
      <c r="AA89" s="649"/>
      <c r="AB89" s="649"/>
      <c r="AC89" s="649"/>
      <c r="AD89" s="649"/>
      <c r="AE89" s="649"/>
      <c r="AF89" s="649"/>
      <c r="AG89" s="649"/>
    </row>
    <row r="90" spans="4:33" s="650" customFormat="1" x14ac:dyDescent="0.2">
      <c r="E90" s="649"/>
      <c r="F90" s="628"/>
      <c r="G90" s="652"/>
      <c r="H90" s="652"/>
      <c r="I90" s="652"/>
      <c r="J90" s="652"/>
      <c r="K90" s="652"/>
      <c r="L90" s="652"/>
      <c r="M90" s="652"/>
      <c r="N90" s="652"/>
      <c r="O90" s="652"/>
      <c r="P90" s="649"/>
      <c r="Q90" s="649"/>
      <c r="R90" s="649"/>
      <c r="S90" s="654"/>
      <c r="T90" s="649"/>
      <c r="U90" s="649"/>
      <c r="V90" s="649"/>
      <c r="W90" s="649"/>
      <c r="X90" s="649"/>
      <c r="Y90" s="649"/>
      <c r="Z90" s="649"/>
      <c r="AA90" s="649"/>
      <c r="AB90" s="649"/>
      <c r="AC90" s="649"/>
      <c r="AD90" s="649"/>
      <c r="AE90" s="649"/>
      <c r="AF90" s="649"/>
      <c r="AG90" s="649"/>
    </row>
    <row r="91" spans="4:33" ht="15.75" customHeight="1" x14ac:dyDescent="0.2">
      <c r="G91" s="651"/>
      <c r="H91" s="651"/>
      <c r="I91" s="651"/>
      <c r="J91" s="651"/>
      <c r="K91" s="651"/>
      <c r="L91" s="651"/>
      <c r="M91" s="651"/>
      <c r="N91" s="651"/>
      <c r="O91" s="651"/>
      <c r="S91" s="654"/>
    </row>
    <row r="92" spans="4:33" x14ac:dyDescent="0.2">
      <c r="S92" s="654"/>
      <c r="T92" s="651"/>
    </row>
    <row r="93" spans="4:33" x14ac:dyDescent="0.2">
      <c r="G93" s="644"/>
      <c r="H93" s="644"/>
      <c r="I93" s="644"/>
      <c r="J93" s="644"/>
      <c r="K93" s="644"/>
      <c r="L93" s="644"/>
      <c r="M93" s="644"/>
      <c r="N93" s="644"/>
      <c r="O93" s="644"/>
      <c r="S93" s="654"/>
    </row>
    <row r="94" spans="4:33" x14ac:dyDescent="0.2">
      <c r="D94" s="603"/>
      <c r="G94" s="644"/>
      <c r="H94" s="644"/>
      <c r="I94" s="644"/>
      <c r="J94" s="644"/>
      <c r="K94" s="644"/>
      <c r="L94" s="644"/>
      <c r="M94" s="644"/>
      <c r="N94" s="644"/>
      <c r="O94" s="644"/>
      <c r="P94" s="644"/>
      <c r="Q94" s="644"/>
      <c r="R94" s="644"/>
      <c r="S94" s="654"/>
    </row>
    <row r="95" spans="4:33" x14ac:dyDescent="0.2">
      <c r="D95" s="603"/>
      <c r="G95" s="644"/>
      <c r="H95" s="644"/>
      <c r="I95" s="644"/>
      <c r="J95" s="644"/>
      <c r="K95" s="644"/>
      <c r="L95" s="644"/>
      <c r="M95" s="644"/>
      <c r="N95" s="644"/>
      <c r="O95" s="644"/>
      <c r="P95" s="644"/>
      <c r="Q95" s="644"/>
      <c r="R95" s="644"/>
      <c r="S95" s="644"/>
    </row>
    <row r="96" spans="4:33" x14ac:dyDescent="0.2">
      <c r="G96" s="644"/>
      <c r="H96" s="644"/>
      <c r="I96" s="644"/>
      <c r="J96" s="644"/>
      <c r="K96" s="644"/>
      <c r="L96" s="644"/>
      <c r="M96" s="644"/>
      <c r="N96" s="644"/>
      <c r="O96" s="644"/>
      <c r="P96" s="644"/>
      <c r="Q96" s="644"/>
      <c r="R96" s="644"/>
      <c r="S96" s="644"/>
    </row>
    <row r="97" spans="7:19" x14ac:dyDescent="0.2">
      <c r="G97" s="644"/>
      <c r="H97" s="644"/>
      <c r="I97" s="644"/>
      <c r="J97" s="644"/>
      <c r="K97" s="644"/>
      <c r="L97" s="644"/>
      <c r="M97" s="644"/>
      <c r="N97" s="644"/>
      <c r="O97" s="644"/>
      <c r="P97" s="644"/>
      <c r="Q97" s="644"/>
      <c r="R97" s="644"/>
      <c r="S97" s="644"/>
    </row>
    <row r="98" spans="7:19" x14ac:dyDescent="0.2">
      <c r="G98" s="644"/>
      <c r="H98" s="644"/>
      <c r="I98" s="644"/>
      <c r="J98" s="644"/>
      <c r="K98" s="644"/>
      <c r="L98" s="644"/>
      <c r="M98" s="644"/>
      <c r="N98" s="644"/>
      <c r="O98" s="644"/>
      <c r="P98" s="644"/>
      <c r="Q98" s="644"/>
      <c r="R98" s="644"/>
      <c r="S98" s="644"/>
    </row>
    <row r="99" spans="7:19" x14ac:dyDescent="0.2">
      <c r="G99" s="644"/>
      <c r="H99" s="644"/>
      <c r="I99" s="644"/>
      <c r="J99" s="644"/>
      <c r="K99" s="644"/>
      <c r="L99" s="644"/>
      <c r="M99" s="644"/>
      <c r="N99" s="644"/>
      <c r="O99" s="644"/>
      <c r="P99" s="644"/>
      <c r="Q99" s="644"/>
      <c r="R99" s="644"/>
      <c r="S99" s="644"/>
    </row>
    <row r="100" spans="7:19" x14ac:dyDescent="0.2">
      <c r="G100" s="644"/>
      <c r="H100" s="644"/>
      <c r="I100" s="644"/>
      <c r="J100" s="644"/>
      <c r="K100" s="644"/>
      <c r="L100" s="644"/>
      <c r="M100" s="644"/>
      <c r="N100" s="644"/>
      <c r="O100" s="644"/>
      <c r="P100" s="644"/>
      <c r="Q100" s="644"/>
      <c r="R100" s="644"/>
      <c r="S100" s="644"/>
    </row>
    <row r="101" spans="7:19" x14ac:dyDescent="0.2">
      <c r="G101" s="644"/>
      <c r="H101" s="644"/>
      <c r="I101" s="644"/>
      <c r="J101" s="644"/>
      <c r="K101" s="644"/>
      <c r="L101" s="644"/>
      <c r="M101" s="644"/>
      <c r="N101" s="644"/>
      <c r="O101" s="644"/>
      <c r="P101" s="644"/>
      <c r="Q101" s="644"/>
      <c r="R101" s="644"/>
      <c r="S101" s="644"/>
    </row>
    <row r="102" spans="7:19" x14ac:dyDescent="0.2">
      <c r="G102" s="644"/>
      <c r="H102" s="644"/>
      <c r="I102" s="644"/>
      <c r="J102" s="644"/>
      <c r="K102" s="644"/>
      <c r="L102" s="644"/>
      <c r="M102" s="644"/>
      <c r="N102" s="644"/>
      <c r="O102" s="644"/>
      <c r="P102" s="644"/>
      <c r="Q102" s="644"/>
      <c r="R102" s="644"/>
      <c r="S102" s="644"/>
    </row>
    <row r="103" spans="7:19" x14ac:dyDescent="0.2">
      <c r="G103" s="644"/>
      <c r="H103" s="644"/>
      <c r="I103" s="644"/>
      <c r="J103" s="644"/>
      <c r="K103" s="644"/>
      <c r="L103" s="644"/>
      <c r="M103" s="644"/>
      <c r="N103" s="644"/>
      <c r="O103" s="644"/>
      <c r="P103" s="644"/>
      <c r="Q103" s="644"/>
      <c r="R103" s="644"/>
      <c r="S103" s="644"/>
    </row>
    <row r="104" spans="7:19" x14ac:dyDescent="0.2">
      <c r="G104" s="644"/>
      <c r="H104" s="644"/>
      <c r="I104" s="644"/>
      <c r="J104" s="644"/>
      <c r="K104" s="644"/>
      <c r="L104" s="644"/>
      <c r="M104" s="644"/>
      <c r="N104" s="644"/>
      <c r="O104" s="644"/>
      <c r="P104" s="644"/>
      <c r="Q104" s="644"/>
      <c r="R104" s="644"/>
      <c r="S104" s="644"/>
    </row>
    <row r="105" spans="7:19" x14ac:dyDescent="0.2">
      <c r="G105" s="644"/>
      <c r="H105" s="644"/>
      <c r="I105" s="644"/>
      <c r="J105" s="644"/>
      <c r="K105" s="644"/>
      <c r="L105" s="644"/>
      <c r="M105" s="644"/>
      <c r="N105" s="644"/>
      <c r="O105" s="644"/>
      <c r="P105" s="644"/>
      <c r="Q105" s="644"/>
      <c r="R105" s="644"/>
      <c r="S105" s="644"/>
    </row>
    <row r="106" spans="7:19" x14ac:dyDescent="0.2">
      <c r="G106" s="644"/>
      <c r="H106" s="644"/>
      <c r="I106" s="644"/>
      <c r="J106" s="644"/>
      <c r="K106" s="644"/>
      <c r="L106" s="644"/>
      <c r="M106" s="644"/>
      <c r="N106" s="644"/>
      <c r="O106" s="644"/>
      <c r="P106" s="644"/>
      <c r="Q106" s="644"/>
      <c r="R106" s="644"/>
      <c r="S106" s="644"/>
    </row>
    <row r="107" spans="7:19" x14ac:dyDescent="0.2">
      <c r="G107" s="644"/>
      <c r="H107" s="644"/>
      <c r="I107" s="644"/>
      <c r="J107" s="644"/>
      <c r="K107" s="644"/>
      <c r="L107" s="644"/>
      <c r="M107" s="644"/>
      <c r="N107" s="644"/>
      <c r="O107" s="644"/>
      <c r="P107" s="644"/>
      <c r="Q107" s="644"/>
      <c r="R107" s="644"/>
      <c r="S107" s="644"/>
    </row>
    <row r="108" spans="7:19" x14ac:dyDescent="0.2">
      <c r="G108" s="644"/>
      <c r="H108" s="644"/>
      <c r="I108" s="644"/>
      <c r="J108" s="644"/>
      <c r="K108" s="644"/>
      <c r="L108" s="644"/>
      <c r="M108" s="644"/>
      <c r="N108" s="644"/>
      <c r="O108" s="644"/>
      <c r="P108" s="644"/>
      <c r="Q108" s="644"/>
      <c r="R108" s="644"/>
      <c r="S108" s="644"/>
    </row>
    <row r="109" spans="7:19" x14ac:dyDescent="0.2">
      <c r="G109" s="644"/>
      <c r="H109" s="644"/>
      <c r="I109" s="644"/>
      <c r="J109" s="644"/>
      <c r="K109" s="644"/>
      <c r="L109" s="644"/>
      <c r="M109" s="644"/>
      <c r="N109" s="644"/>
      <c r="O109" s="644"/>
      <c r="P109" s="644"/>
      <c r="Q109" s="644"/>
      <c r="R109" s="644"/>
      <c r="S109" s="644"/>
    </row>
    <row r="110" spans="7:19" x14ac:dyDescent="0.2">
      <c r="G110" s="644"/>
      <c r="H110" s="644"/>
      <c r="I110" s="644"/>
      <c r="J110" s="644"/>
      <c r="K110" s="644"/>
      <c r="L110" s="644"/>
      <c r="M110" s="644"/>
      <c r="N110" s="644"/>
      <c r="O110" s="644"/>
      <c r="P110" s="644"/>
      <c r="Q110" s="644"/>
      <c r="R110" s="644"/>
      <c r="S110" s="644"/>
    </row>
    <row r="111" spans="7:19" x14ac:dyDescent="0.2">
      <c r="G111" s="644"/>
      <c r="H111" s="644"/>
      <c r="I111" s="644"/>
      <c r="J111" s="644"/>
      <c r="K111" s="644"/>
      <c r="L111" s="644"/>
      <c r="M111" s="644"/>
      <c r="N111" s="644"/>
      <c r="O111" s="644"/>
      <c r="P111" s="644"/>
      <c r="Q111" s="644"/>
      <c r="R111" s="644"/>
      <c r="S111" s="644"/>
    </row>
    <row r="112" spans="7:19" x14ac:dyDescent="0.2">
      <c r="G112" s="644"/>
      <c r="H112" s="644"/>
      <c r="I112" s="644"/>
      <c r="J112" s="644"/>
      <c r="K112" s="644"/>
      <c r="L112" s="644"/>
      <c r="M112" s="644"/>
      <c r="N112" s="644"/>
      <c r="O112" s="644"/>
      <c r="P112" s="644"/>
      <c r="Q112" s="644"/>
      <c r="R112" s="644"/>
      <c r="S112" s="644"/>
    </row>
    <row r="113" spans="7:19" x14ac:dyDescent="0.2">
      <c r="G113" s="644"/>
      <c r="H113" s="644"/>
      <c r="I113" s="644"/>
      <c r="J113" s="644"/>
      <c r="K113" s="644"/>
      <c r="L113" s="644"/>
      <c r="M113" s="644"/>
      <c r="N113" s="644"/>
      <c r="O113" s="644"/>
      <c r="P113" s="644"/>
      <c r="Q113" s="644"/>
      <c r="R113" s="644"/>
      <c r="S113" s="644"/>
    </row>
    <row r="114" spans="7:19" x14ac:dyDescent="0.2">
      <c r="G114" s="644"/>
      <c r="H114" s="644"/>
      <c r="I114" s="644"/>
      <c r="J114" s="644"/>
      <c r="K114" s="644"/>
      <c r="L114" s="644"/>
      <c r="M114" s="644"/>
      <c r="N114" s="644"/>
      <c r="O114" s="644"/>
      <c r="P114" s="644"/>
      <c r="Q114" s="644"/>
      <c r="R114" s="644"/>
      <c r="S114" s="644"/>
    </row>
    <row r="115" spans="7:19" x14ac:dyDescent="0.2">
      <c r="G115" s="644"/>
      <c r="H115" s="644"/>
      <c r="I115" s="644"/>
      <c r="J115" s="644"/>
      <c r="K115" s="644"/>
      <c r="L115" s="644"/>
      <c r="M115" s="644"/>
      <c r="N115" s="644"/>
      <c r="O115" s="644"/>
      <c r="P115" s="644"/>
      <c r="Q115" s="644"/>
      <c r="R115" s="644"/>
      <c r="S115" s="644"/>
    </row>
    <row r="116" spans="7:19" x14ac:dyDescent="0.2">
      <c r="G116" s="644"/>
      <c r="H116" s="644"/>
      <c r="I116" s="644"/>
      <c r="J116" s="644"/>
      <c r="K116" s="644"/>
      <c r="L116" s="644"/>
      <c r="M116" s="644"/>
      <c r="N116" s="644"/>
      <c r="O116" s="644"/>
      <c r="P116" s="644"/>
      <c r="Q116" s="644"/>
      <c r="R116" s="644"/>
      <c r="S116" s="644"/>
    </row>
    <row r="117" spans="7:19" x14ac:dyDescent="0.2">
      <c r="G117" s="644"/>
      <c r="H117" s="644"/>
      <c r="I117" s="644"/>
      <c r="J117" s="644"/>
      <c r="K117" s="644"/>
      <c r="L117" s="644"/>
      <c r="M117" s="644"/>
      <c r="N117" s="644"/>
      <c r="O117" s="644"/>
      <c r="P117" s="644"/>
      <c r="Q117" s="644"/>
      <c r="R117" s="644"/>
      <c r="S117" s="644"/>
    </row>
    <row r="118" spans="7:19" x14ac:dyDescent="0.2">
      <c r="G118" s="644"/>
      <c r="H118" s="644"/>
      <c r="I118" s="644"/>
      <c r="J118" s="644"/>
      <c r="K118" s="644"/>
      <c r="L118" s="644"/>
      <c r="M118" s="644"/>
      <c r="N118" s="644"/>
      <c r="O118" s="644"/>
      <c r="P118" s="644"/>
      <c r="Q118" s="644"/>
      <c r="R118" s="644"/>
      <c r="S118" s="644"/>
    </row>
    <row r="119" spans="7:19" x14ac:dyDescent="0.2">
      <c r="G119" s="644"/>
      <c r="H119" s="644"/>
      <c r="I119" s="644"/>
      <c r="J119" s="644"/>
      <c r="K119" s="644"/>
      <c r="L119" s="644"/>
      <c r="M119" s="644"/>
      <c r="N119" s="644"/>
      <c r="O119" s="644"/>
      <c r="P119" s="644"/>
      <c r="Q119" s="644"/>
      <c r="R119" s="644"/>
      <c r="S119" s="644"/>
    </row>
    <row r="120" spans="7:19" x14ac:dyDescent="0.2">
      <c r="G120" s="644"/>
      <c r="H120" s="644"/>
      <c r="I120" s="644"/>
      <c r="J120" s="644"/>
      <c r="K120" s="644"/>
      <c r="L120" s="644"/>
      <c r="M120" s="644"/>
      <c r="N120" s="644"/>
      <c r="O120" s="644"/>
      <c r="P120" s="644"/>
      <c r="Q120" s="644"/>
      <c r="R120" s="644"/>
      <c r="S120" s="644"/>
    </row>
    <row r="121" spans="7:19" x14ac:dyDescent="0.2">
      <c r="G121" s="644"/>
      <c r="H121" s="644"/>
      <c r="I121" s="644"/>
      <c r="J121" s="644"/>
      <c r="K121" s="644"/>
      <c r="L121" s="644"/>
      <c r="M121" s="644"/>
      <c r="N121" s="644"/>
      <c r="O121" s="644"/>
      <c r="P121" s="644"/>
      <c r="Q121" s="644"/>
      <c r="R121" s="644"/>
      <c r="S121" s="644"/>
    </row>
    <row r="122" spans="7:19" x14ac:dyDescent="0.2">
      <c r="G122" s="644"/>
      <c r="H122" s="644"/>
      <c r="I122" s="644"/>
      <c r="J122" s="644"/>
      <c r="K122" s="644"/>
      <c r="L122" s="644"/>
      <c r="M122" s="644"/>
      <c r="N122" s="644"/>
      <c r="O122" s="644"/>
      <c r="P122" s="644"/>
      <c r="Q122" s="644"/>
      <c r="R122" s="644"/>
      <c r="S122" s="644"/>
    </row>
    <row r="123" spans="7:19" x14ac:dyDescent="0.2">
      <c r="G123" s="644"/>
      <c r="H123" s="644"/>
      <c r="I123" s="644"/>
      <c r="J123" s="644"/>
      <c r="K123" s="644"/>
      <c r="L123" s="644"/>
      <c r="M123" s="644"/>
      <c r="N123" s="644"/>
      <c r="O123" s="644"/>
      <c r="P123" s="644"/>
      <c r="Q123" s="644"/>
      <c r="R123" s="644"/>
      <c r="S123" s="644"/>
    </row>
    <row r="124" spans="7:19" x14ac:dyDescent="0.2">
      <c r="G124" s="644"/>
      <c r="H124" s="644"/>
      <c r="I124" s="644"/>
      <c r="J124" s="644"/>
      <c r="K124" s="644"/>
      <c r="L124" s="644"/>
      <c r="M124" s="644"/>
      <c r="N124" s="644"/>
      <c r="O124" s="644"/>
      <c r="P124" s="644"/>
      <c r="Q124" s="644"/>
      <c r="R124" s="644"/>
      <c r="S124" s="644"/>
    </row>
    <row r="125" spans="7:19" x14ac:dyDescent="0.2">
      <c r="G125" s="644"/>
      <c r="H125" s="644"/>
      <c r="I125" s="644"/>
      <c r="J125" s="644"/>
      <c r="K125" s="644"/>
      <c r="L125" s="644"/>
      <c r="M125" s="644"/>
      <c r="N125" s="644"/>
      <c r="O125" s="644"/>
      <c r="P125" s="644"/>
      <c r="Q125" s="644"/>
      <c r="R125" s="644"/>
      <c r="S125" s="644"/>
    </row>
    <row r="126" spans="7:19" x14ac:dyDescent="0.2">
      <c r="G126" s="644"/>
      <c r="H126" s="644"/>
      <c r="I126" s="644"/>
      <c r="J126" s="644"/>
      <c r="K126" s="644"/>
      <c r="L126" s="644"/>
      <c r="M126" s="644"/>
      <c r="N126" s="644"/>
      <c r="O126" s="644"/>
      <c r="P126" s="644"/>
      <c r="Q126" s="644"/>
      <c r="R126" s="644"/>
      <c r="S126" s="644"/>
    </row>
    <row r="127" spans="7:19" x14ac:dyDescent="0.2">
      <c r="G127" s="644"/>
      <c r="H127" s="644"/>
      <c r="I127" s="644"/>
      <c r="J127" s="644"/>
      <c r="K127" s="644"/>
      <c r="L127" s="644"/>
      <c r="M127" s="644"/>
      <c r="N127" s="644"/>
      <c r="O127" s="644"/>
      <c r="P127" s="644"/>
      <c r="Q127" s="644"/>
      <c r="R127" s="644"/>
      <c r="S127" s="644"/>
    </row>
    <row r="128" spans="7:19" x14ac:dyDescent="0.2">
      <c r="G128" s="644"/>
      <c r="H128" s="644"/>
      <c r="I128" s="644"/>
      <c r="J128" s="644"/>
      <c r="K128" s="644"/>
      <c r="L128" s="644"/>
      <c r="M128" s="644"/>
      <c r="N128" s="644"/>
      <c r="O128" s="644"/>
      <c r="P128" s="644"/>
      <c r="Q128" s="644"/>
      <c r="R128" s="644"/>
      <c r="S128" s="644"/>
    </row>
    <row r="129" spans="7:19" x14ac:dyDescent="0.2">
      <c r="G129" s="644"/>
      <c r="H129" s="644"/>
      <c r="I129" s="644"/>
      <c r="J129" s="644"/>
      <c r="K129" s="644"/>
      <c r="L129" s="644"/>
      <c r="M129" s="644"/>
      <c r="N129" s="644"/>
      <c r="O129" s="644"/>
      <c r="P129" s="644"/>
      <c r="Q129" s="644"/>
      <c r="R129" s="644"/>
      <c r="S129" s="644"/>
    </row>
    <row r="130" spans="7:19" x14ac:dyDescent="0.2">
      <c r="G130" s="644"/>
      <c r="H130" s="644"/>
      <c r="I130" s="644"/>
      <c r="J130" s="644"/>
      <c r="K130" s="644"/>
      <c r="L130" s="644"/>
      <c r="M130" s="644"/>
      <c r="N130" s="644"/>
      <c r="O130" s="644"/>
      <c r="P130" s="644"/>
      <c r="Q130" s="644"/>
      <c r="R130" s="644"/>
      <c r="S130" s="644"/>
    </row>
    <row r="131" spans="7:19" x14ac:dyDescent="0.2">
      <c r="G131" s="644"/>
      <c r="H131" s="644"/>
      <c r="I131" s="644"/>
      <c r="J131" s="644"/>
      <c r="K131" s="644"/>
      <c r="L131" s="644"/>
      <c r="M131" s="644"/>
      <c r="N131" s="644"/>
      <c r="O131" s="644"/>
      <c r="P131" s="644"/>
      <c r="Q131" s="644"/>
      <c r="R131" s="644"/>
      <c r="S131" s="644"/>
    </row>
    <row r="132" spans="7:19" x14ac:dyDescent="0.2">
      <c r="G132" s="644"/>
      <c r="H132" s="644"/>
      <c r="I132" s="644"/>
      <c r="J132" s="644"/>
      <c r="K132" s="644"/>
      <c r="L132" s="644"/>
      <c r="M132" s="644"/>
      <c r="N132" s="644"/>
      <c r="O132" s="644"/>
      <c r="P132" s="644"/>
      <c r="Q132" s="644"/>
      <c r="R132" s="644"/>
      <c r="S132" s="644"/>
    </row>
    <row r="133" spans="7:19" x14ac:dyDescent="0.2">
      <c r="G133" s="644"/>
      <c r="H133" s="644"/>
      <c r="I133" s="644"/>
      <c r="J133" s="644"/>
      <c r="K133" s="644"/>
      <c r="L133" s="644"/>
      <c r="M133" s="644"/>
      <c r="N133" s="644"/>
      <c r="O133" s="644"/>
      <c r="P133" s="644"/>
      <c r="Q133" s="644"/>
      <c r="R133" s="644"/>
      <c r="S133" s="644"/>
    </row>
    <row r="134" spans="7:19" x14ac:dyDescent="0.2">
      <c r="G134" s="644"/>
      <c r="H134" s="644"/>
      <c r="I134" s="644"/>
      <c r="J134" s="644"/>
      <c r="K134" s="644"/>
      <c r="L134" s="644"/>
      <c r="M134" s="644"/>
      <c r="N134" s="644"/>
      <c r="O134" s="644"/>
      <c r="P134" s="644"/>
      <c r="Q134" s="644"/>
      <c r="R134" s="644"/>
      <c r="S134" s="644"/>
    </row>
    <row r="135" spans="7:19" x14ac:dyDescent="0.2">
      <c r="G135" s="644"/>
      <c r="H135" s="644"/>
      <c r="I135" s="644"/>
      <c r="J135" s="644"/>
      <c r="K135" s="644"/>
      <c r="L135" s="644"/>
      <c r="M135" s="644"/>
      <c r="N135" s="644"/>
      <c r="O135" s="644"/>
      <c r="P135" s="644"/>
      <c r="Q135" s="644"/>
      <c r="R135" s="644"/>
      <c r="S135" s="644"/>
    </row>
    <row r="136" spans="7:19" x14ac:dyDescent="0.2">
      <c r="G136" s="644"/>
      <c r="H136" s="644"/>
      <c r="I136" s="644"/>
      <c r="J136" s="644"/>
      <c r="K136" s="644"/>
      <c r="L136" s="644"/>
      <c r="M136" s="644"/>
      <c r="N136" s="644"/>
      <c r="O136" s="644"/>
      <c r="P136" s="644"/>
      <c r="Q136" s="644"/>
      <c r="R136" s="644"/>
      <c r="S136" s="644"/>
    </row>
    <row r="137" spans="7:19" x14ac:dyDescent="0.2">
      <c r="G137" s="644"/>
      <c r="H137" s="644"/>
      <c r="I137" s="644"/>
      <c r="J137" s="644"/>
      <c r="K137" s="644"/>
      <c r="L137" s="644"/>
      <c r="M137" s="644"/>
      <c r="N137" s="644"/>
      <c r="O137" s="644"/>
      <c r="P137" s="644"/>
      <c r="Q137" s="644"/>
      <c r="R137" s="644"/>
      <c r="S137" s="644"/>
    </row>
    <row r="138" spans="7:19" x14ac:dyDescent="0.2">
      <c r="G138" s="644"/>
      <c r="H138" s="644"/>
      <c r="I138" s="644"/>
      <c r="J138" s="644"/>
      <c r="K138" s="644"/>
      <c r="L138" s="644"/>
      <c r="M138" s="644"/>
      <c r="N138" s="644"/>
      <c r="O138" s="644"/>
      <c r="P138" s="644"/>
      <c r="Q138" s="644"/>
      <c r="R138" s="644"/>
      <c r="S138" s="644"/>
    </row>
    <row r="139" spans="7:19" x14ac:dyDescent="0.2">
      <c r="G139" s="644"/>
      <c r="H139" s="644"/>
      <c r="I139" s="644"/>
      <c r="J139" s="644"/>
      <c r="K139" s="644"/>
      <c r="L139" s="644"/>
      <c r="M139" s="644"/>
      <c r="N139" s="644"/>
      <c r="O139" s="644"/>
      <c r="P139" s="644"/>
      <c r="Q139" s="644"/>
      <c r="R139" s="644"/>
      <c r="S139" s="644"/>
    </row>
    <row r="140" spans="7:19" x14ac:dyDescent="0.2">
      <c r="G140" s="644"/>
      <c r="H140" s="644"/>
      <c r="I140" s="644"/>
      <c r="J140" s="644"/>
      <c r="K140" s="644"/>
      <c r="L140" s="644"/>
      <c r="M140" s="644"/>
      <c r="N140" s="644"/>
      <c r="O140" s="644"/>
      <c r="P140" s="644"/>
      <c r="Q140" s="644"/>
      <c r="R140" s="644"/>
      <c r="S140" s="644"/>
    </row>
    <row r="141" spans="7:19" x14ac:dyDescent="0.2">
      <c r="S141" s="644"/>
    </row>
    <row r="142" spans="7:19" x14ac:dyDescent="0.2">
      <c r="S142" s="644"/>
    </row>
    <row r="143" spans="7:19" x14ac:dyDescent="0.2">
      <c r="S143" s="644"/>
    </row>
    <row r="144" spans="7:19" x14ac:dyDescent="0.2">
      <c r="S144" s="644"/>
    </row>
    <row r="145" spans="19:19" x14ac:dyDescent="0.2">
      <c r="S145" s="644"/>
    </row>
    <row r="146" spans="19:19" x14ac:dyDescent="0.2">
      <c r="S146" s="644"/>
    </row>
    <row r="147" spans="19:19" x14ac:dyDescent="0.2">
      <c r="S147" s="644"/>
    </row>
    <row r="148" spans="19:19" x14ac:dyDescent="0.2">
      <c r="S148" s="644"/>
    </row>
    <row r="149" spans="19:19" x14ac:dyDescent="0.2">
      <c r="S149" s="644"/>
    </row>
    <row r="150" spans="19:19" x14ac:dyDescent="0.2">
      <c r="S150" s="644"/>
    </row>
    <row r="151" spans="19:19" x14ac:dyDescent="0.2">
      <c r="S151" s="644"/>
    </row>
    <row r="152" spans="19:19" x14ac:dyDescent="0.2">
      <c r="S152" s="644"/>
    </row>
    <row r="153" spans="19:19" x14ac:dyDescent="0.2">
      <c r="S153" s="644"/>
    </row>
    <row r="154" spans="19:19" x14ac:dyDescent="0.2">
      <c r="S154" s="644"/>
    </row>
    <row r="155" spans="19:19" x14ac:dyDescent="0.2">
      <c r="S155" s="644"/>
    </row>
    <row r="156" spans="19:19" x14ac:dyDescent="0.2">
      <c r="S156" s="644"/>
    </row>
    <row r="157" spans="19:19" x14ac:dyDescent="0.2">
      <c r="S157" s="644"/>
    </row>
    <row r="158" spans="19:19" x14ac:dyDescent="0.2">
      <c r="S158" s="644"/>
    </row>
    <row r="159" spans="19:19" x14ac:dyDescent="0.2">
      <c r="S159" s="644"/>
    </row>
    <row r="160" spans="19:19" x14ac:dyDescent="0.2">
      <c r="S160" s="644"/>
    </row>
    <row r="161" spans="19:19" x14ac:dyDescent="0.2">
      <c r="S161" s="644"/>
    </row>
    <row r="162" spans="19:19" x14ac:dyDescent="0.2">
      <c r="S162" s="644"/>
    </row>
    <row r="163" spans="19:19" x14ac:dyDescent="0.2">
      <c r="S163" s="644"/>
    </row>
    <row r="164" spans="19:19" x14ac:dyDescent="0.2">
      <c r="S164" s="644"/>
    </row>
    <row r="165" spans="19:19" x14ac:dyDescent="0.2">
      <c r="S165" s="644"/>
    </row>
    <row r="166" spans="19:19" x14ac:dyDescent="0.2">
      <c r="S166" s="644"/>
    </row>
    <row r="167" spans="19:19" x14ac:dyDescent="0.2">
      <c r="S167" s="644"/>
    </row>
    <row r="168" spans="19:19" x14ac:dyDescent="0.2">
      <c r="S168" s="644"/>
    </row>
    <row r="169" spans="19:19" x14ac:dyDescent="0.2">
      <c r="S169" s="644"/>
    </row>
    <row r="170" spans="19:19" x14ac:dyDescent="0.2">
      <c r="S170" s="644"/>
    </row>
    <row r="171" spans="19:19" x14ac:dyDescent="0.2">
      <c r="S171" s="644"/>
    </row>
    <row r="172" spans="19:19" x14ac:dyDescent="0.2">
      <c r="S172" s="644"/>
    </row>
    <row r="173" spans="19:19" x14ac:dyDescent="0.2">
      <c r="S173" s="644"/>
    </row>
    <row r="174" spans="19:19" x14ac:dyDescent="0.2">
      <c r="S174" s="644"/>
    </row>
    <row r="175" spans="19:19" x14ac:dyDescent="0.2">
      <c r="S175" s="644"/>
    </row>
    <row r="176" spans="19:19" x14ac:dyDescent="0.2">
      <c r="S176" s="644"/>
    </row>
    <row r="177" spans="19:19" x14ac:dyDescent="0.2">
      <c r="S177" s="644"/>
    </row>
    <row r="178" spans="19:19" x14ac:dyDescent="0.2">
      <c r="S178" s="644"/>
    </row>
    <row r="179" spans="19:19" x14ac:dyDescent="0.2">
      <c r="S179" s="644"/>
    </row>
    <row r="180" spans="19:19" x14ac:dyDescent="0.2">
      <c r="S180" s="644"/>
    </row>
    <row r="181" spans="19:19" x14ac:dyDescent="0.2">
      <c r="S181" s="644"/>
    </row>
    <row r="182" spans="19:19" x14ac:dyDescent="0.2">
      <c r="S182" s="644"/>
    </row>
    <row r="183" spans="19:19" x14ac:dyDescent="0.2">
      <c r="S183" s="644"/>
    </row>
    <row r="184" spans="19:19" x14ac:dyDescent="0.2">
      <c r="S184" s="644"/>
    </row>
    <row r="185" spans="19:19" x14ac:dyDescent="0.2">
      <c r="S185" s="644"/>
    </row>
    <row r="186" spans="19:19" x14ac:dyDescent="0.2">
      <c r="S186" s="644"/>
    </row>
    <row r="187" spans="19:19" x14ac:dyDescent="0.2">
      <c r="S187" s="644"/>
    </row>
    <row r="188" spans="19:19" x14ac:dyDescent="0.2">
      <c r="S188" s="644"/>
    </row>
    <row r="189" spans="19:19" x14ac:dyDescent="0.2">
      <c r="S189" s="644"/>
    </row>
    <row r="190" spans="19:19" x14ac:dyDescent="0.2">
      <c r="S190" s="644"/>
    </row>
    <row r="191" spans="19:19" x14ac:dyDescent="0.2">
      <c r="S191" s="644"/>
    </row>
    <row r="192" spans="19:19" x14ac:dyDescent="0.2">
      <c r="S192" s="644"/>
    </row>
    <row r="193" spans="19:19" x14ac:dyDescent="0.2">
      <c r="S193" s="644"/>
    </row>
    <row r="194" spans="19:19" x14ac:dyDescent="0.2">
      <c r="S194" s="644"/>
    </row>
    <row r="195" spans="19:19" x14ac:dyDescent="0.2">
      <c r="S195" s="644"/>
    </row>
    <row r="196" spans="19:19" x14ac:dyDescent="0.2">
      <c r="S196" s="644"/>
    </row>
    <row r="197" spans="19:19" x14ac:dyDescent="0.2">
      <c r="S197" s="644"/>
    </row>
    <row r="198" spans="19:19" x14ac:dyDescent="0.2">
      <c r="S198" s="644"/>
    </row>
    <row r="199" spans="19:19" x14ac:dyDescent="0.2">
      <c r="S199" s="644"/>
    </row>
    <row r="200" spans="19:19" x14ac:dyDescent="0.2">
      <c r="S200" s="644"/>
    </row>
    <row r="201" spans="19:19" x14ac:dyDescent="0.2">
      <c r="S201" s="644"/>
    </row>
    <row r="202" spans="19:19" x14ac:dyDescent="0.2">
      <c r="S202" s="644"/>
    </row>
    <row r="203" spans="19:19" x14ac:dyDescent="0.2">
      <c r="S203" s="644"/>
    </row>
    <row r="204" spans="19:19" x14ac:dyDescent="0.2">
      <c r="S204" s="644"/>
    </row>
    <row r="205" spans="19:19" x14ac:dyDescent="0.2">
      <c r="S205" s="644"/>
    </row>
    <row r="206" spans="19:19" x14ac:dyDescent="0.2">
      <c r="S206" s="644"/>
    </row>
    <row r="207" spans="19:19" x14ac:dyDescent="0.2">
      <c r="S207" s="644"/>
    </row>
    <row r="208" spans="19:19" x14ac:dyDescent="0.2">
      <c r="S208" s="644"/>
    </row>
    <row r="209" spans="19:19" x14ac:dyDescent="0.2">
      <c r="S209" s="644"/>
    </row>
    <row r="210" spans="19:19" x14ac:dyDescent="0.2">
      <c r="S210" s="644"/>
    </row>
    <row r="211" spans="19:19" x14ac:dyDescent="0.2">
      <c r="S211" s="644"/>
    </row>
    <row r="212" spans="19:19" x14ac:dyDescent="0.2">
      <c r="S212" s="644"/>
    </row>
    <row r="213" spans="19:19" x14ac:dyDescent="0.2">
      <c r="S213" s="644"/>
    </row>
    <row r="214" spans="19:19" x14ac:dyDescent="0.2">
      <c r="S214" s="644"/>
    </row>
    <row r="215" spans="19:19" x14ac:dyDescent="0.2">
      <c r="S215" s="644"/>
    </row>
    <row r="216" spans="19:19" x14ac:dyDescent="0.2">
      <c r="S216" s="644"/>
    </row>
    <row r="217" spans="19:19" x14ac:dyDescent="0.2">
      <c r="S217" s="644"/>
    </row>
  </sheetData>
  <mergeCells count="2">
    <mergeCell ref="F2:S2"/>
    <mergeCell ref="T2:AG2"/>
  </mergeCells>
  <pageMargins left="0.70866141732283472" right="0.70866141732283472" top="0.74803149606299213" bottom="0.74803149606299213" header="0.31496062992125984" footer="0.31496062992125984"/>
  <pageSetup paperSize="9" scale="95" orientation="landscape"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1171"/>
  <sheetViews>
    <sheetView view="pageBreakPreview" topLeftCell="A127" zoomScale="110" zoomScaleNormal="100" zoomScaleSheetLayoutView="110" workbookViewId="0">
      <selection activeCell="E168" sqref="E168"/>
    </sheetView>
  </sheetViews>
  <sheetFormatPr defaultColWidth="9.140625" defaultRowHeight="12.75" x14ac:dyDescent="0.2"/>
  <cols>
    <col min="1" max="4" width="0.85546875" style="12" customWidth="1"/>
    <col min="5" max="5" width="50.7109375" style="12" customWidth="1"/>
    <col min="6" max="6" width="3.42578125" style="12" customWidth="1"/>
    <col min="7" max="7" width="3.5703125" style="12" customWidth="1"/>
    <col min="8" max="8" width="15.7109375" style="12" customWidth="1"/>
    <col min="9" max="10" width="15" style="12" hidden="1" customWidth="1"/>
    <col min="11" max="11" width="13.5703125" style="12" hidden="1" customWidth="1"/>
    <col min="12" max="15" width="13.7109375" style="12" hidden="1" customWidth="1"/>
    <col min="16" max="16" width="15.42578125" style="12" hidden="1" customWidth="1"/>
    <col min="17" max="17" width="15.140625" style="12" hidden="1" customWidth="1"/>
    <col min="18" max="18" width="16.42578125" style="12" hidden="1" customWidth="1"/>
    <col min="19" max="19" width="15.7109375" style="12" hidden="1" customWidth="1"/>
    <col min="20" max="20" width="15.28515625" style="12" customWidth="1"/>
    <col min="21" max="21" width="15.7109375" style="12" customWidth="1"/>
    <col min="22" max="22" width="15.7109375" style="375" customWidth="1"/>
    <col min="23" max="24" width="13.7109375" style="12" hidden="1" customWidth="1"/>
    <col min="25" max="25" width="15.7109375" style="12" hidden="1" customWidth="1"/>
    <col min="26" max="30" width="13.7109375" style="12" hidden="1" customWidth="1"/>
    <col min="31" max="31" width="14.85546875" style="12" hidden="1" customWidth="1"/>
    <col min="32" max="32" width="15.42578125" style="12" hidden="1" customWidth="1"/>
    <col min="33" max="33" width="15.140625" style="12" hidden="1" customWidth="1"/>
    <col min="34" max="35" width="15.140625" style="12" customWidth="1"/>
    <col min="36" max="36" width="2.28515625" style="12" customWidth="1"/>
    <col min="37" max="39" width="14" style="12" hidden="1" customWidth="1"/>
    <col min="40" max="40" width="13.42578125" style="12" hidden="1" customWidth="1"/>
    <col min="41" max="41" width="11.42578125" style="12" hidden="1" customWidth="1"/>
    <col min="42" max="42" width="9.7109375" style="12" hidden="1" customWidth="1"/>
    <col min="43" max="44" width="12.7109375" style="12" hidden="1" customWidth="1"/>
    <col min="45" max="45" width="12.5703125" style="12" hidden="1" customWidth="1"/>
    <col min="46" max="54" width="6.7109375" style="12" customWidth="1"/>
    <col min="55" max="55" width="9.5703125" style="12" customWidth="1"/>
    <col min="56" max="56" width="12.5703125" style="12" bestFit="1" customWidth="1"/>
    <col min="57" max="16384" width="9.140625" style="12"/>
  </cols>
  <sheetData>
    <row r="1" spans="1:50" ht="12.75" customHeight="1" x14ac:dyDescent="0.2">
      <c r="V1" s="12"/>
    </row>
    <row r="2" spans="1:50" ht="12.75" customHeight="1" x14ac:dyDescent="0.2">
      <c r="A2" s="80" t="s">
        <v>32</v>
      </c>
      <c r="B2" s="80"/>
      <c r="C2" s="80"/>
      <c r="D2" s="90"/>
      <c r="F2" s="80"/>
      <c r="G2" s="90"/>
      <c r="I2" s="90"/>
      <c r="K2" s="90"/>
      <c r="M2" s="90"/>
      <c r="V2" s="90"/>
    </row>
    <row r="3" spans="1:50" ht="12.75" customHeight="1" x14ac:dyDescent="0.2">
      <c r="A3" s="119"/>
      <c r="B3" s="172"/>
      <c r="C3" s="172"/>
      <c r="D3" s="172"/>
      <c r="E3" s="172"/>
      <c r="F3" s="172"/>
      <c r="G3" s="273"/>
      <c r="H3" s="761" t="s">
        <v>0</v>
      </c>
      <c r="I3" s="762"/>
      <c r="J3" s="762"/>
      <c r="K3" s="762"/>
      <c r="L3" s="762"/>
      <c r="M3" s="762"/>
      <c r="N3" s="762"/>
      <c r="O3" s="762"/>
      <c r="P3" s="762"/>
      <c r="Q3" s="762"/>
      <c r="R3" s="762"/>
      <c r="S3" s="762"/>
      <c r="T3" s="762"/>
      <c r="U3" s="762"/>
      <c r="V3" s="763" t="s">
        <v>1</v>
      </c>
      <c r="W3" s="762"/>
      <c r="X3" s="762"/>
      <c r="Y3" s="762"/>
      <c r="Z3" s="762"/>
      <c r="AA3" s="762"/>
      <c r="AB3" s="762"/>
      <c r="AC3" s="762"/>
      <c r="AD3" s="762"/>
      <c r="AE3" s="762"/>
      <c r="AF3" s="762"/>
      <c r="AG3" s="762"/>
      <c r="AH3" s="762"/>
      <c r="AI3" s="764"/>
      <c r="AJ3" s="321"/>
      <c r="AK3" s="146"/>
      <c r="AL3" s="146"/>
      <c r="AM3" s="146"/>
      <c r="AN3" s="244"/>
      <c r="AX3" s="244"/>
    </row>
    <row r="4" spans="1:50" ht="12.75" customHeight="1" x14ac:dyDescent="0.2">
      <c r="A4" s="244"/>
      <c r="C4" s="451"/>
      <c r="E4" s="451"/>
      <c r="F4" s="451"/>
      <c r="G4" s="347"/>
      <c r="H4" s="504" t="s">
        <v>2</v>
      </c>
      <c r="I4" s="190" t="s">
        <v>3</v>
      </c>
      <c r="J4" s="190" t="s">
        <v>4</v>
      </c>
      <c r="K4" s="190" t="s">
        <v>5</v>
      </c>
      <c r="L4" s="190" t="s">
        <v>6</v>
      </c>
      <c r="M4" s="190" t="s">
        <v>7</v>
      </c>
      <c r="N4" s="190" t="s">
        <v>8</v>
      </c>
      <c r="O4" s="190" t="s">
        <v>9</v>
      </c>
      <c r="P4" s="190" t="s">
        <v>10</v>
      </c>
      <c r="Q4" s="190" t="s">
        <v>11</v>
      </c>
      <c r="R4" s="190" t="s">
        <v>12</v>
      </c>
      <c r="S4" s="190" t="s">
        <v>13</v>
      </c>
      <c r="T4" s="190" t="s">
        <v>14</v>
      </c>
      <c r="U4" s="399" t="s">
        <v>15</v>
      </c>
      <c r="V4" s="500" t="s">
        <v>16</v>
      </c>
      <c r="W4" s="497" t="s">
        <v>3</v>
      </c>
      <c r="X4" s="294" t="s">
        <v>4</v>
      </c>
      <c r="Y4" s="294" t="s">
        <v>33</v>
      </c>
      <c r="Z4" s="294" t="s">
        <v>6</v>
      </c>
      <c r="AA4" s="294" t="s">
        <v>7</v>
      </c>
      <c r="AB4" s="294" t="s">
        <v>8</v>
      </c>
      <c r="AC4" s="294" t="s">
        <v>9</v>
      </c>
      <c r="AD4" s="294" t="s">
        <v>10</v>
      </c>
      <c r="AE4" s="294" t="s">
        <v>11</v>
      </c>
      <c r="AF4" s="294" t="s">
        <v>12</v>
      </c>
      <c r="AG4" s="294" t="s">
        <v>13</v>
      </c>
      <c r="AH4" s="294" t="s">
        <v>14</v>
      </c>
      <c r="AI4" s="399" t="s">
        <v>15</v>
      </c>
      <c r="AJ4" s="109"/>
      <c r="AK4" s="20"/>
      <c r="AL4" s="20"/>
      <c r="AM4" s="20"/>
      <c r="AN4" s="244"/>
    </row>
    <row r="5" spans="1:50" ht="12.75" customHeight="1" x14ac:dyDescent="0.2">
      <c r="A5" s="163" t="s">
        <v>17</v>
      </c>
      <c r="B5" s="262"/>
      <c r="C5" s="262"/>
      <c r="D5" s="262"/>
      <c r="E5" s="262"/>
      <c r="F5" s="262"/>
      <c r="G5" s="466"/>
      <c r="H5" s="491" t="s">
        <v>19</v>
      </c>
      <c r="I5" s="490"/>
      <c r="J5" s="487"/>
      <c r="K5" s="486"/>
      <c r="L5" s="486"/>
      <c r="M5" s="486"/>
      <c r="N5" s="486"/>
      <c r="O5" s="492"/>
      <c r="P5" s="486"/>
      <c r="Q5" s="486"/>
      <c r="R5" s="492"/>
      <c r="S5" s="486"/>
      <c r="T5" s="486"/>
      <c r="U5" s="502"/>
      <c r="V5" s="501" t="s">
        <v>34</v>
      </c>
      <c r="W5" s="494"/>
      <c r="X5" s="495"/>
      <c r="Y5" s="495"/>
      <c r="Z5" s="495"/>
      <c r="AA5" s="495"/>
      <c r="AB5" s="495"/>
      <c r="AC5" s="495"/>
      <c r="AD5" s="495"/>
      <c r="AE5" s="495"/>
      <c r="AF5" s="495"/>
      <c r="AG5" s="495"/>
      <c r="AH5" s="495"/>
      <c r="AI5" s="364"/>
      <c r="AJ5" s="109"/>
      <c r="AK5" s="20"/>
      <c r="AL5" s="20"/>
      <c r="AM5" s="20"/>
      <c r="AN5" s="244"/>
    </row>
    <row r="6" spans="1:50" s="310" customFormat="1" ht="12.75" customHeight="1" x14ac:dyDescent="0.2">
      <c r="A6" s="209"/>
      <c r="B6" s="451" t="s">
        <v>35</v>
      </c>
      <c r="C6" s="413"/>
      <c r="E6" s="413"/>
      <c r="F6" s="135"/>
      <c r="G6" s="234"/>
      <c r="H6" s="190">
        <v>700049552.78799999</v>
      </c>
      <c r="I6" s="190">
        <v>44502247.688879997</v>
      </c>
      <c r="J6" s="439">
        <v>40267541.448380001</v>
      </c>
      <c r="K6" s="337">
        <v>75893153.321600005</v>
      </c>
      <c r="L6" s="337">
        <v>38199166.259870008</v>
      </c>
      <c r="M6" s="337">
        <v>54625199.190710008</v>
      </c>
      <c r="N6" s="337">
        <v>54199269.159560002</v>
      </c>
      <c r="O6" s="337">
        <v>41509113.366560005</v>
      </c>
      <c r="P6" s="337">
        <v>42477963.018860005</v>
      </c>
      <c r="Q6" s="337">
        <v>113137906.21742998</v>
      </c>
      <c r="R6" s="337">
        <v>48426034.441939987</v>
      </c>
      <c r="S6" s="337">
        <v>90564483.399649978</v>
      </c>
      <c r="T6" s="337">
        <v>74378421.498849988</v>
      </c>
      <c r="U6" s="399">
        <v>718180499.01229</v>
      </c>
      <c r="V6" s="439">
        <v>772684806.23060012</v>
      </c>
      <c r="W6" s="337">
        <v>47553752.77249001</v>
      </c>
      <c r="X6" s="294">
        <v>47282401.413939998</v>
      </c>
      <c r="Y6" s="294">
        <v>96420082.301810011</v>
      </c>
      <c r="Z6" s="337">
        <v>38395560.228289992</v>
      </c>
      <c r="AA6" s="294">
        <v>70448927.873320013</v>
      </c>
      <c r="AB6" s="294">
        <v>65436322.300100014</v>
      </c>
      <c r="AC6" s="294">
        <v>46743452.980879992</v>
      </c>
      <c r="AD6" s="294">
        <v>44884045.116439998</v>
      </c>
      <c r="AE6" s="294">
        <v>103738985.99437</v>
      </c>
      <c r="AF6" s="294">
        <v>48109044.612840027</v>
      </c>
      <c r="AG6" s="294">
        <v>92425907.679609984</v>
      </c>
      <c r="AH6" s="294">
        <v>71246323.735759988</v>
      </c>
      <c r="AI6" s="399">
        <v>772684806.00985014</v>
      </c>
      <c r="AJ6" s="109"/>
      <c r="AK6" s="20"/>
      <c r="AL6" s="20"/>
      <c r="AM6" s="20"/>
      <c r="AN6" s="181"/>
    </row>
    <row r="7" spans="1:50" ht="12.75" customHeight="1" x14ac:dyDescent="0.2">
      <c r="A7" s="244"/>
      <c r="C7" s="12" t="s">
        <v>36</v>
      </c>
      <c r="F7" s="451"/>
      <c r="G7" s="347"/>
      <c r="H7" s="390">
        <v>482143081.366</v>
      </c>
      <c r="I7" s="390">
        <v>41615902.929719999</v>
      </c>
      <c r="J7" s="390">
        <v>36192555.250660002</v>
      </c>
      <c r="K7" s="284">
        <v>33797792.299890004</v>
      </c>
      <c r="L7" s="284">
        <v>34826342.628380008</v>
      </c>
      <c r="M7" s="284">
        <v>36297897.417770006</v>
      </c>
      <c r="N7" s="284">
        <v>35952831.695350006</v>
      </c>
      <c r="O7" s="284">
        <v>37860117.452960007</v>
      </c>
      <c r="P7" s="284">
        <v>38487473.443060003</v>
      </c>
      <c r="Q7" s="284">
        <v>45457888.316809997</v>
      </c>
      <c r="R7" s="284">
        <v>44037920.551440001</v>
      </c>
      <c r="S7" s="284">
        <v>55833861.342059985</v>
      </c>
      <c r="T7" s="284">
        <v>46650488.188979998</v>
      </c>
      <c r="U7" s="85">
        <v>487011071.51708001</v>
      </c>
      <c r="V7" s="390">
        <v>527632509.09618008</v>
      </c>
      <c r="W7" s="113">
        <v>43776459.651640005</v>
      </c>
      <c r="X7" s="284">
        <v>41154239.428300001</v>
      </c>
      <c r="Y7" s="284">
        <v>40754501.706720002</v>
      </c>
      <c r="Z7" s="284">
        <v>35484723.235689998</v>
      </c>
      <c r="AA7" s="284">
        <v>46609599.916050002</v>
      </c>
      <c r="AB7" s="284">
        <v>40730037.182510003</v>
      </c>
      <c r="AC7" s="284">
        <v>40946946.799479991</v>
      </c>
      <c r="AD7" s="284">
        <v>40153656.112360008</v>
      </c>
      <c r="AE7" s="284">
        <v>44888641.336540006</v>
      </c>
      <c r="AF7" s="284">
        <v>44810442.238950029</v>
      </c>
      <c r="AG7" s="284">
        <v>60385934.534630008</v>
      </c>
      <c r="AH7" s="284">
        <v>47937326.982779995</v>
      </c>
      <c r="AI7" s="85">
        <v>527632509.12565017</v>
      </c>
      <c r="AJ7" s="167"/>
      <c r="AK7" s="15"/>
      <c r="AL7" s="15"/>
      <c r="AM7" s="15"/>
      <c r="AN7" s="268"/>
    </row>
    <row r="8" spans="1:50" ht="12.75" customHeight="1" x14ac:dyDescent="0.2">
      <c r="A8" s="244"/>
      <c r="B8" s="451"/>
      <c r="E8" s="756" t="s">
        <v>37</v>
      </c>
      <c r="F8" s="756"/>
      <c r="G8" s="757"/>
      <c r="H8" s="284">
        <v>38066025.982999995</v>
      </c>
      <c r="I8" s="390">
        <v>532955.74387999997</v>
      </c>
      <c r="J8" s="15">
        <v>631107.68600999995</v>
      </c>
      <c r="K8" s="113">
        <v>722290.87132000003</v>
      </c>
      <c r="L8" s="113">
        <v>768741.78328000009</v>
      </c>
      <c r="M8" s="113">
        <v>8712597.3320799991</v>
      </c>
      <c r="N8" s="113">
        <v>2108514.745889999</v>
      </c>
      <c r="O8" s="113">
        <v>1471210.9258099999</v>
      </c>
      <c r="P8" s="113">
        <v>1768453.6862899996</v>
      </c>
      <c r="Q8" s="113">
        <v>1446277.8310700003</v>
      </c>
      <c r="R8" s="113">
        <v>1550696.4063799996</v>
      </c>
      <c r="S8" s="113">
        <v>17458402.15106</v>
      </c>
      <c r="T8" s="113">
        <v>2034036.3959899992</v>
      </c>
      <c r="U8" s="85">
        <v>39205285.559059992</v>
      </c>
      <c r="V8" s="390">
        <v>45507465.838790014</v>
      </c>
      <c r="W8" s="113">
        <v>1045401.3255700001</v>
      </c>
      <c r="X8" s="284">
        <v>1139200.4573900001</v>
      </c>
      <c r="Y8" s="113">
        <v>877540.9188000001</v>
      </c>
      <c r="Z8" s="113">
        <v>781828.04315000027</v>
      </c>
      <c r="AA8" s="113">
        <v>10748087.94912</v>
      </c>
      <c r="AB8" s="284">
        <v>2249224.8038599994</v>
      </c>
      <c r="AC8" s="284">
        <v>1408003.1737500001</v>
      </c>
      <c r="AD8" s="284">
        <v>1559924.6262300014</v>
      </c>
      <c r="AE8" s="284">
        <v>1396349.5637999997</v>
      </c>
      <c r="AF8" s="284">
        <v>1814014.3334599994</v>
      </c>
      <c r="AG8" s="284">
        <v>20217423.13668</v>
      </c>
      <c r="AH8" s="284">
        <v>2270467.7338399999</v>
      </c>
      <c r="AI8" s="85">
        <v>45507466.065650001</v>
      </c>
      <c r="AJ8" s="167"/>
      <c r="AK8" s="15"/>
      <c r="AL8" s="15"/>
      <c r="AM8" s="15"/>
      <c r="AN8" s="268"/>
    </row>
    <row r="9" spans="1:50" ht="12.75" customHeight="1" x14ac:dyDescent="0.2">
      <c r="A9" s="244"/>
      <c r="B9" s="451"/>
      <c r="E9" s="12" t="s">
        <v>38</v>
      </c>
      <c r="F9" s="451"/>
      <c r="G9" s="390"/>
      <c r="H9" s="284">
        <v>483358524.48400003</v>
      </c>
      <c r="I9" s="390">
        <v>41692107.038860001</v>
      </c>
      <c r="J9" s="15">
        <v>37255109.591980003</v>
      </c>
      <c r="K9" s="113">
        <v>34481178.627070002</v>
      </c>
      <c r="L9" s="113">
        <v>36096742.533100009</v>
      </c>
      <c r="M9" s="113">
        <v>37366127.871030003</v>
      </c>
      <c r="N9" s="113">
        <v>39332802.735870004</v>
      </c>
      <c r="O9" s="113">
        <v>40894525.012290001</v>
      </c>
      <c r="P9" s="113">
        <v>40881736.10405001</v>
      </c>
      <c r="Q9" s="113">
        <v>47007550.115280002</v>
      </c>
      <c r="R9" s="113">
        <v>44996207.898530006</v>
      </c>
      <c r="S9" s="113">
        <v>42294854.44757998</v>
      </c>
      <c r="T9" s="113">
        <v>47486980.384389997</v>
      </c>
      <c r="U9" s="85">
        <v>489785922.36003006</v>
      </c>
      <c r="V9" s="390">
        <v>518243198.16349</v>
      </c>
      <c r="W9" s="113">
        <v>44296731.578749999</v>
      </c>
      <c r="X9" s="284">
        <v>40997229.689070001</v>
      </c>
      <c r="Y9" s="113">
        <v>41027937.841810003</v>
      </c>
      <c r="Z9" s="113">
        <v>41101466.763070002</v>
      </c>
      <c r="AA9" s="113">
        <v>41635414.685589999</v>
      </c>
      <c r="AB9" s="284">
        <v>42402183.92276001</v>
      </c>
      <c r="AC9" s="284">
        <v>43698245.362749994</v>
      </c>
      <c r="AD9" s="284">
        <v>42086556.014600009</v>
      </c>
      <c r="AE9" s="284">
        <v>46004117.272960007</v>
      </c>
      <c r="AF9" s="284">
        <v>45298876.207450032</v>
      </c>
      <c r="AG9" s="284">
        <v>42198089.298020005</v>
      </c>
      <c r="AH9" s="284">
        <v>47496349.329269998</v>
      </c>
      <c r="AI9" s="85">
        <v>518243197.96610004</v>
      </c>
      <c r="AJ9" s="167"/>
      <c r="AK9" s="15"/>
      <c r="AL9" s="15"/>
      <c r="AM9" s="15"/>
      <c r="AN9" s="268"/>
    </row>
    <row r="10" spans="1:50" ht="12.75" customHeight="1" x14ac:dyDescent="0.25">
      <c r="A10" s="244"/>
      <c r="B10" s="451"/>
      <c r="E10" s="758" t="s">
        <v>39</v>
      </c>
      <c r="F10" s="759"/>
      <c r="G10" s="760"/>
      <c r="H10" s="284">
        <v>-5463979.6129999999</v>
      </c>
      <c r="I10" s="390">
        <v>-50673.258329999997</v>
      </c>
      <c r="J10" s="15">
        <v>-835644.90191999997</v>
      </c>
      <c r="K10" s="113">
        <v>-542577.35311000003</v>
      </c>
      <c r="L10" s="113">
        <v>-630563.1041600001</v>
      </c>
      <c r="M10" s="113">
        <v>-721239.64770000009</v>
      </c>
      <c r="N10" s="113">
        <v>-528886.24427000014</v>
      </c>
      <c r="O10" s="113">
        <v>-376226.14926999994</v>
      </c>
      <c r="P10" s="113">
        <v>-333392.25273999991</v>
      </c>
      <c r="Q10" s="113">
        <v>-340695.72862000018</v>
      </c>
      <c r="R10" s="113">
        <v>-322886.75232999958</v>
      </c>
      <c r="S10" s="113">
        <v>-339870.86840999965</v>
      </c>
      <c r="T10" s="113">
        <v>-369316.15598000027</v>
      </c>
      <c r="U10" s="85">
        <v>-5391972.4168400001</v>
      </c>
      <c r="V10" s="390">
        <v>-4150348.5131299994</v>
      </c>
      <c r="W10" s="113">
        <v>-422029.25579999998</v>
      </c>
      <c r="X10" s="284">
        <v>-83296.615010000009</v>
      </c>
      <c r="Y10" s="113">
        <v>-356825.11997999996</v>
      </c>
      <c r="Z10" s="113">
        <v>-429038.74219999998</v>
      </c>
      <c r="AA10" s="113">
        <v>-339904.13562999992</v>
      </c>
      <c r="AB10" s="284">
        <v>-380196.25668999995</v>
      </c>
      <c r="AC10" s="284">
        <v>-343097.10807000002</v>
      </c>
      <c r="AD10" s="284">
        <v>-336545.33994999999</v>
      </c>
      <c r="AE10" s="284">
        <v>-359236.86654000002</v>
      </c>
      <c r="AF10" s="284">
        <v>-362400.42050999997</v>
      </c>
      <c r="AG10" s="284">
        <v>-357899.94475999998</v>
      </c>
      <c r="AH10" s="284">
        <v>-379878.70799000002</v>
      </c>
      <c r="AI10" s="85">
        <v>-4150348.5131299994</v>
      </c>
      <c r="AJ10" s="167"/>
      <c r="AK10" s="15"/>
      <c r="AL10" s="15"/>
      <c r="AM10" s="15"/>
      <c r="AN10" s="268"/>
    </row>
    <row r="11" spans="1:50" ht="12.75" customHeight="1" x14ac:dyDescent="0.2">
      <c r="A11" s="244"/>
      <c r="B11" s="451"/>
      <c r="E11" s="12" t="s">
        <v>40</v>
      </c>
      <c r="F11" s="451"/>
      <c r="G11" s="390"/>
      <c r="H11" s="284">
        <v>-1671153.794</v>
      </c>
      <c r="I11" s="390">
        <v>-28022.66575</v>
      </c>
      <c r="J11" s="15">
        <v>-172007.06935999999</v>
      </c>
      <c r="K11" s="113">
        <v>-287062.47683</v>
      </c>
      <c r="L11" s="113">
        <v>-325112.87945000001</v>
      </c>
      <c r="M11" s="113">
        <v>-492219.62296000007</v>
      </c>
      <c r="N11" s="113">
        <v>-81601.19393999991</v>
      </c>
      <c r="O11" s="113">
        <v>-78021.36335</v>
      </c>
      <c r="P11" s="113">
        <v>-28738.372870000079</v>
      </c>
      <c r="Q11" s="113">
        <v>-20169.092949999962</v>
      </c>
      <c r="R11" s="113">
        <v>-55124.576979999896</v>
      </c>
      <c r="S11" s="113">
        <v>-151856.35318999994</v>
      </c>
      <c r="T11" s="113">
        <v>-52810.388449999969</v>
      </c>
      <c r="U11" s="85">
        <v>-1772746.0560799998</v>
      </c>
      <c r="V11" s="390">
        <v>-603878.8677099999</v>
      </c>
      <c r="W11" s="113">
        <v>-283731.10194999998</v>
      </c>
      <c r="X11" s="284">
        <v>-22971.714719999989</v>
      </c>
      <c r="Y11" s="113">
        <v>-16854.091000000015</v>
      </c>
      <c r="Z11" s="113">
        <v>-30074.485649999988</v>
      </c>
      <c r="AA11" s="113">
        <v>-25479.952289999987</v>
      </c>
      <c r="AB11" s="284">
        <v>-42236.93293000001</v>
      </c>
      <c r="AC11" s="284">
        <v>-31139.069699999993</v>
      </c>
      <c r="AD11" s="284">
        <v>-17600.217149999997</v>
      </c>
      <c r="AE11" s="284">
        <v>-25607.755020000001</v>
      </c>
      <c r="AF11" s="284">
        <v>-17295.282360000001</v>
      </c>
      <c r="AG11" s="284">
        <v>-51730.900750000001</v>
      </c>
      <c r="AH11" s="284">
        <v>-39157.36419</v>
      </c>
      <c r="AI11" s="85">
        <v>-603878.8677099999</v>
      </c>
      <c r="AJ11" s="167"/>
      <c r="AK11" s="15"/>
      <c r="AL11" s="15"/>
      <c r="AM11" s="15"/>
      <c r="AN11" s="268"/>
    </row>
    <row r="12" spans="1:50" ht="12.75" customHeight="1" x14ac:dyDescent="0.2">
      <c r="A12" s="244"/>
      <c r="B12" s="451"/>
      <c r="E12" s="12" t="s">
        <v>41</v>
      </c>
      <c r="F12" s="451"/>
      <c r="G12" s="390"/>
      <c r="H12" s="284">
        <v>-32146335.693999998</v>
      </c>
      <c r="I12" s="390">
        <v>-530463.92894000001</v>
      </c>
      <c r="J12" s="15">
        <v>-686010.05605000001</v>
      </c>
      <c r="K12" s="113">
        <v>-576037.36855999986</v>
      </c>
      <c r="L12" s="113">
        <v>-1083465.7043900001</v>
      </c>
      <c r="M12" s="113">
        <v>-8567368.51468</v>
      </c>
      <c r="N12" s="113">
        <v>-4877998.3482000008</v>
      </c>
      <c r="O12" s="113">
        <v>-4051370.9725200012</v>
      </c>
      <c r="P12" s="113">
        <v>-3800585.7216700017</v>
      </c>
      <c r="Q12" s="113">
        <v>-2635074.8079699986</v>
      </c>
      <c r="R12" s="113">
        <v>-2130972.4241599999</v>
      </c>
      <c r="S12" s="113">
        <v>-3427668.0349799991</v>
      </c>
      <c r="T12" s="113">
        <v>-2448402.0469700024</v>
      </c>
      <c r="U12" s="85">
        <v>-34815417.929090008</v>
      </c>
      <c r="V12" s="390">
        <v>-31363927.525259998</v>
      </c>
      <c r="W12" s="113">
        <v>-859912.89492999995</v>
      </c>
      <c r="X12" s="284">
        <v>-875922.38843000005</v>
      </c>
      <c r="Y12" s="113">
        <v>-777297.84291000012</v>
      </c>
      <c r="Z12" s="113">
        <v>-5939458.3426799998</v>
      </c>
      <c r="AA12" s="113">
        <v>-5408518.6307399999</v>
      </c>
      <c r="AB12" s="284">
        <v>-3498938.3544900008</v>
      </c>
      <c r="AC12" s="284">
        <v>-3785065.5592500009</v>
      </c>
      <c r="AD12" s="284">
        <v>-3138678.9713699999</v>
      </c>
      <c r="AE12" s="284">
        <v>-2126980.8786599999</v>
      </c>
      <c r="AF12" s="284">
        <v>-1922752.5990899999</v>
      </c>
      <c r="AG12" s="284">
        <v>-1619947.0545599998</v>
      </c>
      <c r="AH12" s="284">
        <v>-1410454.0081500001</v>
      </c>
      <c r="AI12" s="85">
        <v>-31363927.525260001</v>
      </c>
      <c r="AJ12" s="167"/>
      <c r="AK12" s="15"/>
      <c r="AL12" s="15"/>
      <c r="AM12" s="15"/>
      <c r="AN12" s="268"/>
    </row>
    <row r="13" spans="1:50" ht="12.75" customHeight="1" x14ac:dyDescent="0.2">
      <c r="A13" s="244"/>
      <c r="C13" s="756" t="s">
        <v>42</v>
      </c>
      <c r="D13" s="756"/>
      <c r="E13" s="756"/>
      <c r="F13" s="756"/>
      <c r="G13" s="757"/>
      <c r="H13" s="284"/>
      <c r="I13" s="390"/>
      <c r="J13" s="15"/>
      <c r="K13" s="113"/>
      <c r="L13" s="113"/>
      <c r="M13" s="113"/>
      <c r="N13" s="113"/>
      <c r="O13" s="113"/>
      <c r="P13" s="113"/>
      <c r="Q13" s="113"/>
      <c r="R13" s="113"/>
      <c r="S13" s="113"/>
      <c r="T13" s="113"/>
      <c r="U13" s="85"/>
      <c r="V13" s="390"/>
      <c r="W13" s="113"/>
      <c r="X13" s="284"/>
      <c r="Y13" s="113"/>
      <c r="Z13" s="113"/>
      <c r="AA13" s="113"/>
      <c r="AB13" s="284"/>
      <c r="AC13" s="284"/>
      <c r="AD13" s="284"/>
      <c r="AE13" s="284"/>
      <c r="AF13" s="284"/>
      <c r="AG13" s="284"/>
      <c r="AH13" s="284"/>
      <c r="AI13" s="85"/>
      <c r="AJ13" s="167"/>
      <c r="AK13" s="15"/>
      <c r="AL13" s="15"/>
      <c r="AM13" s="15"/>
      <c r="AN13" s="268"/>
      <c r="AP13" s="310"/>
    </row>
    <row r="14" spans="1:50" ht="12.75" customHeight="1" x14ac:dyDescent="0.2">
      <c r="A14" s="244"/>
      <c r="E14" s="12" t="s">
        <v>43</v>
      </c>
      <c r="G14" s="390"/>
      <c r="H14" s="284">
        <v>188800785.85000002</v>
      </c>
      <c r="I14" s="390">
        <v>384842.90894999984</v>
      </c>
      <c r="J14" s="15">
        <v>445249.20909000002</v>
      </c>
      <c r="K14" s="113">
        <v>39913932.530649997</v>
      </c>
      <c r="L14" s="113">
        <v>1566346.1395400017</v>
      </c>
      <c r="M14" s="113">
        <v>16583404.45242</v>
      </c>
      <c r="N14" s="113">
        <v>16736825.424929999</v>
      </c>
      <c r="O14" s="113">
        <v>1068594.4498399943</v>
      </c>
      <c r="P14" s="113">
        <v>2142518.059770003</v>
      </c>
      <c r="Q14" s="113">
        <v>65865813.063029997</v>
      </c>
      <c r="R14" s="113">
        <v>1480506.0910399854</v>
      </c>
      <c r="S14" s="113">
        <v>31937625.54716</v>
      </c>
      <c r="T14" s="113">
        <v>23997788.948280007</v>
      </c>
      <c r="U14" s="85">
        <v>202123446.8247</v>
      </c>
      <c r="V14" s="390">
        <v>211522203.19641</v>
      </c>
      <c r="W14" s="113">
        <v>1151770.1174699999</v>
      </c>
      <c r="X14" s="284">
        <v>1250332.25581</v>
      </c>
      <c r="Y14" s="113">
        <v>53810142.588600002</v>
      </c>
      <c r="Z14" s="113">
        <v>795902.98059999943</v>
      </c>
      <c r="AA14" s="113">
        <v>21443015.586050004</v>
      </c>
      <c r="AB14" s="284">
        <v>22872501.494900003</v>
      </c>
      <c r="AC14" s="284">
        <v>1337882.8686500043</v>
      </c>
      <c r="AD14" s="284">
        <v>2096783.6286499947</v>
      </c>
      <c r="AE14" s="284">
        <v>57084619.367169999</v>
      </c>
      <c r="AF14" s="284">
        <v>990461.81430000067</v>
      </c>
      <c r="AG14" s="284">
        <v>29306623.408219993</v>
      </c>
      <c r="AH14" s="284">
        <v>19382166.907779999</v>
      </c>
      <c r="AI14" s="85">
        <v>211522203.01819998</v>
      </c>
      <c r="AJ14" s="167"/>
      <c r="AK14" s="15"/>
      <c r="AL14" s="15"/>
      <c r="AM14" s="15"/>
      <c r="AN14" s="268"/>
      <c r="AP14" s="310"/>
    </row>
    <row r="15" spans="1:50" ht="12.75" customHeight="1" x14ac:dyDescent="0.2">
      <c r="A15" s="244"/>
      <c r="E15" s="752" t="s">
        <v>44</v>
      </c>
      <c r="F15" s="752"/>
      <c r="G15" s="753"/>
      <c r="H15" s="284">
        <v>51076.900999999998</v>
      </c>
      <c r="I15" s="390">
        <v>591.75368000000003</v>
      </c>
      <c r="J15" s="15">
        <v>358.55195000000003</v>
      </c>
      <c r="K15" s="113">
        <v>-543.68684999999994</v>
      </c>
      <c r="L15" s="113">
        <v>1414.5836100000001</v>
      </c>
      <c r="M15" s="113">
        <v>14900.17238</v>
      </c>
      <c r="N15" s="113">
        <v>1545.65642</v>
      </c>
      <c r="O15" s="113">
        <v>1452.81231</v>
      </c>
      <c r="P15" s="113">
        <v>787.68525999999997</v>
      </c>
      <c r="Q15" s="113">
        <v>11587.871779999999</v>
      </c>
      <c r="R15" s="113">
        <v>10152.577949999999</v>
      </c>
      <c r="S15" s="113">
        <v>578.45497999999998</v>
      </c>
      <c r="T15" s="113">
        <v>20923.132819999999</v>
      </c>
      <c r="U15" s="85">
        <v>63749.566290000002</v>
      </c>
      <c r="V15" s="390">
        <v>15961.07682</v>
      </c>
      <c r="W15" s="113">
        <v>4086.3198600000001</v>
      </c>
      <c r="X15" s="284">
        <v>1391.03548</v>
      </c>
      <c r="Y15" s="113">
        <v>1839.0604599999999</v>
      </c>
      <c r="Z15" s="113">
        <v>2009.00775</v>
      </c>
      <c r="AA15" s="113">
        <v>-506.63587000000001</v>
      </c>
      <c r="AB15" s="284">
        <v>2410.3167599999997</v>
      </c>
      <c r="AC15" s="284">
        <v>-2272.4185699999998</v>
      </c>
      <c r="AD15" s="284">
        <v>995.00096999999994</v>
      </c>
      <c r="AE15" s="284">
        <v>962.30282</v>
      </c>
      <c r="AF15" s="284">
        <v>455.23854</v>
      </c>
      <c r="AG15" s="284">
        <v>1236.0751599999999</v>
      </c>
      <c r="AH15" s="284">
        <v>3355.7734599999999</v>
      </c>
      <c r="AI15" s="85">
        <v>15961.07682</v>
      </c>
      <c r="AJ15" s="167"/>
      <c r="AK15" s="15"/>
      <c r="AL15" s="15"/>
      <c r="AM15" s="15"/>
      <c r="AN15" s="268"/>
      <c r="AP15" s="310"/>
    </row>
    <row r="16" spans="1:50" ht="12.75" customHeight="1" x14ac:dyDescent="0.2">
      <c r="A16" s="244"/>
      <c r="E16" s="752" t="s">
        <v>45</v>
      </c>
      <c r="F16" s="752"/>
      <c r="G16" s="753"/>
      <c r="H16" s="284">
        <v>22929037.114</v>
      </c>
      <c r="I16" s="390">
        <v>2209079.9366000001</v>
      </c>
      <c r="J16" s="15">
        <v>3349193.38399</v>
      </c>
      <c r="K16" s="113">
        <v>1867407.8515699999</v>
      </c>
      <c r="L16" s="113">
        <v>1470064.80709</v>
      </c>
      <c r="M16" s="113">
        <v>1308870.1526300001</v>
      </c>
      <c r="N16" s="113">
        <v>1067478.5544199999</v>
      </c>
      <c r="O16" s="113">
        <v>2239556.21636</v>
      </c>
      <c r="P16" s="113">
        <v>1525227.9124499999</v>
      </c>
      <c r="Q16" s="113">
        <v>1430045.4186800001</v>
      </c>
      <c r="R16" s="113">
        <v>2718753.6723799999</v>
      </c>
      <c r="S16" s="113">
        <v>2500497.7941000001</v>
      </c>
      <c r="T16" s="113">
        <v>3095436.7792699998</v>
      </c>
      <c r="U16" s="85">
        <v>24781612.479540005</v>
      </c>
      <c r="V16" s="390">
        <v>27913927.080180001</v>
      </c>
      <c r="W16" s="113">
        <v>2235723.95352</v>
      </c>
      <c r="X16" s="284">
        <v>4519590.4822399998</v>
      </c>
      <c r="Y16" s="113">
        <v>1612104.69774</v>
      </c>
      <c r="Z16" s="113">
        <v>1859617.3053900001</v>
      </c>
      <c r="AA16" s="113">
        <v>2149459.6524899998</v>
      </c>
      <c r="AB16" s="284">
        <v>1449432.13283</v>
      </c>
      <c r="AC16" s="284">
        <v>4138770.48563</v>
      </c>
      <c r="AD16" s="284">
        <v>2186872.68707</v>
      </c>
      <c r="AE16" s="284">
        <v>1435581.0780199999</v>
      </c>
      <c r="AF16" s="284">
        <v>1988054.2304700001</v>
      </c>
      <c r="AG16" s="284">
        <v>2192578.1497199996</v>
      </c>
      <c r="AH16" s="284">
        <v>2146142.2250600001</v>
      </c>
      <c r="AI16" s="85">
        <v>27913927.080180001</v>
      </c>
      <c r="AJ16" s="167"/>
      <c r="AK16" s="15"/>
      <c r="AL16" s="15"/>
      <c r="AM16" s="15"/>
      <c r="AN16" s="268"/>
      <c r="AP16" s="310"/>
    </row>
    <row r="17" spans="1:42" ht="12.75" customHeight="1" x14ac:dyDescent="0.2">
      <c r="A17" s="244"/>
      <c r="E17" s="752" t="s">
        <v>46</v>
      </c>
      <c r="F17" s="752"/>
      <c r="G17" s="753"/>
      <c r="H17" s="284">
        <v>476356.484</v>
      </c>
      <c r="I17" s="390">
        <v>59182.997109999997</v>
      </c>
      <c r="J17" s="15">
        <v>31029.25405</v>
      </c>
      <c r="K17" s="113">
        <v>32443.184300000001</v>
      </c>
      <c r="L17" s="113">
        <v>43083.216130000001</v>
      </c>
      <c r="M17" s="113">
        <v>23768.29952</v>
      </c>
      <c r="N17" s="113">
        <v>40209.965609999999</v>
      </c>
      <c r="O17" s="113">
        <v>57329.075709999997</v>
      </c>
      <c r="P17" s="113">
        <v>38019.836139999999</v>
      </c>
      <c r="Q17" s="113">
        <v>30230.652859999998</v>
      </c>
      <c r="R17" s="113">
        <v>28941.377190000003</v>
      </c>
      <c r="S17" s="113">
        <v>34950.095829999998</v>
      </c>
      <c r="T17" s="113">
        <v>71116.683109999998</v>
      </c>
      <c r="U17" s="85">
        <v>490304.63756</v>
      </c>
      <c r="V17" s="390">
        <v>596498.06310999999</v>
      </c>
      <c r="W17" s="113">
        <v>79112.289799999999</v>
      </c>
      <c r="X17" s="284">
        <v>46548.474719999998</v>
      </c>
      <c r="Y17" s="113">
        <v>24033.462829999997</v>
      </c>
      <c r="Z17" s="113">
        <v>46036.769560000001</v>
      </c>
      <c r="AA17" s="113">
        <v>46016.670460000001</v>
      </c>
      <c r="AB17" s="284">
        <v>31131.278460000001</v>
      </c>
      <c r="AC17" s="284">
        <v>97489.750290000011</v>
      </c>
      <c r="AD17" s="284">
        <v>35097.179700000001</v>
      </c>
      <c r="AE17" s="284">
        <v>42773.009170000005</v>
      </c>
      <c r="AF17" s="284">
        <v>50320.79163</v>
      </c>
      <c r="AG17" s="284">
        <v>46528.848770000004</v>
      </c>
      <c r="AH17" s="284">
        <v>51409.53772</v>
      </c>
      <c r="AI17" s="85">
        <v>596498.06310999999</v>
      </c>
      <c r="AJ17" s="167"/>
      <c r="AK17" s="15"/>
      <c r="AL17" s="15"/>
      <c r="AM17" s="15"/>
      <c r="AN17" s="268"/>
      <c r="AP17" s="310"/>
    </row>
    <row r="18" spans="1:42" x14ac:dyDescent="0.2">
      <c r="A18" s="244"/>
      <c r="C18" s="12" t="s">
        <v>47</v>
      </c>
      <c r="G18" s="390"/>
      <c r="H18" s="284"/>
      <c r="I18" s="390"/>
      <c r="J18" s="15"/>
      <c r="K18" s="113"/>
      <c r="L18" s="113"/>
      <c r="M18" s="113"/>
      <c r="N18" s="113"/>
      <c r="O18" s="113"/>
      <c r="P18" s="113"/>
      <c r="Q18" s="113"/>
      <c r="R18" s="113"/>
      <c r="S18" s="113"/>
      <c r="T18" s="113"/>
      <c r="U18" s="85"/>
      <c r="V18" s="390"/>
      <c r="W18" s="113"/>
      <c r="X18" s="284"/>
      <c r="Y18" s="113"/>
      <c r="Z18" s="113"/>
      <c r="AA18" s="113"/>
      <c r="AB18" s="284"/>
      <c r="AC18" s="284"/>
      <c r="AD18" s="284"/>
      <c r="AE18" s="284"/>
      <c r="AF18" s="284"/>
      <c r="AG18" s="284"/>
      <c r="AH18" s="284"/>
      <c r="AI18" s="85"/>
      <c r="AJ18" s="167"/>
      <c r="AK18" s="15"/>
      <c r="AL18" s="15"/>
      <c r="AM18" s="15"/>
      <c r="AN18" s="268"/>
      <c r="AP18" s="310"/>
    </row>
    <row r="19" spans="1:42" ht="12.75" customHeight="1" x14ac:dyDescent="0.2">
      <c r="A19" s="244"/>
      <c r="E19" s="756" t="s">
        <v>48</v>
      </c>
      <c r="F19" s="756"/>
      <c r="G19" s="757"/>
      <c r="H19" s="284">
        <v>5649179.9100000001</v>
      </c>
      <c r="I19" s="390">
        <v>232647.16282000003</v>
      </c>
      <c r="J19" s="15">
        <v>249084.23964000001</v>
      </c>
      <c r="K19" s="113">
        <v>282121.14204000001</v>
      </c>
      <c r="L19" s="113">
        <v>291914.88511999999</v>
      </c>
      <c r="M19" s="113">
        <v>396358.69598999992</v>
      </c>
      <c r="N19" s="113">
        <v>400377.86283</v>
      </c>
      <c r="O19" s="113">
        <v>282063.35938000004</v>
      </c>
      <c r="P19" s="113">
        <v>283936.08217999991</v>
      </c>
      <c r="Q19" s="113">
        <v>342340.89427000005</v>
      </c>
      <c r="R19" s="113">
        <v>149760.1719399998</v>
      </c>
      <c r="S19" s="113">
        <v>256970.16551999981</v>
      </c>
      <c r="T19" s="113">
        <v>542667.76639</v>
      </c>
      <c r="U19" s="85">
        <v>3710242.4281199994</v>
      </c>
      <c r="V19" s="390">
        <v>5003686.9855000004</v>
      </c>
      <c r="W19" s="113">
        <v>306533.35495000001</v>
      </c>
      <c r="X19" s="284">
        <v>310295.59839</v>
      </c>
      <c r="Y19" s="113">
        <v>217456.78546000004</v>
      </c>
      <c r="Z19" s="113">
        <v>207251.59629999998</v>
      </c>
      <c r="AA19" s="113">
        <v>201343.94414000004</v>
      </c>
      <c r="AB19" s="284">
        <v>350809.00163999991</v>
      </c>
      <c r="AC19" s="284">
        <v>224632.16800000006</v>
      </c>
      <c r="AD19" s="284">
        <v>410640.50768999988</v>
      </c>
      <c r="AE19" s="284">
        <v>286408.90064999997</v>
      </c>
      <c r="AF19" s="284">
        <v>269324.99894999992</v>
      </c>
      <c r="AG19" s="284">
        <v>493006.66311000008</v>
      </c>
      <c r="AH19" s="284">
        <v>1725983.3942100001</v>
      </c>
      <c r="AI19" s="85">
        <v>5003686.9134899992</v>
      </c>
      <c r="AJ19" s="167"/>
      <c r="AK19" s="15"/>
      <c r="AL19" s="15"/>
      <c r="AM19" s="15"/>
      <c r="AN19" s="268"/>
      <c r="AP19" s="310"/>
    </row>
    <row r="20" spans="1:42" ht="12.75" customHeight="1" x14ac:dyDescent="0.2">
      <c r="A20" s="244"/>
      <c r="E20" s="752" t="s">
        <v>49</v>
      </c>
      <c r="F20" s="752"/>
      <c r="G20" s="753"/>
      <c r="H20" s="284">
        <v>35.162999999999997</v>
      </c>
      <c r="I20" s="390">
        <v>0</v>
      </c>
      <c r="J20" s="15">
        <v>71.558999999999997</v>
      </c>
      <c r="K20" s="113">
        <v>0</v>
      </c>
      <c r="L20" s="113">
        <v>0</v>
      </c>
      <c r="M20" s="113">
        <v>0</v>
      </c>
      <c r="N20" s="113">
        <v>0</v>
      </c>
      <c r="O20" s="113">
        <v>0</v>
      </c>
      <c r="P20" s="113">
        <v>0</v>
      </c>
      <c r="Q20" s="113">
        <v>0</v>
      </c>
      <c r="R20" s="113">
        <v>0</v>
      </c>
      <c r="S20" s="113">
        <v>0</v>
      </c>
      <c r="T20" s="113">
        <v>0</v>
      </c>
      <c r="U20" s="85">
        <v>71.558999999999997</v>
      </c>
      <c r="V20" s="390">
        <v>20.732399999999984</v>
      </c>
      <c r="W20" s="113">
        <v>67.085250000000002</v>
      </c>
      <c r="X20" s="284">
        <v>4.1390000000000002</v>
      </c>
      <c r="Y20" s="113">
        <v>4</v>
      </c>
      <c r="Z20" s="113">
        <v>19.332999999999998</v>
      </c>
      <c r="AA20" s="113">
        <v>-1.26</v>
      </c>
      <c r="AB20" s="284">
        <v>0.89300000000000002</v>
      </c>
      <c r="AC20" s="284">
        <v>2.3273999999999999</v>
      </c>
      <c r="AD20" s="284">
        <v>0</v>
      </c>
      <c r="AE20" s="284">
        <v>0</v>
      </c>
      <c r="AF20" s="284">
        <v>-14.7</v>
      </c>
      <c r="AG20" s="284">
        <v>0</v>
      </c>
      <c r="AH20" s="284">
        <v>-61.085250000000002</v>
      </c>
      <c r="AI20" s="85">
        <v>20.732399999999984</v>
      </c>
      <c r="AJ20" s="167"/>
      <c r="AK20" s="15"/>
      <c r="AL20" s="15"/>
      <c r="AM20" s="15"/>
      <c r="AN20" s="268"/>
      <c r="AP20" s="310"/>
    </row>
    <row r="21" spans="1:42" s="310" customFormat="1" ht="12.75" customHeight="1" x14ac:dyDescent="0.2">
      <c r="A21" s="268"/>
      <c r="B21" s="451" t="s">
        <v>50</v>
      </c>
      <c r="C21" s="413"/>
      <c r="E21" s="445"/>
      <c r="F21" s="445"/>
      <c r="G21" s="343"/>
      <c r="H21" s="13">
        <v>10174610.989</v>
      </c>
      <c r="I21" s="13">
        <v>1448896.29446</v>
      </c>
      <c r="J21" s="22">
        <v>1119036.5325999998</v>
      </c>
      <c r="K21" s="186">
        <v>8683.9046199999993</v>
      </c>
      <c r="L21" s="186">
        <v>88985.843720000004</v>
      </c>
      <c r="M21" s="186">
        <v>75881.088000000003</v>
      </c>
      <c r="N21" s="186">
        <v>169905.86504</v>
      </c>
      <c r="O21" s="186">
        <v>1462514.1096400002</v>
      </c>
      <c r="P21" s="186">
        <v>1488220.46254</v>
      </c>
      <c r="Q21" s="186">
        <v>1667699.5313499998</v>
      </c>
      <c r="R21" s="186">
        <v>1637904.7564300001</v>
      </c>
      <c r="S21" s="186">
        <v>1463554.3070999999</v>
      </c>
      <c r="T21" s="186">
        <v>1618946.7662799999</v>
      </c>
      <c r="U21" s="24">
        <v>12250229.461779999</v>
      </c>
      <c r="V21" s="396">
        <v>18486280.33836</v>
      </c>
      <c r="W21" s="290">
        <v>1486557.3596700002</v>
      </c>
      <c r="X21" s="95">
        <v>1412889.2435599999</v>
      </c>
      <c r="Y21" s="95">
        <v>1388120.6329900001</v>
      </c>
      <c r="Z21" s="186">
        <v>1443837.3841199998</v>
      </c>
      <c r="AA21" s="95">
        <v>1524560.1272400001</v>
      </c>
      <c r="AB21" s="95">
        <v>1497959.2152200001</v>
      </c>
      <c r="AC21" s="95">
        <v>1535608.7352400001</v>
      </c>
      <c r="AD21" s="95">
        <v>1485949.6038800001</v>
      </c>
      <c r="AE21" s="95">
        <v>1683694.1335400001</v>
      </c>
      <c r="AF21" s="95">
        <v>1704155.1792899999</v>
      </c>
      <c r="AG21" s="95">
        <v>1575779.40793</v>
      </c>
      <c r="AH21" s="95">
        <v>1747169.31568</v>
      </c>
      <c r="AI21" s="24">
        <v>18486280.33836</v>
      </c>
      <c r="AJ21" s="124"/>
      <c r="AK21" s="22"/>
      <c r="AL21" s="22"/>
      <c r="AM21" s="22"/>
      <c r="AN21" s="268"/>
      <c r="AO21" s="12"/>
    </row>
    <row r="22" spans="1:42" ht="12.75" customHeight="1" x14ac:dyDescent="0.2">
      <c r="A22" s="244"/>
      <c r="C22" s="177" t="s">
        <v>51</v>
      </c>
      <c r="F22" s="277"/>
      <c r="G22" s="343"/>
      <c r="H22" s="284">
        <v>10174610.989</v>
      </c>
      <c r="I22" s="390">
        <v>1448896.29446</v>
      </c>
      <c r="J22" s="15">
        <v>1119036.5325999998</v>
      </c>
      <c r="K22" s="113">
        <v>8683.9046199999993</v>
      </c>
      <c r="L22" s="113">
        <v>88985.843720000004</v>
      </c>
      <c r="M22" s="113">
        <v>75881.088000000003</v>
      </c>
      <c r="N22" s="113">
        <v>169905.86504</v>
      </c>
      <c r="O22" s="113">
        <v>1462514.1096400002</v>
      </c>
      <c r="P22" s="113">
        <v>1488220.46254</v>
      </c>
      <c r="Q22" s="113">
        <v>1667699.5313499998</v>
      </c>
      <c r="R22" s="113">
        <v>1637904.7564300001</v>
      </c>
      <c r="S22" s="113">
        <v>1463554.3070999999</v>
      </c>
      <c r="T22" s="113">
        <v>1618946.7662799999</v>
      </c>
      <c r="U22" s="85">
        <v>12250229.461779999</v>
      </c>
      <c r="V22" s="390">
        <v>18486280.33836</v>
      </c>
      <c r="W22" s="113">
        <v>1486557.3596700002</v>
      </c>
      <c r="X22" s="284">
        <v>1412889.2435599999</v>
      </c>
      <c r="Y22" s="113">
        <v>1388120.6329900001</v>
      </c>
      <c r="Z22" s="113">
        <v>1443837.3841199998</v>
      </c>
      <c r="AA22" s="113">
        <v>1524560.1272400001</v>
      </c>
      <c r="AB22" s="284">
        <v>1497959.2152200001</v>
      </c>
      <c r="AC22" s="95">
        <v>1535608.7352400001</v>
      </c>
      <c r="AD22" s="284">
        <v>1485949.6038800001</v>
      </c>
      <c r="AE22" s="284">
        <v>1683694.1335400001</v>
      </c>
      <c r="AF22" s="284">
        <v>1704155.1792899999</v>
      </c>
      <c r="AG22" s="284">
        <v>1575779.40793</v>
      </c>
      <c r="AH22" s="284">
        <v>1747169.31568</v>
      </c>
      <c r="AI22" s="85">
        <v>18486280.33836</v>
      </c>
      <c r="AJ22" s="167"/>
      <c r="AK22" s="15"/>
      <c r="AL22" s="15"/>
      <c r="AM22" s="15"/>
      <c r="AN22" s="268"/>
      <c r="AP22" s="310"/>
    </row>
    <row r="23" spans="1:42" s="310" customFormat="1" ht="12.75" customHeight="1" x14ac:dyDescent="0.2">
      <c r="A23" s="268"/>
      <c r="B23" s="451" t="s">
        <v>52</v>
      </c>
      <c r="C23" s="413"/>
      <c r="E23" s="445"/>
      <c r="F23" s="445"/>
      <c r="G23" s="343"/>
      <c r="H23" s="13">
        <v>15480407.149999999</v>
      </c>
      <c r="I23" s="13">
        <v>930000.28094000008</v>
      </c>
      <c r="J23" s="22">
        <v>964345.83990000002</v>
      </c>
      <c r="K23" s="186">
        <v>1222430.14439</v>
      </c>
      <c r="L23" s="186">
        <v>1300104.89249</v>
      </c>
      <c r="M23" s="186">
        <v>1253114.29495</v>
      </c>
      <c r="N23" s="186">
        <v>1425464.15118</v>
      </c>
      <c r="O23" s="186">
        <v>1457954.3470199998</v>
      </c>
      <c r="P23" s="186">
        <v>1638130.02015</v>
      </c>
      <c r="Q23" s="186">
        <v>1246894.6395299998</v>
      </c>
      <c r="R23" s="186">
        <v>1262648.4423799999</v>
      </c>
      <c r="S23" s="186">
        <v>1471051.33702</v>
      </c>
      <c r="T23" s="186">
        <v>1774479.28997</v>
      </c>
      <c r="U23" s="24">
        <v>15946617.679919999</v>
      </c>
      <c r="V23" s="13">
        <v>15979940.205900002</v>
      </c>
      <c r="W23" s="186">
        <v>1273463.2842899999</v>
      </c>
      <c r="X23" s="21">
        <v>1218002.7180599999</v>
      </c>
      <c r="Y23" s="21">
        <v>1197194.08048</v>
      </c>
      <c r="Z23" s="186">
        <v>1255267.6250199997</v>
      </c>
      <c r="AA23" s="21">
        <v>1311750.4920399999</v>
      </c>
      <c r="AB23" s="21">
        <v>1150972.34228</v>
      </c>
      <c r="AC23" s="21">
        <v>1419716.86209</v>
      </c>
      <c r="AD23" s="21">
        <v>2619856.30528</v>
      </c>
      <c r="AE23" s="21">
        <v>951461.71384999994</v>
      </c>
      <c r="AF23" s="21">
        <v>1107402.01119</v>
      </c>
      <c r="AG23" s="21">
        <v>1203624.8027900001</v>
      </c>
      <c r="AH23" s="21">
        <v>1271227.96853</v>
      </c>
      <c r="AI23" s="24">
        <v>15979940.205900002</v>
      </c>
      <c r="AJ23" s="124"/>
      <c r="AK23" s="22"/>
      <c r="AL23" s="22"/>
      <c r="AM23" s="22"/>
      <c r="AN23" s="268"/>
      <c r="AO23" s="12"/>
    </row>
    <row r="24" spans="1:42" s="310" customFormat="1" ht="12.75" customHeight="1" x14ac:dyDescent="0.2">
      <c r="A24" s="268"/>
      <c r="B24" s="451"/>
      <c r="C24" s="756" t="s">
        <v>53</v>
      </c>
      <c r="D24" s="756"/>
      <c r="E24" s="756"/>
      <c r="F24" s="756"/>
      <c r="G24" s="757"/>
      <c r="H24" s="284"/>
      <c r="I24" s="390"/>
      <c r="J24" s="15"/>
      <c r="K24" s="113"/>
      <c r="L24" s="113"/>
      <c r="M24" s="113"/>
      <c r="N24" s="113"/>
      <c r="O24" s="113"/>
      <c r="P24" s="113"/>
      <c r="Q24" s="113"/>
      <c r="R24" s="113"/>
      <c r="S24" s="113"/>
      <c r="T24" s="113"/>
      <c r="U24" s="85"/>
      <c r="V24" s="390"/>
      <c r="W24" s="15"/>
      <c r="X24" s="284"/>
      <c r="Y24" s="284"/>
      <c r="Z24" s="113"/>
      <c r="AA24" s="284"/>
      <c r="AB24" s="284"/>
      <c r="AC24" s="284"/>
      <c r="AD24" s="284"/>
      <c r="AE24" s="284"/>
      <c r="AF24" s="284"/>
      <c r="AG24" s="284"/>
      <c r="AH24" s="284"/>
      <c r="AI24" s="85"/>
      <c r="AJ24" s="167"/>
      <c r="AK24" s="15"/>
      <c r="AL24" s="15"/>
      <c r="AM24" s="15"/>
      <c r="AN24" s="268"/>
      <c r="AO24" s="12"/>
    </row>
    <row r="25" spans="1:42" ht="12.75" customHeight="1" x14ac:dyDescent="0.2">
      <c r="A25" s="244"/>
      <c r="E25" s="177" t="s">
        <v>54</v>
      </c>
      <c r="F25" s="177"/>
      <c r="G25" s="343"/>
      <c r="H25" s="284">
        <v>593690.66299999994</v>
      </c>
      <c r="I25" s="390">
        <v>31559.846730000001</v>
      </c>
      <c r="J25" s="15">
        <v>10892.31041</v>
      </c>
      <c r="K25" s="113">
        <v>46560.754789999999</v>
      </c>
      <c r="L25" s="113">
        <v>34777.232400000001</v>
      </c>
      <c r="M25" s="113">
        <v>55122.520259999998</v>
      </c>
      <c r="N25" s="113">
        <v>68695.364930000011</v>
      </c>
      <c r="O25" s="113">
        <v>25458.964090000001</v>
      </c>
      <c r="P25" s="113">
        <v>64813.07576</v>
      </c>
      <c r="Q25" s="113">
        <v>55056.423969999996</v>
      </c>
      <c r="R25" s="113">
        <v>32973.087879999999</v>
      </c>
      <c r="S25" s="113">
        <v>44203.907119999996</v>
      </c>
      <c r="T25" s="113">
        <v>131889.35981999998</v>
      </c>
      <c r="U25" s="85">
        <v>602002.84815999994</v>
      </c>
      <c r="V25" s="390">
        <v>572260.51356000011</v>
      </c>
      <c r="W25" s="15">
        <v>44296.821329999999</v>
      </c>
      <c r="X25" s="284">
        <v>35163.065840000003</v>
      </c>
      <c r="Y25" s="113">
        <v>25841.288860000001</v>
      </c>
      <c r="Z25" s="113">
        <v>41455.151149999998</v>
      </c>
      <c r="AA25" s="113">
        <v>26383.988730000001</v>
      </c>
      <c r="AB25" s="284">
        <v>49254.720159999997</v>
      </c>
      <c r="AC25" s="284">
        <v>100003.02798999999</v>
      </c>
      <c r="AD25" s="284">
        <v>26963.738420000001</v>
      </c>
      <c r="AE25" s="284">
        <v>21675.22249</v>
      </c>
      <c r="AF25" s="284">
        <v>34255.995880000002</v>
      </c>
      <c r="AG25" s="284">
        <v>54902.155279999999</v>
      </c>
      <c r="AH25" s="284">
        <v>112065.33743000001</v>
      </c>
      <c r="AI25" s="85">
        <v>572260.51356000011</v>
      </c>
      <c r="AJ25" s="167"/>
      <c r="AK25" s="15"/>
      <c r="AL25" s="15"/>
      <c r="AM25" s="15"/>
      <c r="AN25" s="268"/>
      <c r="AP25" s="310"/>
    </row>
    <row r="26" spans="1:42" ht="12.75" customHeight="1" x14ac:dyDescent="0.2">
      <c r="A26" s="244"/>
      <c r="E26" s="177" t="s">
        <v>55</v>
      </c>
      <c r="F26" s="177"/>
      <c r="G26" s="343"/>
      <c r="H26" s="284">
        <v>2353031.4700000002</v>
      </c>
      <c r="I26" s="390">
        <v>96256.162180000014</v>
      </c>
      <c r="J26" s="15">
        <v>129073.12845999999</v>
      </c>
      <c r="K26" s="113">
        <v>226718.81278000001</v>
      </c>
      <c r="L26" s="113">
        <v>264484.19075999997</v>
      </c>
      <c r="M26" s="113">
        <v>157561.25753</v>
      </c>
      <c r="N26" s="113">
        <v>279991.56835000002</v>
      </c>
      <c r="O26" s="113">
        <v>214142.49699000001</v>
      </c>
      <c r="P26" s="113">
        <v>216394.44462999998</v>
      </c>
      <c r="Q26" s="113">
        <v>199917.46669</v>
      </c>
      <c r="R26" s="113">
        <v>103876.80607999999</v>
      </c>
      <c r="S26" s="113">
        <v>158665.07469000001</v>
      </c>
      <c r="T26" s="113">
        <v>269211.61077999999</v>
      </c>
      <c r="U26" s="85">
        <v>2316293.0199199999</v>
      </c>
      <c r="V26" s="390">
        <v>2047842.9223399998</v>
      </c>
      <c r="W26" s="15">
        <v>146391.82277</v>
      </c>
      <c r="X26" s="284">
        <v>143514.96836999999</v>
      </c>
      <c r="Y26" s="113">
        <v>156403.32399</v>
      </c>
      <c r="Z26" s="113">
        <v>197905.40074000001</v>
      </c>
      <c r="AA26" s="113">
        <v>169148.53209999998</v>
      </c>
      <c r="AB26" s="284">
        <v>138645.72691</v>
      </c>
      <c r="AC26" s="284">
        <v>174047.93703</v>
      </c>
      <c r="AD26" s="284">
        <v>178701.3413</v>
      </c>
      <c r="AE26" s="284">
        <v>168839.29102999999</v>
      </c>
      <c r="AF26" s="284">
        <v>173464.23949000001</v>
      </c>
      <c r="AG26" s="284">
        <v>183943.45116</v>
      </c>
      <c r="AH26" s="284">
        <v>216836.88744999998</v>
      </c>
      <c r="AI26" s="85">
        <v>2047842.9223399998</v>
      </c>
      <c r="AJ26" s="167"/>
      <c r="AK26" s="15"/>
      <c r="AL26" s="15"/>
      <c r="AM26" s="15"/>
      <c r="AN26" s="268"/>
      <c r="AP26" s="310"/>
    </row>
    <row r="27" spans="1:42" x14ac:dyDescent="0.2">
      <c r="A27" s="244"/>
      <c r="C27" s="756" t="s">
        <v>56</v>
      </c>
      <c r="D27" s="756"/>
      <c r="E27" s="756"/>
      <c r="F27" s="756"/>
      <c r="G27" s="757"/>
      <c r="H27" s="284"/>
      <c r="I27" s="390"/>
      <c r="J27" s="15"/>
      <c r="K27" s="113"/>
      <c r="L27" s="113"/>
      <c r="M27" s="113"/>
      <c r="N27" s="113"/>
      <c r="O27" s="113"/>
      <c r="P27" s="113"/>
      <c r="Q27" s="113"/>
      <c r="R27" s="113"/>
      <c r="S27" s="113"/>
      <c r="T27" s="113"/>
      <c r="U27" s="85"/>
      <c r="V27" s="390"/>
      <c r="W27" s="15"/>
      <c r="X27" s="284"/>
      <c r="Y27" s="113"/>
      <c r="Z27" s="113"/>
      <c r="AA27" s="113"/>
      <c r="AB27" s="284"/>
      <c r="AC27" s="284"/>
      <c r="AD27" s="284"/>
      <c r="AE27" s="284"/>
      <c r="AF27" s="284"/>
      <c r="AG27" s="284"/>
      <c r="AH27" s="284"/>
      <c r="AI27" s="85"/>
      <c r="AJ27" s="167"/>
      <c r="AK27" s="15"/>
      <c r="AL27" s="15"/>
      <c r="AM27" s="15"/>
      <c r="AN27" s="268"/>
      <c r="AP27" s="310"/>
    </row>
    <row r="28" spans="1:42" ht="12.75" customHeight="1" x14ac:dyDescent="0.2">
      <c r="A28" s="244"/>
      <c r="E28" s="177" t="s">
        <v>57</v>
      </c>
      <c r="F28" s="177"/>
      <c r="G28" s="343"/>
      <c r="H28" s="284">
        <v>5604105.8959999997</v>
      </c>
      <c r="I28" s="390">
        <v>724379.24122000008</v>
      </c>
      <c r="J28" s="15">
        <v>440553.43148000003</v>
      </c>
      <c r="K28" s="113">
        <v>479629.67985000001</v>
      </c>
      <c r="L28" s="113">
        <v>467319.17436</v>
      </c>
      <c r="M28" s="113">
        <v>440190.07876999996</v>
      </c>
      <c r="N28" s="113">
        <v>337034.30754000001</v>
      </c>
      <c r="O28" s="113">
        <v>355660.93687999999</v>
      </c>
      <c r="P28" s="113">
        <v>414652.91749000002</v>
      </c>
      <c r="Q28" s="113">
        <v>479060.93511999998</v>
      </c>
      <c r="R28" s="113">
        <v>415607.07444</v>
      </c>
      <c r="S28" s="113">
        <v>444578.54732999997</v>
      </c>
      <c r="T28" s="113">
        <v>423608.56547000003</v>
      </c>
      <c r="U28" s="85">
        <v>5422274.8899499988</v>
      </c>
      <c r="V28" s="390">
        <v>6240209.3064200003</v>
      </c>
      <c r="W28" s="15">
        <v>458925.01891000004</v>
      </c>
      <c r="X28" s="284">
        <v>346662.08555999998</v>
      </c>
      <c r="Y28" s="113">
        <v>480309.75639999995</v>
      </c>
      <c r="Z28" s="113">
        <v>353650.14681999997</v>
      </c>
      <c r="AA28" s="113">
        <v>504941.19263000001</v>
      </c>
      <c r="AB28" s="284">
        <v>389420.60843000002</v>
      </c>
      <c r="AC28" s="284">
        <v>433222.00581</v>
      </c>
      <c r="AD28" s="284">
        <v>1723424.1935999999</v>
      </c>
      <c r="AE28" s="284">
        <v>427934.50442000001</v>
      </c>
      <c r="AF28" s="284">
        <v>387633.97282999998</v>
      </c>
      <c r="AG28" s="284">
        <v>354439.98926999996</v>
      </c>
      <c r="AH28" s="284">
        <v>379645.83173999999</v>
      </c>
      <c r="AI28" s="85">
        <v>6240209.3064200003</v>
      </c>
      <c r="AJ28" s="167"/>
      <c r="AK28" s="15"/>
      <c r="AL28" s="15"/>
      <c r="AM28" s="15"/>
      <c r="AN28" s="268"/>
      <c r="AP28" s="310"/>
    </row>
    <row r="29" spans="1:42" ht="12.75" customHeight="1" x14ac:dyDescent="0.2">
      <c r="A29" s="244"/>
      <c r="E29" s="177" t="s">
        <v>58</v>
      </c>
      <c r="F29" s="177"/>
      <c r="G29" s="343"/>
      <c r="H29" s="284">
        <v>6929579.1210000003</v>
      </c>
      <c r="I29" s="390">
        <v>77805.030809999997</v>
      </c>
      <c r="J29" s="15">
        <v>383826.96955000004</v>
      </c>
      <c r="K29" s="113">
        <v>469520.89697</v>
      </c>
      <c r="L29" s="113">
        <v>533524.29497000005</v>
      </c>
      <c r="M29" s="113">
        <v>600240.43839000002</v>
      </c>
      <c r="N29" s="113">
        <v>739742.91035999998</v>
      </c>
      <c r="O29" s="113">
        <v>862691.9490599999</v>
      </c>
      <c r="P29" s="113">
        <v>942269.58227000001</v>
      </c>
      <c r="Q29" s="113">
        <v>512859.81374999997</v>
      </c>
      <c r="R29" s="113">
        <v>710191.47398000001</v>
      </c>
      <c r="S29" s="113">
        <v>823603.80787999998</v>
      </c>
      <c r="T29" s="113">
        <v>949769.75390000001</v>
      </c>
      <c r="U29" s="85">
        <v>7606046.9218899999</v>
      </c>
      <c r="V29" s="390">
        <v>7119627.4635800002</v>
      </c>
      <c r="W29" s="15">
        <v>623849.62127999996</v>
      </c>
      <c r="X29" s="284">
        <v>692662.59828999999</v>
      </c>
      <c r="Y29" s="113">
        <v>534639.71123000002</v>
      </c>
      <c r="Z29" s="113">
        <v>662256.92630999989</v>
      </c>
      <c r="AA29" s="113">
        <v>611276.77858000004</v>
      </c>
      <c r="AB29" s="284">
        <v>573651.28677999997</v>
      </c>
      <c r="AC29" s="284">
        <v>712443.89125999995</v>
      </c>
      <c r="AD29" s="284">
        <v>690767.03196000005</v>
      </c>
      <c r="AE29" s="284">
        <v>333012.69591000001</v>
      </c>
      <c r="AF29" s="284">
        <v>512047.80299</v>
      </c>
      <c r="AG29" s="284">
        <v>610339.20708000008</v>
      </c>
      <c r="AH29" s="284">
        <v>562679.91191000002</v>
      </c>
      <c r="AI29" s="85">
        <v>7119627.4635800002</v>
      </c>
      <c r="AJ29" s="167"/>
      <c r="AK29" s="15"/>
      <c r="AL29" s="15"/>
      <c r="AM29" s="15"/>
      <c r="AN29" s="268"/>
      <c r="AP29" s="310"/>
    </row>
    <row r="30" spans="1:42" ht="12.75" customHeight="1" x14ac:dyDescent="0.2">
      <c r="A30" s="244"/>
      <c r="B30" s="451" t="s">
        <v>59</v>
      </c>
      <c r="C30" s="413"/>
      <c r="E30" s="177"/>
      <c r="F30" s="177"/>
      <c r="G30" s="343"/>
      <c r="H30" s="13">
        <v>440888044.99699998</v>
      </c>
      <c r="I30" s="21">
        <v>28356908.747899994</v>
      </c>
      <c r="J30" s="21">
        <v>20250969.917430002</v>
      </c>
      <c r="K30" s="13">
        <v>20828640.803550001</v>
      </c>
      <c r="L30" s="13">
        <v>32016682.791159999</v>
      </c>
      <c r="M30" s="13">
        <v>38058942.388289988</v>
      </c>
      <c r="N30" s="13">
        <v>42513455.054179981</v>
      </c>
      <c r="O30" s="13">
        <v>47983958.66038999</v>
      </c>
      <c r="P30" s="13">
        <v>47171696.52651</v>
      </c>
      <c r="Q30" s="13">
        <v>42848327.083300009</v>
      </c>
      <c r="R30" s="13">
        <v>46036676.935669996</v>
      </c>
      <c r="S30" s="13">
        <v>32940482.602229998</v>
      </c>
      <c r="T30" s="13">
        <v>56813270.689839996</v>
      </c>
      <c r="U30" s="23">
        <v>455820012.20044982</v>
      </c>
      <c r="V30" s="13">
        <v>492282787.71899015</v>
      </c>
      <c r="W30" s="13">
        <v>32377446.9802</v>
      </c>
      <c r="X30" s="13">
        <v>36952393.600270025</v>
      </c>
      <c r="Y30" s="13">
        <v>38221349.329040006</v>
      </c>
      <c r="Z30" s="13">
        <v>39714315.318700001</v>
      </c>
      <c r="AA30" s="13">
        <v>38378682.190399982</v>
      </c>
      <c r="AB30" s="13">
        <v>42869845.250019997</v>
      </c>
      <c r="AC30" s="13">
        <v>40284335.230359994</v>
      </c>
      <c r="AD30" s="13">
        <v>40722661.34173999</v>
      </c>
      <c r="AE30" s="13">
        <v>42252814.115399994</v>
      </c>
      <c r="AF30" s="13">
        <v>48002585.085210003</v>
      </c>
      <c r="AG30" s="13">
        <v>42758806.629029997</v>
      </c>
      <c r="AH30" s="13">
        <v>49747552.53983999</v>
      </c>
      <c r="AI30" s="21">
        <v>492282787.61021</v>
      </c>
      <c r="AJ30" s="124"/>
      <c r="AK30" s="22"/>
      <c r="AL30" s="22"/>
      <c r="AM30" s="22"/>
      <c r="AN30" s="181"/>
      <c r="AP30" s="310"/>
    </row>
    <row r="31" spans="1:42" s="310" customFormat="1" ht="12.75" customHeight="1" x14ac:dyDescent="0.2">
      <c r="A31" s="268"/>
      <c r="B31" s="12"/>
      <c r="C31" s="177" t="s">
        <v>60</v>
      </c>
      <c r="D31" s="12"/>
      <c r="E31" s="12"/>
      <c r="F31" s="480"/>
      <c r="G31" s="379"/>
      <c r="H31" s="284">
        <v>324554195.56099999</v>
      </c>
      <c r="I31" s="390">
        <v>18776740.935239997</v>
      </c>
      <c r="J31" s="15">
        <v>16236146.551860001</v>
      </c>
      <c r="K31" s="284">
        <v>17497398.209230002</v>
      </c>
      <c r="L31" s="113">
        <v>24156555.682999998</v>
      </c>
      <c r="M31" s="113">
        <v>28925326.47027</v>
      </c>
      <c r="N31" s="113">
        <v>30839146.360589996</v>
      </c>
      <c r="O31" s="113">
        <v>31852786.621889997</v>
      </c>
      <c r="P31" s="113">
        <v>34287156.751970001</v>
      </c>
      <c r="Q31" s="113">
        <v>30755912.496950008</v>
      </c>
      <c r="R31" s="113">
        <v>33003863.607320003</v>
      </c>
      <c r="S31" s="113">
        <v>22894050.530599996</v>
      </c>
      <c r="T31" s="113">
        <v>41958473.709069997</v>
      </c>
      <c r="U31" s="85">
        <v>331183557.92798984</v>
      </c>
      <c r="V31" s="390">
        <v>346760767.35686016</v>
      </c>
      <c r="W31" s="15">
        <v>19087796.203689996</v>
      </c>
      <c r="X31" s="284">
        <v>26452644.209570009</v>
      </c>
      <c r="Y31" s="284">
        <v>27469523.342359997</v>
      </c>
      <c r="Z31" s="113">
        <v>27931003.059100002</v>
      </c>
      <c r="AA31" s="284">
        <v>28309249.809279997</v>
      </c>
      <c r="AB31" s="284">
        <v>31178326.168849997</v>
      </c>
      <c r="AC31" s="284">
        <v>27125465.40343</v>
      </c>
      <c r="AD31" s="284">
        <v>28526341.00395</v>
      </c>
      <c r="AE31" s="284">
        <v>30619163.936020002</v>
      </c>
      <c r="AF31" s="284">
        <v>33441736.308420002</v>
      </c>
      <c r="AG31" s="284">
        <v>30419416.516730003</v>
      </c>
      <c r="AH31" s="284">
        <v>36200101.286679998</v>
      </c>
      <c r="AI31" s="85">
        <v>346760767.24808002</v>
      </c>
      <c r="AJ31" s="167"/>
      <c r="AK31" s="15"/>
      <c r="AL31" s="15"/>
      <c r="AM31" s="15"/>
      <c r="AN31" s="268"/>
      <c r="AO31" s="12"/>
    </row>
    <row r="32" spans="1:42" s="310" customFormat="1" ht="12.75" customHeight="1" x14ac:dyDescent="0.2">
      <c r="A32" s="268"/>
      <c r="C32" s="221"/>
      <c r="D32" s="12"/>
      <c r="E32" s="426" t="s">
        <v>61</v>
      </c>
      <c r="F32" s="480"/>
      <c r="G32" s="343"/>
      <c r="H32" s="284">
        <v>390430459.00099999</v>
      </c>
      <c r="I32" s="390">
        <v>30729928.097920001</v>
      </c>
      <c r="J32" s="15">
        <v>23628213.569529999</v>
      </c>
      <c r="K32" s="113">
        <v>26987147.829450004</v>
      </c>
      <c r="L32" s="113">
        <v>33184655.828279998</v>
      </c>
      <c r="M32" s="113">
        <v>32688282.992089998</v>
      </c>
      <c r="N32" s="113">
        <v>34824457.563249998</v>
      </c>
      <c r="O32" s="113">
        <v>34283804.861469999</v>
      </c>
      <c r="P32" s="113">
        <v>35701045.356770001</v>
      </c>
      <c r="Q32" s="113">
        <v>35625227.583170004</v>
      </c>
      <c r="R32" s="113">
        <v>38701466.623580001</v>
      </c>
      <c r="S32" s="113">
        <v>31059621.172959998</v>
      </c>
      <c r="T32" s="113">
        <v>35521938.393440001</v>
      </c>
      <c r="U32" s="85">
        <v>392935789.87190998</v>
      </c>
      <c r="V32" s="390">
        <v>399288366.49105012</v>
      </c>
      <c r="W32" s="15">
        <v>32106002.039889999</v>
      </c>
      <c r="X32" s="284">
        <v>32788533.340090003</v>
      </c>
      <c r="Y32" s="113">
        <v>31097090.10334</v>
      </c>
      <c r="Z32" s="113">
        <v>33218205.330849998</v>
      </c>
      <c r="AA32" s="113">
        <v>32067614.14443</v>
      </c>
      <c r="AB32" s="284">
        <v>33883265.714919999</v>
      </c>
      <c r="AC32" s="284">
        <v>32588168.592829999</v>
      </c>
      <c r="AD32" s="284">
        <v>34203684.948849998</v>
      </c>
      <c r="AE32" s="284">
        <v>34614001.725600004</v>
      </c>
      <c r="AF32" s="284">
        <v>37954856.541610003</v>
      </c>
      <c r="AG32" s="284">
        <v>32000073.457700003</v>
      </c>
      <c r="AH32" s="284">
        <v>32766870.053909998</v>
      </c>
      <c r="AI32" s="85">
        <v>399288365.9940201</v>
      </c>
      <c r="AJ32" s="167"/>
      <c r="AK32" s="15"/>
      <c r="AL32" s="15"/>
      <c r="AM32" s="15"/>
      <c r="AN32" s="268"/>
      <c r="AO32" s="12"/>
    </row>
    <row r="33" spans="1:42" s="310" customFormat="1" ht="12.75" customHeight="1" x14ac:dyDescent="0.2">
      <c r="A33" s="268"/>
      <c r="C33" s="221"/>
      <c r="D33" s="12"/>
      <c r="E33" s="426" t="s">
        <v>62</v>
      </c>
      <c r="F33" s="480"/>
      <c r="G33" s="343"/>
      <c r="H33" s="284">
        <v>154293573.77699998</v>
      </c>
      <c r="I33" s="390">
        <v>3529370.3886099998</v>
      </c>
      <c r="J33" s="15">
        <v>11130423.847820001</v>
      </c>
      <c r="K33" s="113">
        <v>11682969.60579</v>
      </c>
      <c r="L33" s="113">
        <v>11388901.296339998</v>
      </c>
      <c r="M33" s="113">
        <v>12281816.734439999</v>
      </c>
      <c r="N33" s="113">
        <v>14412080.88515</v>
      </c>
      <c r="O33" s="113">
        <v>15675191.26237</v>
      </c>
      <c r="P33" s="113">
        <v>16503013.676609999</v>
      </c>
      <c r="Q33" s="113">
        <v>15860667.49006</v>
      </c>
      <c r="R33" s="113">
        <v>12542005.088149998</v>
      </c>
      <c r="S33" s="113">
        <v>14870118.09299</v>
      </c>
      <c r="T33" s="113">
        <v>26564623.987919997</v>
      </c>
      <c r="U33" s="85">
        <v>166441182.35624999</v>
      </c>
      <c r="V33" s="390">
        <v>179987356.57670003</v>
      </c>
      <c r="W33" s="15">
        <v>4712214.7641599998</v>
      </c>
      <c r="X33" s="284">
        <v>15016547.501580002</v>
      </c>
      <c r="Y33" s="113">
        <v>14694802.62631</v>
      </c>
      <c r="Z33" s="113">
        <v>15210416.082280001</v>
      </c>
      <c r="AA33" s="113">
        <v>16752271.243469998</v>
      </c>
      <c r="AB33" s="284">
        <v>16851360.23731</v>
      </c>
      <c r="AC33" s="284">
        <v>16548049.56246</v>
      </c>
      <c r="AD33" s="284">
        <v>16186736.69562</v>
      </c>
      <c r="AE33" s="284">
        <v>14799895.336339999</v>
      </c>
      <c r="AF33" s="284">
        <v>11976843.05473</v>
      </c>
      <c r="AG33" s="284">
        <v>14437887.10369</v>
      </c>
      <c r="AH33" s="284">
        <v>22800332.368750002</v>
      </c>
      <c r="AI33" s="85">
        <v>179987356.5767</v>
      </c>
      <c r="AJ33" s="167"/>
      <c r="AK33" s="15"/>
      <c r="AL33" s="15"/>
      <c r="AM33" s="15"/>
      <c r="AN33" s="268"/>
      <c r="AO33" s="12"/>
    </row>
    <row r="34" spans="1:42" s="310" customFormat="1" ht="12.75" customHeight="1" x14ac:dyDescent="0.2">
      <c r="A34" s="268"/>
      <c r="C34" s="221"/>
      <c r="D34" s="12"/>
      <c r="E34" s="426" t="s">
        <v>63</v>
      </c>
      <c r="F34" s="480"/>
      <c r="G34" s="379"/>
      <c r="H34" s="284">
        <v>-220169837.21700001</v>
      </c>
      <c r="I34" s="390">
        <v>-15482557.551290002</v>
      </c>
      <c r="J34" s="15">
        <v>-18522490.865490001</v>
      </c>
      <c r="K34" s="113">
        <v>-21172719.226009998</v>
      </c>
      <c r="L34" s="113">
        <v>-20417001.44162</v>
      </c>
      <c r="M34" s="113">
        <v>-16044773.25626</v>
      </c>
      <c r="N34" s="113">
        <v>-18397392.087810002</v>
      </c>
      <c r="O34" s="113">
        <v>-18106209.501949999</v>
      </c>
      <c r="P34" s="113">
        <v>-17916902.281410001</v>
      </c>
      <c r="Q34" s="113">
        <v>-20729982.576279998</v>
      </c>
      <c r="R34" s="113">
        <v>-18239608.10441</v>
      </c>
      <c r="S34" s="113">
        <v>-23035688.735349998</v>
      </c>
      <c r="T34" s="113">
        <v>-20128088.672290001</v>
      </c>
      <c r="U34" s="85">
        <v>-228193414.30017003</v>
      </c>
      <c r="V34" s="390">
        <v>-232514955.71089002</v>
      </c>
      <c r="W34" s="15">
        <v>-17730420.600360002</v>
      </c>
      <c r="X34" s="284">
        <v>-21352436.632099997</v>
      </c>
      <c r="Y34" s="113">
        <v>-18322369.387290001</v>
      </c>
      <c r="Z34" s="113">
        <v>-20497618.354029998</v>
      </c>
      <c r="AA34" s="113">
        <v>-20510635.578619998</v>
      </c>
      <c r="AB34" s="284">
        <v>-19556299.783380002</v>
      </c>
      <c r="AC34" s="284">
        <v>-22010752.75186</v>
      </c>
      <c r="AD34" s="284">
        <v>-21864080.640519999</v>
      </c>
      <c r="AE34" s="284">
        <v>-18794733.125919998</v>
      </c>
      <c r="AF34" s="284">
        <v>-16489963.28792</v>
      </c>
      <c r="AG34" s="284">
        <v>-16018544.04466</v>
      </c>
      <c r="AH34" s="284">
        <v>-19367101.135979999</v>
      </c>
      <c r="AI34" s="85">
        <v>-232514955.32264003</v>
      </c>
      <c r="AJ34" s="167"/>
      <c r="AK34" s="15"/>
      <c r="AL34" s="15"/>
      <c r="AM34" s="15"/>
      <c r="AN34" s="268"/>
      <c r="AO34" s="12"/>
    </row>
    <row r="35" spans="1:42" s="310" customFormat="1" ht="12.75" customHeight="1" x14ac:dyDescent="0.2">
      <c r="A35" s="268"/>
      <c r="B35" s="12"/>
      <c r="C35" s="177" t="s">
        <v>64</v>
      </c>
      <c r="D35" s="177"/>
      <c r="E35" s="177"/>
      <c r="F35" s="177"/>
      <c r="G35" s="343"/>
      <c r="H35" s="284">
        <v>2095.8429999999998</v>
      </c>
      <c r="I35" s="390">
        <v>92.286479999999997</v>
      </c>
      <c r="J35" s="15">
        <v>357.09545000000003</v>
      </c>
      <c r="K35" s="113">
        <v>176.53769</v>
      </c>
      <c r="L35" s="113">
        <v>68.885259999999988</v>
      </c>
      <c r="M35" s="113">
        <v>1661.1098300000001</v>
      </c>
      <c r="N35" s="113">
        <v>794.15470999999991</v>
      </c>
      <c r="O35" s="113">
        <v>362.46553</v>
      </c>
      <c r="P35" s="113">
        <v>214.13531</v>
      </c>
      <c r="Q35" s="113">
        <v>48.535129999999995</v>
      </c>
      <c r="R35" s="113">
        <v>343.37419</v>
      </c>
      <c r="S35" s="113">
        <v>4135.28042</v>
      </c>
      <c r="T35" s="113">
        <v>258.69558999999998</v>
      </c>
      <c r="U35" s="85">
        <v>8512.5555899999999</v>
      </c>
      <c r="V35" s="390">
        <v>8449.8804199999977</v>
      </c>
      <c r="W35" s="15">
        <v>864.69512999999995</v>
      </c>
      <c r="X35" s="284">
        <v>157.87732</v>
      </c>
      <c r="Y35" s="113">
        <v>76.537289999999999</v>
      </c>
      <c r="Z35" s="113">
        <v>114.95444999999999</v>
      </c>
      <c r="AA35" s="113">
        <v>12441.686609999999</v>
      </c>
      <c r="AB35" s="284">
        <v>1408.2118500000001</v>
      </c>
      <c r="AC35" s="284">
        <v>128.68188000000001</v>
      </c>
      <c r="AD35" s="284">
        <v>88.296940000000006</v>
      </c>
      <c r="AE35" s="284">
        <v>105.89149</v>
      </c>
      <c r="AF35" s="284">
        <v>479.04048</v>
      </c>
      <c r="AG35" s="284">
        <v>-7850.3513899999998</v>
      </c>
      <c r="AH35" s="284">
        <v>434.35836999999998</v>
      </c>
      <c r="AI35" s="85">
        <v>8449.8804199999977</v>
      </c>
      <c r="AJ35" s="167"/>
      <c r="AK35" s="15"/>
      <c r="AL35" s="15"/>
      <c r="AM35" s="15"/>
      <c r="AN35" s="268"/>
      <c r="AO35" s="12"/>
    </row>
    <row r="36" spans="1:42" s="310" customFormat="1" ht="12.75" customHeight="1" x14ac:dyDescent="0.2">
      <c r="A36" s="268"/>
      <c r="B36" s="12"/>
      <c r="C36" s="177"/>
      <c r="D36" s="177"/>
      <c r="E36" s="177"/>
      <c r="F36" s="177"/>
      <c r="G36" s="343"/>
      <c r="H36" s="284"/>
      <c r="I36" s="390"/>
      <c r="J36" s="15"/>
      <c r="K36" s="113"/>
      <c r="L36" s="113"/>
      <c r="M36" s="113"/>
      <c r="N36" s="113"/>
      <c r="O36" s="113"/>
      <c r="P36" s="113"/>
      <c r="Q36" s="113"/>
      <c r="R36" s="113"/>
      <c r="S36" s="113"/>
      <c r="T36" s="113"/>
      <c r="U36" s="85"/>
      <c r="V36" s="390"/>
      <c r="W36" s="15"/>
      <c r="X36" s="284"/>
      <c r="Y36" s="113"/>
      <c r="Z36" s="113"/>
      <c r="AA36" s="284"/>
      <c r="AB36" s="284"/>
      <c r="AC36" s="284"/>
      <c r="AD36" s="284"/>
      <c r="AE36" s="284"/>
      <c r="AF36" s="284"/>
      <c r="AG36" s="284"/>
      <c r="AH36" s="284"/>
      <c r="AI36" s="85"/>
      <c r="AJ36" s="167"/>
      <c r="AK36" s="15"/>
      <c r="AL36" s="15"/>
      <c r="AM36" s="15"/>
      <c r="AN36" s="268"/>
      <c r="AO36" s="12"/>
    </row>
    <row r="37" spans="1:42" x14ac:dyDescent="0.2">
      <c r="A37" s="244"/>
      <c r="C37" s="12" t="s">
        <v>65</v>
      </c>
      <c r="E37" s="177"/>
      <c r="F37" s="177"/>
      <c r="G37" s="343"/>
      <c r="H37" s="30">
        <v>24694429.373999998</v>
      </c>
      <c r="I37" s="31">
        <v>1991407.8530100002</v>
      </c>
      <c r="J37" s="33">
        <v>-332200.97429000004</v>
      </c>
      <c r="K37" s="325">
        <v>563077.92375999992</v>
      </c>
      <c r="L37" s="325">
        <v>1709727.8021600002</v>
      </c>
      <c r="M37" s="325">
        <v>1373222.0260700001</v>
      </c>
      <c r="N37" s="325">
        <v>1001956.2987799998</v>
      </c>
      <c r="O37" s="325">
        <v>4188024.3445699997</v>
      </c>
      <c r="P37" s="325">
        <v>4932372.628010001</v>
      </c>
      <c r="Q37" s="325">
        <v>4034578.5773399994</v>
      </c>
      <c r="R37" s="325">
        <v>3180587.28265</v>
      </c>
      <c r="S37" s="325">
        <v>2288213.9702000003</v>
      </c>
      <c r="T37" s="325">
        <v>7634614.1156699993</v>
      </c>
      <c r="U37" s="149">
        <v>32565581.847930003</v>
      </c>
      <c r="V37" s="390">
        <v>46826574.018409997</v>
      </c>
      <c r="W37" s="390">
        <v>4389537.5104</v>
      </c>
      <c r="X37" s="390">
        <v>2779836.8507400001</v>
      </c>
      <c r="Y37" s="390">
        <v>3429317.8402999998</v>
      </c>
      <c r="Z37" s="390">
        <v>3160961.4994200002</v>
      </c>
      <c r="AA37" s="390">
        <v>2848097.9539799998</v>
      </c>
      <c r="AB37" s="390">
        <v>3608974.0604700008</v>
      </c>
      <c r="AC37" s="390">
        <v>3735827.8779500001</v>
      </c>
      <c r="AD37" s="390">
        <v>3607624.5937799998</v>
      </c>
      <c r="AE37" s="390">
        <v>4210492.1567399995</v>
      </c>
      <c r="AF37" s="390">
        <v>5801217.0462600002</v>
      </c>
      <c r="AG37" s="390">
        <v>4205237.7721299995</v>
      </c>
      <c r="AH37" s="390">
        <v>5049448.8562400006</v>
      </c>
      <c r="AI37" s="390">
        <v>46826574.018409997</v>
      </c>
      <c r="AJ37" s="109"/>
      <c r="AK37" s="15"/>
      <c r="AL37" s="15"/>
      <c r="AM37" s="15"/>
      <c r="AN37" s="268"/>
      <c r="AP37" s="310"/>
    </row>
    <row r="38" spans="1:42" ht="12.75" customHeight="1" x14ac:dyDescent="0.2">
      <c r="A38" s="244"/>
      <c r="E38" s="177" t="s">
        <v>66</v>
      </c>
      <c r="F38" s="177"/>
      <c r="G38" s="343"/>
      <c r="H38" s="284">
        <v>8352402.909</v>
      </c>
      <c r="I38" s="390">
        <v>78054.261659999989</v>
      </c>
      <c r="J38" s="15">
        <v>392.34933000000001</v>
      </c>
      <c r="K38" s="113">
        <v>1985.5041799999999</v>
      </c>
      <c r="L38" s="113">
        <v>483523.78136999998</v>
      </c>
      <c r="M38" s="113">
        <v>732721.62242999999</v>
      </c>
      <c r="N38" s="113">
        <v>156914.30515999999</v>
      </c>
      <c r="O38" s="113">
        <v>1116954.7629800001</v>
      </c>
      <c r="P38" s="113">
        <v>2683153.8275700002</v>
      </c>
      <c r="Q38" s="113">
        <v>2254546.5369899999</v>
      </c>
      <c r="R38" s="113">
        <v>213222.35999</v>
      </c>
      <c r="S38" s="113">
        <v>37993.469700000001</v>
      </c>
      <c r="T38" s="113">
        <v>3259798.0531500001</v>
      </c>
      <c r="U38" s="85">
        <v>11019260.83451</v>
      </c>
      <c r="V38" s="390">
        <v>15524758.652489999</v>
      </c>
      <c r="W38" s="15">
        <v>645432.03515999997</v>
      </c>
      <c r="X38" s="284">
        <v>1336460.6933599999</v>
      </c>
      <c r="Y38" s="113">
        <v>1217578.0185699998</v>
      </c>
      <c r="Z38" s="113">
        <v>1144692.0212100002</v>
      </c>
      <c r="AA38" s="113">
        <v>1239157.7511500001</v>
      </c>
      <c r="AB38" s="284">
        <v>1311143.52498</v>
      </c>
      <c r="AC38" s="284">
        <v>1227824.49712</v>
      </c>
      <c r="AD38" s="284">
        <v>1346975.6470000001</v>
      </c>
      <c r="AE38" s="30">
        <v>1324690.7493599998</v>
      </c>
      <c r="AF38" s="284">
        <v>1474308.4417999999</v>
      </c>
      <c r="AG38" s="30">
        <v>1403663.5605200001</v>
      </c>
      <c r="AH38" s="30">
        <v>1852831.7122599999</v>
      </c>
      <c r="AI38" s="390">
        <v>15524758.652489999</v>
      </c>
      <c r="AJ38" s="167"/>
      <c r="AK38" s="15"/>
      <c r="AL38" s="15"/>
      <c r="AM38" s="15"/>
      <c r="AN38" s="268"/>
      <c r="AP38" s="310"/>
    </row>
    <row r="39" spans="1:42" ht="12.75" customHeight="1" x14ac:dyDescent="0.2">
      <c r="A39" s="244"/>
      <c r="E39" s="177" t="s">
        <v>67</v>
      </c>
      <c r="F39" s="177"/>
      <c r="G39" s="343"/>
      <c r="H39" s="284">
        <v>3229.71</v>
      </c>
      <c r="I39" s="390">
        <v>425.25809999999996</v>
      </c>
      <c r="J39" s="15">
        <v>224.7467</v>
      </c>
      <c r="K39" s="113">
        <v>5.7259999999999998E-2</v>
      </c>
      <c r="L39" s="113">
        <v>509.38524999999998</v>
      </c>
      <c r="M39" s="113">
        <v>128.83141000000001</v>
      </c>
      <c r="N39" s="113">
        <v>367.59075999999999</v>
      </c>
      <c r="O39" s="113">
        <v>413.69871999999998</v>
      </c>
      <c r="P39" s="113">
        <v>373.85462000000001</v>
      </c>
      <c r="Q39" s="113">
        <v>361.72765999999996</v>
      </c>
      <c r="R39" s="113">
        <v>326.33090999999996</v>
      </c>
      <c r="S39" s="113">
        <v>145.69001</v>
      </c>
      <c r="T39" s="113">
        <v>218.96567999999999</v>
      </c>
      <c r="U39" s="85">
        <v>3496.13708</v>
      </c>
      <c r="V39" s="390">
        <v>4365.8577800000003</v>
      </c>
      <c r="W39" s="15">
        <v>411.44488000000001</v>
      </c>
      <c r="X39" s="284">
        <v>582.59392000000003</v>
      </c>
      <c r="Y39" s="113">
        <v>379.05412999999999</v>
      </c>
      <c r="Z39" s="113">
        <v>353.22517999999997</v>
      </c>
      <c r="AA39" s="113">
        <v>366.86054999999999</v>
      </c>
      <c r="AB39" s="284">
        <v>126.39821999999999</v>
      </c>
      <c r="AC39" s="284">
        <v>550.99706000000003</v>
      </c>
      <c r="AD39" s="284">
        <v>159.62575000000001</v>
      </c>
      <c r="AE39" s="284">
        <v>314.59178000000003</v>
      </c>
      <c r="AF39" s="284">
        <v>291.13127000000003</v>
      </c>
      <c r="AG39" s="284">
        <v>312.68134000000003</v>
      </c>
      <c r="AH39" s="284">
        <v>517.25369999999998</v>
      </c>
      <c r="AI39" s="390">
        <v>4365.8577800000003</v>
      </c>
      <c r="AJ39" s="167"/>
      <c r="AK39" s="15"/>
      <c r="AL39" s="15"/>
      <c r="AM39" s="15"/>
      <c r="AN39" s="268"/>
      <c r="AP39" s="310"/>
    </row>
    <row r="40" spans="1:42" s="310" customFormat="1" ht="12.75" customHeight="1" x14ac:dyDescent="0.2">
      <c r="A40" s="268"/>
      <c r="B40" s="12"/>
      <c r="C40" s="12"/>
      <c r="E40" s="177" t="s">
        <v>68</v>
      </c>
      <c r="F40" s="177"/>
      <c r="G40" s="343"/>
      <c r="H40" s="284">
        <v>2635704.0299999998</v>
      </c>
      <c r="I40" s="390">
        <v>59461.878259999998</v>
      </c>
      <c r="J40" s="15">
        <v>2032.2235900000001</v>
      </c>
      <c r="K40" s="113">
        <v>10311.17325</v>
      </c>
      <c r="L40" s="113">
        <v>139841.67874999999</v>
      </c>
      <c r="M40" s="113">
        <v>10883.90263</v>
      </c>
      <c r="N40" s="113">
        <v>60400.805850000004</v>
      </c>
      <c r="O40" s="113">
        <v>504205.09276999999</v>
      </c>
      <c r="P40" s="113">
        <v>463717.46691000002</v>
      </c>
      <c r="Q40" s="113">
        <v>605844.88520000002</v>
      </c>
      <c r="R40" s="113">
        <v>515556.80114999996</v>
      </c>
      <c r="S40" s="113">
        <v>606533.75141999999</v>
      </c>
      <c r="T40" s="113">
        <v>463555.64588999999</v>
      </c>
      <c r="U40" s="85">
        <v>3442345.3056699997</v>
      </c>
      <c r="V40" s="390">
        <v>4574469.0212900005</v>
      </c>
      <c r="W40" s="15">
        <v>344650.07581999997</v>
      </c>
      <c r="X40" s="284">
        <v>311227.37400000001</v>
      </c>
      <c r="Y40" s="113">
        <v>395585.26152</v>
      </c>
      <c r="Z40" s="113">
        <v>328235.43017000001</v>
      </c>
      <c r="AA40" s="113">
        <v>19738.928079999998</v>
      </c>
      <c r="AB40" s="284">
        <v>280802.25291000004</v>
      </c>
      <c r="AC40" s="284">
        <v>375497.53158999997</v>
      </c>
      <c r="AD40" s="284">
        <v>357215.24654000002</v>
      </c>
      <c r="AE40" s="284">
        <v>512121.84948999999</v>
      </c>
      <c r="AF40" s="284">
        <v>508613.17636000004</v>
      </c>
      <c r="AG40" s="284">
        <v>795155.04833999998</v>
      </c>
      <c r="AH40" s="284">
        <v>345626.84647000005</v>
      </c>
      <c r="AI40" s="390">
        <v>4574469.0212900005</v>
      </c>
      <c r="AJ40" s="167"/>
      <c r="AK40" s="15"/>
      <c r="AL40" s="15"/>
      <c r="AM40" s="15"/>
      <c r="AN40" s="268"/>
      <c r="AO40" s="12"/>
    </row>
    <row r="41" spans="1:42" ht="12.75" customHeight="1" x14ac:dyDescent="0.2">
      <c r="A41" s="244"/>
      <c r="E41" s="177" t="s">
        <v>69</v>
      </c>
      <c r="F41" s="177"/>
      <c r="G41" s="343"/>
      <c r="H41" s="284">
        <v>5924483.3820000002</v>
      </c>
      <c r="I41" s="390">
        <v>452189.48809</v>
      </c>
      <c r="J41" s="15">
        <v>22998.270989999997</v>
      </c>
      <c r="K41" s="113">
        <v>530527.09701999999</v>
      </c>
      <c r="L41" s="113">
        <v>507927.39297000004</v>
      </c>
      <c r="M41" s="113">
        <v>299222.33916999999</v>
      </c>
      <c r="N41" s="113">
        <v>329870.84451999998</v>
      </c>
      <c r="O41" s="113">
        <v>742830.71201999998</v>
      </c>
      <c r="P41" s="113">
        <v>1143657.39182</v>
      </c>
      <c r="Q41" s="113">
        <v>633891.47451999993</v>
      </c>
      <c r="R41" s="113">
        <v>861471.52591999993</v>
      </c>
      <c r="S41" s="113">
        <v>303056.96141000005</v>
      </c>
      <c r="T41" s="113">
        <v>1813839.77085</v>
      </c>
      <c r="U41" s="85">
        <v>7641483.2692999998</v>
      </c>
      <c r="V41" s="390">
        <v>8994733.5919899996</v>
      </c>
      <c r="W41" s="15">
        <v>968423.40338000003</v>
      </c>
      <c r="X41" s="284">
        <v>685639.09735000005</v>
      </c>
      <c r="Y41" s="113">
        <v>708818.19360999996</v>
      </c>
      <c r="Z41" s="113">
        <v>864562.62917999993</v>
      </c>
      <c r="AA41" s="113">
        <v>443237.86310000002</v>
      </c>
      <c r="AB41" s="284">
        <v>450069.79883999994</v>
      </c>
      <c r="AC41" s="284">
        <v>782915.50820000004</v>
      </c>
      <c r="AD41" s="284">
        <v>680063.36220000009</v>
      </c>
      <c r="AE41" s="284">
        <v>727797.45153999992</v>
      </c>
      <c r="AF41" s="284">
        <v>674911.0575</v>
      </c>
      <c r="AG41" s="284">
        <v>934114.52815000003</v>
      </c>
      <c r="AH41" s="284">
        <v>1074180.69894</v>
      </c>
      <c r="AI41" s="390">
        <v>8994733.5919899996</v>
      </c>
      <c r="AJ41" s="167"/>
      <c r="AK41" s="15"/>
      <c r="AL41" s="15"/>
      <c r="AM41" s="15"/>
      <c r="AN41" s="268"/>
      <c r="AP41" s="310"/>
    </row>
    <row r="42" spans="1:42" ht="12.75" customHeight="1" x14ac:dyDescent="0.2">
      <c r="A42" s="244"/>
      <c r="E42" s="752" t="s">
        <v>70</v>
      </c>
      <c r="F42" s="752"/>
      <c r="G42" s="753"/>
      <c r="H42" s="284">
        <v>5779527.5779999997</v>
      </c>
      <c r="I42" s="390">
        <v>813649.3255700001</v>
      </c>
      <c r="J42" s="15">
        <v>4202.4741599999998</v>
      </c>
      <c r="K42" s="113">
        <v>2015.8130000000001</v>
      </c>
      <c r="L42" s="113">
        <v>67153.999580000003</v>
      </c>
      <c r="M42" s="113">
        <v>54639.81</v>
      </c>
      <c r="N42" s="113">
        <v>70572.898140000005</v>
      </c>
      <c r="O42" s="113">
        <v>1962986.4908</v>
      </c>
      <c r="P42" s="113">
        <v>526604.11269999994</v>
      </c>
      <c r="Q42" s="113">
        <v>454369.89654000005</v>
      </c>
      <c r="R42" s="113">
        <v>1159570.1090200001</v>
      </c>
      <c r="S42" s="113">
        <v>1238210.8468800001</v>
      </c>
      <c r="T42" s="113">
        <v>1182779.39824</v>
      </c>
      <c r="U42" s="85">
        <v>7536755.1746300003</v>
      </c>
      <c r="V42" s="390">
        <v>13969781.7259</v>
      </c>
      <c r="W42" s="15">
        <v>1968021.7834000001</v>
      </c>
      <c r="X42" s="284">
        <v>341655.21857999999</v>
      </c>
      <c r="Y42" s="113">
        <v>706865.34465999994</v>
      </c>
      <c r="Z42" s="113">
        <v>630873.85900000005</v>
      </c>
      <c r="AA42" s="113">
        <v>891549.24364</v>
      </c>
      <c r="AB42" s="284">
        <v>1147553.56803</v>
      </c>
      <c r="AC42" s="284">
        <v>1075037.3341400002</v>
      </c>
      <c r="AD42" s="284">
        <v>1116545.6632999999</v>
      </c>
      <c r="AE42" s="284">
        <v>1127724.73465</v>
      </c>
      <c r="AF42" s="284">
        <v>2886153.3446399998</v>
      </c>
      <c r="AG42" s="284">
        <v>962185.49410999997</v>
      </c>
      <c r="AH42" s="284">
        <v>1115616.13775</v>
      </c>
      <c r="AI42" s="390">
        <v>13969781.7259</v>
      </c>
      <c r="AJ42" s="167"/>
      <c r="AK42" s="15"/>
      <c r="AL42" s="15"/>
      <c r="AM42" s="15"/>
      <c r="AN42" s="268"/>
      <c r="AP42" s="310"/>
    </row>
    <row r="43" spans="1:42" ht="12.75" customHeight="1" x14ac:dyDescent="0.2">
      <c r="A43" s="244"/>
      <c r="E43" s="177" t="s">
        <v>71</v>
      </c>
      <c r="F43" s="221"/>
      <c r="G43" s="343"/>
      <c r="H43" s="284">
        <v>384753.14299999998</v>
      </c>
      <c r="I43" s="390">
        <v>122052.86167</v>
      </c>
      <c r="J43" s="15">
        <v>1675.7114099999999</v>
      </c>
      <c r="K43" s="113">
        <v>1833.711</v>
      </c>
      <c r="L43" s="113">
        <v>9587.91093</v>
      </c>
      <c r="M43" s="113">
        <v>11040.439970000001</v>
      </c>
      <c r="N43" s="113">
        <v>12029.512570000001</v>
      </c>
      <c r="O43" s="113">
        <v>88439.733699999997</v>
      </c>
      <c r="P43" s="113">
        <v>54735.244939999997</v>
      </c>
      <c r="Q43" s="113">
        <v>29323.613170000001</v>
      </c>
      <c r="R43" s="113">
        <v>41079.841799999995</v>
      </c>
      <c r="S43" s="113">
        <v>34892.274109999998</v>
      </c>
      <c r="T43" s="113">
        <v>31358.25274</v>
      </c>
      <c r="U43" s="85">
        <v>438049.10801000003</v>
      </c>
      <c r="V43" s="390">
        <v>495694.30487999995</v>
      </c>
      <c r="W43" s="15">
        <v>54108.781920000001</v>
      </c>
      <c r="X43" s="284">
        <v>31660.611089999999</v>
      </c>
      <c r="Y43" s="113">
        <v>34412.940479999997</v>
      </c>
      <c r="Z43" s="113">
        <v>38793.29722</v>
      </c>
      <c r="AA43" s="113">
        <v>37301.608919999999</v>
      </c>
      <c r="AB43" s="284">
        <v>55656.1973</v>
      </c>
      <c r="AC43" s="284">
        <v>39190.156799999997</v>
      </c>
      <c r="AD43" s="284">
        <v>43690.214399999997</v>
      </c>
      <c r="AE43" s="284">
        <v>54160.801009999996</v>
      </c>
      <c r="AF43" s="284">
        <v>56834.95162</v>
      </c>
      <c r="AG43" s="284">
        <v>42652.453270000005</v>
      </c>
      <c r="AH43" s="284">
        <v>7232.2908499999994</v>
      </c>
      <c r="AI43" s="390">
        <v>495694.30487999995</v>
      </c>
      <c r="AJ43" s="167"/>
      <c r="AK43" s="15"/>
      <c r="AL43" s="15"/>
      <c r="AM43" s="15"/>
      <c r="AN43" s="268"/>
      <c r="AP43" s="310"/>
    </row>
    <row r="44" spans="1:42" ht="12.75" customHeight="1" x14ac:dyDescent="0.2">
      <c r="A44" s="244"/>
      <c r="E44" s="177" t="s">
        <v>72</v>
      </c>
      <c r="F44" s="221"/>
      <c r="G44" s="343" t="s">
        <v>73</v>
      </c>
      <c r="H44" s="284">
        <v>595613.1</v>
      </c>
      <c r="I44" s="390">
        <v>463724.63547000004</v>
      </c>
      <c r="J44" s="15">
        <v>-363726.75047000003</v>
      </c>
      <c r="K44" s="113">
        <v>16404.568050000002</v>
      </c>
      <c r="L44" s="113">
        <v>38381.618490000001</v>
      </c>
      <c r="M44" s="113">
        <v>264585.08046000003</v>
      </c>
      <c r="N44" s="113">
        <v>354138.52256000001</v>
      </c>
      <c r="O44" s="113">
        <v>-387300.35839000001</v>
      </c>
      <c r="P44" s="113">
        <v>60130.729450000006</v>
      </c>
      <c r="Q44" s="113">
        <v>56240.44326</v>
      </c>
      <c r="R44" s="113">
        <v>60721.679179999999</v>
      </c>
      <c r="S44" s="113">
        <v>67380.976670000004</v>
      </c>
      <c r="T44" s="113">
        <v>349959.86277000001</v>
      </c>
      <c r="U44" s="85">
        <v>980641.00749999995</v>
      </c>
      <c r="V44" s="390">
        <v>825672.58494999993</v>
      </c>
      <c r="W44" s="15">
        <v>64585.994009999995</v>
      </c>
      <c r="X44" s="284">
        <v>72611.262439999991</v>
      </c>
      <c r="Y44" s="113">
        <v>71939.046860000002</v>
      </c>
      <c r="Z44" s="113">
        <v>69202.47368000001</v>
      </c>
      <c r="AA44" s="113">
        <v>67757.232629999999</v>
      </c>
      <c r="AB44" s="284">
        <v>71545.808239999998</v>
      </c>
      <c r="AC44" s="284">
        <v>66182.183090000006</v>
      </c>
      <c r="AD44" s="284">
        <v>62974.834590000006</v>
      </c>
      <c r="AE44" s="284">
        <v>69292.204599999997</v>
      </c>
      <c r="AF44" s="284">
        <v>75850.491330000004</v>
      </c>
      <c r="AG44" s="284">
        <v>67154.006400000013</v>
      </c>
      <c r="AH44" s="284">
        <v>66577.047080000004</v>
      </c>
      <c r="AI44" s="390">
        <v>825672.58494999993</v>
      </c>
      <c r="AJ44" s="167"/>
      <c r="AK44" s="15"/>
      <c r="AL44" s="15"/>
      <c r="AM44" s="15"/>
      <c r="AN44" s="268"/>
      <c r="AP44" s="310"/>
    </row>
    <row r="45" spans="1:42" ht="12.75" customHeight="1" x14ac:dyDescent="0.2">
      <c r="A45" s="244"/>
      <c r="E45" s="756" t="s">
        <v>74</v>
      </c>
      <c r="F45" s="756"/>
      <c r="G45" s="343" t="s">
        <v>75</v>
      </c>
      <c r="H45" s="493">
        <v>1018715.522</v>
      </c>
      <c r="I45" s="31">
        <v>1850.14419</v>
      </c>
      <c r="J45" s="33">
        <v>0</v>
      </c>
      <c r="K45" s="325">
        <v>0</v>
      </c>
      <c r="L45" s="325">
        <v>462802.03482</v>
      </c>
      <c r="M45" s="325">
        <v>0</v>
      </c>
      <c r="N45" s="325">
        <v>17661.819219999998</v>
      </c>
      <c r="O45" s="325">
        <v>159494.21197</v>
      </c>
      <c r="P45" s="325">
        <v>0</v>
      </c>
      <c r="Q45" s="325">
        <v>0</v>
      </c>
      <c r="R45" s="325">
        <v>328638.63468000002</v>
      </c>
      <c r="S45" s="325">
        <v>0</v>
      </c>
      <c r="T45" s="325">
        <v>533104.16635000007</v>
      </c>
      <c r="U45" s="149">
        <v>1503551.0112300003</v>
      </c>
      <c r="V45" s="31">
        <v>2437098.2791300002</v>
      </c>
      <c r="W45" s="15">
        <v>343903.99182999996</v>
      </c>
      <c r="X45" s="30">
        <v>0</v>
      </c>
      <c r="Y45" s="325">
        <v>293739.98047000001</v>
      </c>
      <c r="Z45" s="325">
        <v>84248.563779999997</v>
      </c>
      <c r="AA45" s="113">
        <v>148988.46591</v>
      </c>
      <c r="AB45" s="30">
        <v>292076.51195000001</v>
      </c>
      <c r="AC45" s="30">
        <v>168629.66994999998</v>
      </c>
      <c r="AD45" s="30">
        <v>0</v>
      </c>
      <c r="AE45" s="284">
        <v>394389.77431000001</v>
      </c>
      <c r="AF45" s="30">
        <v>124254.45173999999</v>
      </c>
      <c r="AG45" s="284">
        <v>0</v>
      </c>
      <c r="AH45" s="284">
        <v>586866.86919000011</v>
      </c>
      <c r="AI45" s="390">
        <v>2437098.2791300002</v>
      </c>
      <c r="AJ45" s="167"/>
      <c r="AK45" s="15"/>
      <c r="AL45" s="15"/>
      <c r="AM45" s="15"/>
      <c r="AN45" s="268"/>
      <c r="AP45" s="310"/>
    </row>
    <row r="46" spans="1:42" ht="12.75" customHeight="1" x14ac:dyDescent="0.2">
      <c r="A46" s="244"/>
      <c r="C46" s="12" t="s">
        <v>76</v>
      </c>
      <c r="F46" s="221"/>
      <c r="G46" s="343"/>
      <c r="H46" s="284">
        <v>3251533.0559999999</v>
      </c>
      <c r="I46" s="390">
        <v>822372.64898000006</v>
      </c>
      <c r="J46" s="15">
        <v>5065.5160199999991</v>
      </c>
      <c r="K46" s="113">
        <v>9728.25641</v>
      </c>
      <c r="L46" s="113">
        <v>414007.68244999996</v>
      </c>
      <c r="M46" s="113">
        <v>166.27601000000001</v>
      </c>
      <c r="N46" s="113">
        <v>1550.9545500000002</v>
      </c>
      <c r="O46" s="113">
        <v>895232.56822000002</v>
      </c>
      <c r="P46" s="113">
        <v>6643.6721600000001</v>
      </c>
      <c r="Q46" s="113">
        <v>-256.33217000000002</v>
      </c>
      <c r="R46" s="113">
        <v>1173280.79853</v>
      </c>
      <c r="S46" s="113">
        <v>28503.800850000003</v>
      </c>
      <c r="T46" s="113">
        <v>29273.29538</v>
      </c>
      <c r="U46" s="85">
        <v>3385569.1373900007</v>
      </c>
      <c r="V46" s="390">
        <v>4124241.25648</v>
      </c>
      <c r="W46" s="15">
        <v>1001040.9323300001</v>
      </c>
      <c r="X46" s="284">
        <v>477.95976999999999</v>
      </c>
      <c r="Y46" s="113">
        <v>157.18648000000002</v>
      </c>
      <c r="Z46" s="113">
        <v>1056079.91775</v>
      </c>
      <c r="AA46" s="113">
        <v>19829.603059999998</v>
      </c>
      <c r="AB46" s="284">
        <v>1730.0260600000001</v>
      </c>
      <c r="AC46" s="284">
        <v>1162707.3327800001</v>
      </c>
      <c r="AD46" s="284">
        <v>230.40851999999998</v>
      </c>
      <c r="AE46" s="30">
        <v>1103.14797</v>
      </c>
      <c r="AF46" s="284">
        <v>877230.24240999995</v>
      </c>
      <c r="AG46" s="30">
        <v>3035.86555</v>
      </c>
      <c r="AH46" s="30">
        <v>618.63380000000006</v>
      </c>
      <c r="AI46" s="390">
        <v>4124241.25648</v>
      </c>
      <c r="AJ46" s="167"/>
      <c r="AK46" s="15"/>
      <c r="AL46" s="15"/>
      <c r="AM46" s="15"/>
      <c r="AN46" s="268"/>
      <c r="AP46" s="310"/>
    </row>
    <row r="47" spans="1:42" ht="12.75" customHeight="1" x14ac:dyDescent="0.2">
      <c r="A47" s="244"/>
      <c r="C47" s="12" t="s">
        <v>77</v>
      </c>
      <c r="F47" s="221"/>
      <c r="G47" s="343"/>
      <c r="H47" s="284">
        <v>1951789.5660000001</v>
      </c>
      <c r="I47" s="390">
        <v>185135.75828000001</v>
      </c>
      <c r="J47" s="15">
        <v>113348.94443999999</v>
      </c>
      <c r="K47" s="113">
        <v>109092.40106</v>
      </c>
      <c r="L47" s="113">
        <v>124980.42164</v>
      </c>
      <c r="M47" s="113">
        <v>134741.58343999999</v>
      </c>
      <c r="N47" s="113">
        <v>156124.90093</v>
      </c>
      <c r="O47" s="113">
        <v>188449.44688999999</v>
      </c>
      <c r="P47" s="113">
        <v>217916.20838999999</v>
      </c>
      <c r="Q47" s="113">
        <v>210652.12862</v>
      </c>
      <c r="R47" s="113">
        <v>234443.85879</v>
      </c>
      <c r="S47" s="113">
        <v>188847.60461000001</v>
      </c>
      <c r="T47" s="113">
        <v>182443.67478999999</v>
      </c>
      <c r="U47" s="85">
        <v>2046176.93188</v>
      </c>
      <c r="V47" s="390">
        <v>2446183.8920800001</v>
      </c>
      <c r="W47" s="15">
        <v>266056.59428000002</v>
      </c>
      <c r="X47" s="284">
        <v>219161.63021</v>
      </c>
      <c r="Y47" s="113">
        <v>208877.07261</v>
      </c>
      <c r="Z47" s="113">
        <v>168243.80935</v>
      </c>
      <c r="AA47" s="113">
        <v>186100.34221</v>
      </c>
      <c r="AB47" s="284">
        <v>216506.90796000001</v>
      </c>
      <c r="AC47" s="284">
        <v>188563.25603999998</v>
      </c>
      <c r="AD47" s="284">
        <v>217177.56147999997</v>
      </c>
      <c r="AE47" s="284">
        <v>234267.22955000002</v>
      </c>
      <c r="AF47" s="284">
        <v>221762.50435</v>
      </c>
      <c r="AG47" s="284">
        <v>157888.63480999999</v>
      </c>
      <c r="AH47" s="284">
        <v>161578.34922999999</v>
      </c>
      <c r="AI47" s="390">
        <v>2446183.8920800001</v>
      </c>
      <c r="AJ47" s="167"/>
      <c r="AK47" s="15"/>
      <c r="AL47" s="15"/>
      <c r="AM47" s="15"/>
      <c r="AN47" s="268"/>
      <c r="AP47" s="310"/>
    </row>
    <row r="48" spans="1:42" ht="12.75" customHeight="1" x14ac:dyDescent="0.2">
      <c r="A48" s="244"/>
      <c r="C48" s="12" t="s">
        <v>78</v>
      </c>
      <c r="F48" s="221"/>
      <c r="G48" s="343"/>
      <c r="H48" s="284">
        <v>75235523.797999993</v>
      </c>
      <c r="I48" s="390">
        <v>5701916.3850499997</v>
      </c>
      <c r="J48" s="15">
        <v>3646380.0375699997</v>
      </c>
      <c r="K48" s="113">
        <v>1833329.8482299997</v>
      </c>
      <c r="L48" s="113">
        <v>4773113.7970500002</v>
      </c>
      <c r="M48" s="113">
        <v>6807650.8402999993</v>
      </c>
      <c r="N48" s="113">
        <v>9500649.9982699994</v>
      </c>
      <c r="O48" s="113">
        <v>9339581.0962899979</v>
      </c>
      <c r="P48" s="113">
        <v>6652096.6077399999</v>
      </c>
      <c r="Q48" s="113">
        <v>6796289.2272900008</v>
      </c>
      <c r="R48" s="113">
        <v>7428417.7116099996</v>
      </c>
      <c r="S48" s="113">
        <v>6735731.3626699997</v>
      </c>
      <c r="T48" s="113">
        <v>5963353.7422000002</v>
      </c>
      <c r="U48" s="85">
        <v>75178510.654269993</v>
      </c>
      <c r="V48" s="390">
        <v>80175160.064259991</v>
      </c>
      <c r="W48" s="15">
        <v>6640862.1658100002</v>
      </c>
      <c r="X48" s="284">
        <v>6614292.1899699997</v>
      </c>
      <c r="Y48" s="113">
        <v>6106205.0218799999</v>
      </c>
      <c r="Z48" s="113">
        <v>6269229.05198</v>
      </c>
      <c r="AA48" s="284">
        <v>6035766.9902100004</v>
      </c>
      <c r="AB48" s="284">
        <v>6857348.6157200001</v>
      </c>
      <c r="AC48" s="284">
        <v>6976445.9132900005</v>
      </c>
      <c r="AD48" s="284">
        <v>7311236.0746500008</v>
      </c>
      <c r="AE48" s="284">
        <v>6210686.7699200008</v>
      </c>
      <c r="AF48" s="284">
        <v>6678475.5081499992</v>
      </c>
      <c r="AG48" s="284">
        <v>7103085.8110100003</v>
      </c>
      <c r="AH48" s="284">
        <v>7371525.9516699994</v>
      </c>
      <c r="AI48" s="390">
        <v>80175160.064259991</v>
      </c>
      <c r="AJ48" s="167"/>
      <c r="AK48" s="15"/>
      <c r="AL48" s="15"/>
      <c r="AM48" s="15"/>
      <c r="AN48" s="268"/>
      <c r="AP48" s="310"/>
    </row>
    <row r="49" spans="1:42" ht="12.75" customHeight="1" x14ac:dyDescent="0.2">
      <c r="A49" s="244"/>
      <c r="E49" s="248" t="s">
        <v>79</v>
      </c>
      <c r="F49" s="221"/>
      <c r="G49" s="343"/>
      <c r="H49" s="284"/>
      <c r="I49" s="390"/>
      <c r="J49" s="15"/>
      <c r="K49" s="113"/>
      <c r="L49" s="113"/>
      <c r="M49" s="113"/>
      <c r="N49" s="113"/>
      <c r="O49" s="113"/>
      <c r="P49" s="113"/>
      <c r="Q49" s="113"/>
      <c r="R49" s="113"/>
      <c r="S49" s="113"/>
      <c r="T49" s="113"/>
      <c r="U49" s="85"/>
      <c r="V49" s="390"/>
      <c r="W49" s="15"/>
      <c r="X49" s="284"/>
      <c r="Y49" s="113"/>
      <c r="Z49" s="113"/>
      <c r="AA49" s="284"/>
      <c r="AB49" s="284"/>
      <c r="AC49" s="284"/>
      <c r="AD49" s="284"/>
      <c r="AF49" s="284"/>
      <c r="AG49" s="284"/>
      <c r="AH49" s="284"/>
      <c r="AI49" s="85"/>
      <c r="AJ49" s="167"/>
      <c r="AK49" s="15"/>
      <c r="AL49" s="15"/>
      <c r="AM49" s="15"/>
      <c r="AN49" s="268"/>
      <c r="AP49" s="310"/>
    </row>
    <row r="50" spans="1:42" s="310" customFormat="1" ht="12.75" customHeight="1" x14ac:dyDescent="0.2">
      <c r="A50" s="268"/>
      <c r="E50" s="310" t="s">
        <v>80</v>
      </c>
      <c r="F50" s="221"/>
      <c r="G50" s="343"/>
      <c r="H50" s="454">
        <v>1567104.2280000001</v>
      </c>
      <c r="I50" s="347">
        <v>121508.67478999999</v>
      </c>
      <c r="J50" s="15">
        <v>84551.576229999991</v>
      </c>
      <c r="K50" s="113">
        <v>46962.2958</v>
      </c>
      <c r="L50" s="454">
        <v>104872.55524</v>
      </c>
      <c r="M50" s="353">
        <v>151952.50563999999</v>
      </c>
      <c r="N50" s="353">
        <v>168070.07587</v>
      </c>
      <c r="O50" s="353">
        <v>189099.96143</v>
      </c>
      <c r="P50" s="353">
        <v>141508.16481000002</v>
      </c>
      <c r="Q50" s="353">
        <v>140257.82496999999</v>
      </c>
      <c r="R50" s="353">
        <v>152619.83791</v>
      </c>
      <c r="S50" s="353">
        <v>150297.44555999999</v>
      </c>
      <c r="T50" s="454">
        <v>139171.77706999998</v>
      </c>
      <c r="U50" s="196">
        <v>1590872.6953200002</v>
      </c>
      <c r="V50" s="347">
        <v>1287284.94786</v>
      </c>
      <c r="W50" s="402">
        <v>0</v>
      </c>
      <c r="X50" s="454">
        <v>0</v>
      </c>
      <c r="Y50" s="353">
        <v>3255.27936</v>
      </c>
      <c r="Z50" s="353">
        <v>15660.22831</v>
      </c>
      <c r="AA50" s="454">
        <v>65124.925879999995</v>
      </c>
      <c r="AB50" s="454">
        <v>135016.89245000001</v>
      </c>
      <c r="AC50" s="454">
        <v>283965.05514000001</v>
      </c>
      <c r="AD50" s="454">
        <v>154274.30668000001</v>
      </c>
      <c r="AE50" s="454">
        <v>152960.67767</v>
      </c>
      <c r="AF50" s="454">
        <v>147348.14661999998</v>
      </c>
      <c r="AG50" s="454">
        <v>158820.49348</v>
      </c>
      <c r="AH50" s="454">
        <v>170858.94227</v>
      </c>
      <c r="AI50" s="196">
        <v>1287284.94786</v>
      </c>
      <c r="AJ50" s="298"/>
      <c r="AK50" s="402"/>
      <c r="AL50" s="402"/>
      <c r="AM50" s="402"/>
      <c r="AN50" s="268"/>
      <c r="AO50" s="12"/>
    </row>
    <row r="51" spans="1:42" s="310" customFormat="1" ht="12.75" customHeight="1" x14ac:dyDescent="0.2">
      <c r="A51" s="268"/>
      <c r="E51" s="99" t="s">
        <v>81</v>
      </c>
      <c r="F51" s="221"/>
      <c r="G51" s="343"/>
      <c r="H51" s="454">
        <v>1328215.699</v>
      </c>
      <c r="I51" s="347">
        <v>111705.54444</v>
      </c>
      <c r="J51" s="402">
        <v>75853.334739999991</v>
      </c>
      <c r="K51" s="353">
        <v>34498.877</v>
      </c>
      <c r="L51" s="353">
        <v>81014.502160000004</v>
      </c>
      <c r="M51" s="353">
        <v>119220.27217</v>
      </c>
      <c r="N51" s="353">
        <v>137393.81875000001</v>
      </c>
      <c r="O51" s="353">
        <v>164835.85774000001</v>
      </c>
      <c r="P51" s="353">
        <v>123043.38761000001</v>
      </c>
      <c r="Q51" s="353">
        <v>117831.72095999999</v>
      </c>
      <c r="R51" s="353">
        <v>123670.26723</v>
      </c>
      <c r="S51" s="353">
        <v>125539.62738999999</v>
      </c>
      <c r="T51" s="353">
        <v>109507.69985999999</v>
      </c>
      <c r="U51" s="196">
        <v>1324114.9100500001</v>
      </c>
      <c r="V51" s="347">
        <v>1092715.37216</v>
      </c>
      <c r="W51" s="402">
        <v>0</v>
      </c>
      <c r="X51" s="454">
        <v>0</v>
      </c>
      <c r="Y51" s="26">
        <v>0</v>
      </c>
      <c r="Z51" s="26">
        <v>0</v>
      </c>
      <c r="AA51" s="454">
        <v>51884.600989999999</v>
      </c>
      <c r="AB51" s="454">
        <v>116451.20586</v>
      </c>
      <c r="AC51" s="454">
        <v>256103.40635</v>
      </c>
      <c r="AD51" s="454">
        <v>134264.75219</v>
      </c>
      <c r="AE51" s="454">
        <v>139629.97080000001</v>
      </c>
      <c r="AF51" s="454">
        <v>133684.01535999999</v>
      </c>
      <c r="AG51" s="310">
        <v>129730.63045</v>
      </c>
      <c r="AH51" s="454">
        <v>130966.79015999999</v>
      </c>
      <c r="AI51" s="196">
        <v>1092715.37216</v>
      </c>
      <c r="AJ51" s="298"/>
      <c r="AK51" s="402"/>
      <c r="AL51" s="402"/>
      <c r="AM51" s="402"/>
      <c r="AN51" s="268"/>
      <c r="AO51" s="12"/>
    </row>
    <row r="52" spans="1:42" s="310" customFormat="1" ht="12.75" customHeight="1" x14ac:dyDescent="0.2">
      <c r="A52" s="268"/>
      <c r="E52" s="99" t="s">
        <v>82</v>
      </c>
      <c r="F52" s="221"/>
      <c r="G52" s="343"/>
      <c r="H52" s="505">
        <v>238888.52900000001</v>
      </c>
      <c r="I52" s="27">
        <v>9803.1303499999995</v>
      </c>
      <c r="J52" s="27">
        <v>8698.2414900000003</v>
      </c>
      <c r="K52" s="26">
        <v>12463.418800000001</v>
      </c>
      <c r="L52" s="26">
        <v>23858.053079999998</v>
      </c>
      <c r="M52" s="26">
        <v>32732.233469999999</v>
      </c>
      <c r="N52" s="26">
        <v>30676.257120000002</v>
      </c>
      <c r="O52" s="26">
        <v>24264.10369</v>
      </c>
      <c r="P52" s="26">
        <v>18464.7772</v>
      </c>
      <c r="Q52" s="26">
        <v>22426.104010000003</v>
      </c>
      <c r="R52" s="26">
        <v>28949.570680000001</v>
      </c>
      <c r="S52" s="26">
        <v>24757.818170000002</v>
      </c>
      <c r="T52" s="26">
        <v>29664.077209999999</v>
      </c>
      <c r="U52" s="130">
        <v>266757.78527000005</v>
      </c>
      <c r="V52" s="27">
        <v>194569.57569999999</v>
      </c>
      <c r="W52" s="402">
        <v>0</v>
      </c>
      <c r="X52" s="26">
        <v>0</v>
      </c>
      <c r="Y52" s="353">
        <v>3255.27936</v>
      </c>
      <c r="Z52" s="353">
        <v>15660.22831</v>
      </c>
      <c r="AA52" s="26">
        <v>13240.32489</v>
      </c>
      <c r="AB52" s="26">
        <v>18565.686590000001</v>
      </c>
      <c r="AC52" s="26">
        <v>27861.648789999999</v>
      </c>
      <c r="AD52" s="26">
        <v>20009.554489999999</v>
      </c>
      <c r="AE52" s="26">
        <v>13330.70687</v>
      </c>
      <c r="AF52" s="26">
        <v>13664.13126</v>
      </c>
      <c r="AG52" s="310">
        <v>29089.86303</v>
      </c>
      <c r="AH52" s="26">
        <v>39892.152110000003</v>
      </c>
      <c r="AI52" s="196">
        <v>194569.57569999999</v>
      </c>
      <c r="AJ52" s="298"/>
      <c r="AK52" s="402"/>
      <c r="AL52" s="402"/>
      <c r="AM52" s="402"/>
      <c r="AN52" s="268"/>
      <c r="AO52" s="12"/>
    </row>
    <row r="53" spans="1:42" ht="12.75" customHeight="1" x14ac:dyDescent="0.2">
      <c r="A53" s="244"/>
      <c r="C53" s="756" t="s">
        <v>83</v>
      </c>
      <c r="D53" s="756"/>
      <c r="E53" s="756"/>
      <c r="F53" s="756"/>
      <c r="G53" s="757"/>
      <c r="H53" s="284"/>
      <c r="I53" s="390"/>
      <c r="J53" s="15"/>
      <c r="K53" s="113"/>
      <c r="L53" s="113"/>
      <c r="M53" s="113"/>
      <c r="N53" s="113"/>
      <c r="O53" s="113"/>
      <c r="P53" s="113"/>
      <c r="Q53" s="113"/>
      <c r="R53" s="113"/>
      <c r="S53" s="113"/>
      <c r="T53" s="113"/>
      <c r="U53" s="85"/>
      <c r="V53" s="390"/>
      <c r="W53" s="15"/>
      <c r="X53" s="284"/>
      <c r="Y53" s="113"/>
      <c r="Z53" s="113"/>
      <c r="AA53" s="284"/>
      <c r="AB53" s="284"/>
      <c r="AC53" s="284"/>
      <c r="AD53" s="284"/>
      <c r="AE53" s="284"/>
      <c r="AF53" s="284"/>
      <c r="AH53" s="284"/>
      <c r="AI53" s="85"/>
      <c r="AJ53" s="167"/>
      <c r="AK53" s="15"/>
      <c r="AL53" s="15"/>
      <c r="AM53" s="15"/>
      <c r="AN53" s="268"/>
      <c r="AP53" s="310"/>
    </row>
    <row r="54" spans="1:42" ht="12.75" customHeight="1" x14ac:dyDescent="0.2">
      <c r="A54" s="244"/>
      <c r="E54" s="177" t="s">
        <v>84</v>
      </c>
      <c r="F54" s="177"/>
      <c r="G54" s="343"/>
      <c r="H54" s="284">
        <v>134432.489</v>
      </c>
      <c r="I54" s="390">
        <v>44499.3</v>
      </c>
      <c r="J54" s="15">
        <v>7339.5190000000002</v>
      </c>
      <c r="K54" s="113">
        <v>9838.8181100000002</v>
      </c>
      <c r="L54" s="113">
        <v>2593.24125</v>
      </c>
      <c r="M54" s="113">
        <v>2419.38679</v>
      </c>
      <c r="N54" s="113">
        <v>2911.0088799999999</v>
      </c>
      <c r="O54" s="113">
        <v>2404.6863699999999</v>
      </c>
      <c r="P54" s="113">
        <v>8588.8708299999998</v>
      </c>
      <c r="Q54" s="113">
        <v>11949.722390000001</v>
      </c>
      <c r="R54" s="113">
        <v>19352.721219999999</v>
      </c>
      <c r="S54" s="113">
        <v>16909.9611</v>
      </c>
      <c r="T54" s="113">
        <v>9657.6713900000013</v>
      </c>
      <c r="U54" s="85">
        <v>138464.90732999999</v>
      </c>
      <c r="V54" s="390">
        <v>1068258.39194</v>
      </c>
      <c r="W54" s="15">
        <v>101134.07089</v>
      </c>
      <c r="X54" s="284">
        <v>88456.650020000001</v>
      </c>
      <c r="Y54" s="113">
        <v>79895.462639999998</v>
      </c>
      <c r="Z54" s="113">
        <v>89968.693189999991</v>
      </c>
      <c r="AA54" s="113">
        <v>78624.689760000008</v>
      </c>
      <c r="AB54" s="284">
        <v>97444.078309999997</v>
      </c>
      <c r="AC54" s="284">
        <v>90797.060430000012</v>
      </c>
      <c r="AD54" s="284">
        <v>87744.328480000011</v>
      </c>
      <c r="AE54" s="284">
        <v>74769.74166</v>
      </c>
      <c r="AF54" s="284">
        <v>93965.362790000014</v>
      </c>
      <c r="AG54" s="454">
        <v>104745.30426999999</v>
      </c>
      <c r="AH54" s="284">
        <v>80712.949500000002</v>
      </c>
      <c r="AI54" s="85">
        <v>1068258.39194</v>
      </c>
      <c r="AJ54" s="167"/>
      <c r="AK54" s="15"/>
      <c r="AL54" s="15"/>
      <c r="AM54" s="15"/>
      <c r="AN54" s="268"/>
      <c r="AP54" s="310"/>
    </row>
    <row r="55" spans="1:42" ht="12.75" customHeight="1" x14ac:dyDescent="0.2">
      <c r="A55" s="244"/>
      <c r="E55" s="177" t="s">
        <v>85</v>
      </c>
      <c r="F55" s="177"/>
      <c r="G55" s="343"/>
      <c r="H55" s="493">
        <v>537576.93500000006</v>
      </c>
      <c r="I55" s="31">
        <v>2102.3136199999999</v>
      </c>
      <c r="J55" s="33">
        <v>4279.8074500000002</v>
      </c>
      <c r="K55" s="325">
        <v>105062.09069</v>
      </c>
      <c r="L55" s="325">
        <v>1330.6143999999999</v>
      </c>
      <c r="M55" s="325">
        <v>1374.28125</v>
      </c>
      <c r="N55" s="325">
        <v>140826.21997999999</v>
      </c>
      <c r="O55" s="325">
        <v>1433.5246499999998</v>
      </c>
      <c r="P55" s="325">
        <v>1392.76125</v>
      </c>
      <c r="Q55" s="325">
        <v>178558.00097999998</v>
      </c>
      <c r="R55" s="325">
        <v>5178.6430599999994</v>
      </c>
      <c r="S55" s="325">
        <v>856.60511999999994</v>
      </c>
      <c r="T55" s="325">
        <v>137359.50640000001</v>
      </c>
      <c r="U55" s="149">
        <v>579754.36884999997</v>
      </c>
      <c r="V55" s="31">
        <v>317897.40741999994</v>
      </c>
      <c r="W55" s="15">
        <v>360.00211999999999</v>
      </c>
      <c r="X55" s="30">
        <v>1533.06378</v>
      </c>
      <c r="Y55" s="325">
        <v>79889.292019999993</v>
      </c>
      <c r="Z55" s="325">
        <v>6341.1352000000006</v>
      </c>
      <c r="AA55" s="325">
        <v>807.73906999999997</v>
      </c>
      <c r="AB55" s="30">
        <v>72062.041319999989</v>
      </c>
      <c r="AC55" s="30">
        <v>865.00909000000001</v>
      </c>
      <c r="AD55" s="30">
        <v>757.45093000000008</v>
      </c>
      <c r="AE55" s="30">
        <v>98378.689450000005</v>
      </c>
      <c r="AF55" s="30">
        <v>521.68747999999994</v>
      </c>
      <c r="AG55" s="26">
        <v>709.92959999999994</v>
      </c>
      <c r="AH55" s="30">
        <v>55671.367359999997</v>
      </c>
      <c r="AI55" s="85">
        <v>317897.40741999994</v>
      </c>
      <c r="AJ55" s="167"/>
      <c r="AK55" s="15"/>
      <c r="AL55" s="15"/>
      <c r="AM55" s="15"/>
      <c r="AN55" s="268"/>
      <c r="AP55" s="310"/>
    </row>
    <row r="56" spans="1:42" ht="12.75" customHeight="1" x14ac:dyDescent="0.2">
      <c r="A56" s="244"/>
      <c r="E56" s="177" t="s">
        <v>86</v>
      </c>
      <c r="F56" s="177"/>
      <c r="G56" s="343"/>
      <c r="H56" s="493">
        <v>7722882.9979999997</v>
      </c>
      <c r="I56" s="31">
        <v>663677.81744000001</v>
      </c>
      <c r="J56" s="33">
        <v>516013.16327999998</v>
      </c>
      <c r="K56" s="325">
        <v>630236.35684000002</v>
      </c>
      <c r="L56" s="325">
        <v>680668.51142</v>
      </c>
      <c r="M56" s="325">
        <v>707817.28547</v>
      </c>
      <c r="N56" s="325">
        <v>681945.63951999997</v>
      </c>
      <c r="O56" s="325">
        <v>658415.67720000003</v>
      </c>
      <c r="P56" s="325">
        <v>684664.91873999999</v>
      </c>
      <c r="Q56" s="325">
        <v>651100.69027000002</v>
      </c>
      <c r="R56" s="325">
        <v>638034.44986000005</v>
      </c>
      <c r="S56" s="325">
        <v>635521.85964000004</v>
      </c>
      <c r="T56" s="325">
        <v>591243.27278999996</v>
      </c>
      <c r="U56" s="149">
        <v>7739339.6424699994</v>
      </c>
      <c r="V56" s="31">
        <v>8290675.6081699999</v>
      </c>
      <c r="W56" s="15">
        <v>681890.39384999999</v>
      </c>
      <c r="X56" s="30">
        <v>685628.53688000003</v>
      </c>
      <c r="Y56" s="325">
        <v>732383.77339999995</v>
      </c>
      <c r="Z56" s="325">
        <v>724049.92690999992</v>
      </c>
      <c r="AA56" s="325">
        <v>739522.19195000001</v>
      </c>
      <c r="AB56" s="30">
        <v>699763.68946000002</v>
      </c>
      <c r="AC56" s="30">
        <v>683982.67203000002</v>
      </c>
      <c r="AD56" s="30">
        <v>707044.99799000006</v>
      </c>
      <c r="AE56" s="30">
        <v>678337.01846000005</v>
      </c>
      <c r="AF56" s="30">
        <v>642919.55673000007</v>
      </c>
      <c r="AG56" s="284">
        <v>671885.0808</v>
      </c>
      <c r="AH56" s="30">
        <v>643267.76971000002</v>
      </c>
      <c r="AI56" s="85">
        <v>8290675.6081699999</v>
      </c>
      <c r="AJ56" s="167"/>
      <c r="AK56" s="15"/>
      <c r="AL56" s="15"/>
      <c r="AM56" s="15"/>
      <c r="AN56" s="268"/>
      <c r="AP56" s="310"/>
    </row>
    <row r="57" spans="1:42" ht="12.75" customHeight="1" x14ac:dyDescent="0.2">
      <c r="A57" s="244"/>
      <c r="E57" s="177" t="s">
        <v>87</v>
      </c>
      <c r="F57" s="177"/>
      <c r="G57" s="390"/>
      <c r="H57" s="493">
        <v>23464.901999999998</v>
      </c>
      <c r="I57" s="31">
        <v>4415.4679400000005</v>
      </c>
      <c r="J57" s="33">
        <v>4473.4460599999993</v>
      </c>
      <c r="K57" s="325">
        <v>904.2</v>
      </c>
      <c r="L57" s="325">
        <v>1248.08</v>
      </c>
      <c r="M57" s="325">
        <v>854.00599999999997</v>
      </c>
      <c r="N57" s="325">
        <v>1321.7719999999999</v>
      </c>
      <c r="O57" s="325">
        <v>1703.4860000000001</v>
      </c>
      <c r="P57" s="325">
        <v>1840.91419</v>
      </c>
      <c r="Q57" s="325">
        <v>1314.7673500000001</v>
      </c>
      <c r="R57" s="325">
        <v>1369.5740000000001</v>
      </c>
      <c r="S57" s="325">
        <v>1593.1959999999999</v>
      </c>
      <c r="T57" s="325">
        <v>3840.32</v>
      </c>
      <c r="U57" s="149">
        <v>24879.229540000004</v>
      </c>
      <c r="V57" s="31">
        <v>33963.099889999998</v>
      </c>
      <c r="W57" s="15">
        <v>2145.8075800000001</v>
      </c>
      <c r="X57" s="30">
        <v>2248.6260000000002</v>
      </c>
      <c r="Y57" s="325">
        <v>2643.96</v>
      </c>
      <c r="Z57" s="325">
        <v>2476.768</v>
      </c>
      <c r="AA57" s="325">
        <v>3064.7824999999998</v>
      </c>
      <c r="AB57" s="30">
        <v>3354.4690499999997</v>
      </c>
      <c r="AC57" s="30">
        <v>5239.2961699999996</v>
      </c>
      <c r="AD57" s="30">
        <v>2175.9119900000001</v>
      </c>
      <c r="AE57" s="30">
        <v>2199.1088</v>
      </c>
      <c r="AF57" s="30">
        <v>2080.7399999999998</v>
      </c>
      <c r="AG57" s="284">
        <v>2600.232</v>
      </c>
      <c r="AH57" s="30">
        <v>3733.3977999999997</v>
      </c>
      <c r="AI57" s="85">
        <v>33963.099889999998</v>
      </c>
      <c r="AJ57" s="167"/>
      <c r="AK57" s="15"/>
      <c r="AL57" s="15"/>
      <c r="AM57" s="15"/>
      <c r="AN57" s="268"/>
      <c r="AP57" s="310"/>
    </row>
    <row r="58" spans="1:42" ht="12.75" customHeight="1" x14ac:dyDescent="0.2">
      <c r="A58" s="244"/>
      <c r="E58" s="752" t="s">
        <v>88</v>
      </c>
      <c r="F58" s="752"/>
      <c r="G58" s="390"/>
      <c r="H58" s="493">
        <v>1369613.96</v>
      </c>
      <c r="I58" s="31">
        <v>102172.43</v>
      </c>
      <c r="J58" s="33">
        <v>25403.27</v>
      </c>
      <c r="K58" s="325">
        <v>44642.238840000005</v>
      </c>
      <c r="L58" s="325">
        <v>110784.27191</v>
      </c>
      <c r="M58" s="325">
        <v>67305.844060000003</v>
      </c>
      <c r="N58" s="325">
        <v>89155.548139999999</v>
      </c>
      <c r="O58" s="325">
        <v>218224.64413</v>
      </c>
      <c r="P58" s="325">
        <v>120660.51315</v>
      </c>
      <c r="Q58" s="325">
        <v>121271.72165000001</v>
      </c>
      <c r="R58" s="325">
        <v>254939.55093999999</v>
      </c>
      <c r="S58" s="325">
        <v>104746.33540000001</v>
      </c>
      <c r="T58" s="325">
        <v>209952.77987</v>
      </c>
      <c r="U58" s="149">
        <v>1469259.1480899998</v>
      </c>
      <c r="V58" s="31">
        <v>1327417.47749</v>
      </c>
      <c r="W58" s="15">
        <v>131657.41737000001</v>
      </c>
      <c r="X58" s="30">
        <v>62472.618340000001</v>
      </c>
      <c r="Y58" s="325">
        <v>71468.911699999997</v>
      </c>
      <c r="Z58" s="325">
        <v>196098.67846</v>
      </c>
      <c r="AA58" s="325">
        <v>87745.890510000012</v>
      </c>
      <c r="AB58" s="30">
        <v>73739.958259999999</v>
      </c>
      <c r="AC58" s="30">
        <v>204085.63427000001</v>
      </c>
      <c r="AD58" s="30">
        <v>71881.057889999996</v>
      </c>
      <c r="AE58" s="30">
        <v>79448.182889999996</v>
      </c>
      <c r="AF58" s="30">
        <v>158615.99619000001</v>
      </c>
      <c r="AG58" s="30">
        <v>63012.178039999999</v>
      </c>
      <c r="AH58" s="30">
        <v>127190.95357</v>
      </c>
      <c r="AI58" s="85">
        <v>1327417.47749</v>
      </c>
      <c r="AJ58" s="167"/>
      <c r="AK58" s="15"/>
      <c r="AL58" s="15"/>
      <c r="AM58" s="15"/>
      <c r="AN58" s="268"/>
      <c r="AP58" s="310"/>
    </row>
    <row r="59" spans="1:42" ht="12.75" customHeight="1" x14ac:dyDescent="0.2">
      <c r="A59" s="244"/>
      <c r="E59" s="177" t="s">
        <v>89</v>
      </c>
      <c r="G59" s="390"/>
      <c r="H59" s="493">
        <v>516131.848</v>
      </c>
      <c r="I59" s="31">
        <v>62375.55186</v>
      </c>
      <c r="J59" s="33">
        <v>22795.161649999998</v>
      </c>
      <c r="K59" s="325">
        <v>25146.591039999999</v>
      </c>
      <c r="L59" s="325">
        <v>41291.678500000002</v>
      </c>
      <c r="M59" s="325">
        <v>33732.366000000002</v>
      </c>
      <c r="N59" s="325">
        <v>32719.31825</v>
      </c>
      <c r="O59" s="325">
        <v>96670.641250000001</v>
      </c>
      <c r="P59" s="325">
        <v>39371.064850000002</v>
      </c>
      <c r="Q59" s="325">
        <v>43156.036039999999</v>
      </c>
      <c r="R59" s="325">
        <v>87442.435980000009</v>
      </c>
      <c r="S59" s="325">
        <v>40405.282279999999</v>
      </c>
      <c r="T59" s="325">
        <v>76417.987569999998</v>
      </c>
      <c r="U59" s="149">
        <v>601524.11527000007</v>
      </c>
      <c r="V59" s="31">
        <v>708018.0634300001</v>
      </c>
      <c r="W59" s="15">
        <v>73869.339959999998</v>
      </c>
      <c r="X59" s="30">
        <v>42382.25965</v>
      </c>
      <c r="Y59" s="325">
        <v>40728.512750000002</v>
      </c>
      <c r="Z59" s="325">
        <v>107950.1213</v>
      </c>
      <c r="AA59" s="325">
        <v>45735.520219999999</v>
      </c>
      <c r="AB59" s="30">
        <v>45085.570959999997</v>
      </c>
      <c r="AC59" s="30">
        <v>98938.232530000008</v>
      </c>
      <c r="AD59" s="30">
        <v>38617.041709999998</v>
      </c>
      <c r="AE59" s="30">
        <v>43862.242450000005</v>
      </c>
      <c r="AF59" s="30">
        <v>83415.301040000006</v>
      </c>
      <c r="AG59" s="30">
        <v>34783.105149999996</v>
      </c>
      <c r="AH59" s="30">
        <v>52650.815710000003</v>
      </c>
      <c r="AI59" s="85">
        <v>708018.0634300001</v>
      </c>
      <c r="AJ59" s="167"/>
      <c r="AK59" s="15"/>
      <c r="AL59" s="15"/>
      <c r="AM59" s="15"/>
      <c r="AN59" s="268"/>
      <c r="AP59" s="310"/>
    </row>
    <row r="60" spans="1:42" ht="12.75" customHeight="1" x14ac:dyDescent="0.2">
      <c r="A60" s="244"/>
      <c r="E60" s="177" t="s">
        <v>90</v>
      </c>
      <c r="F60" s="177"/>
      <c r="G60" s="390"/>
      <c r="H60" s="493">
        <v>2871.8389999999999</v>
      </c>
      <c r="I60" s="31">
        <v>0</v>
      </c>
      <c r="J60" s="33">
        <v>0</v>
      </c>
      <c r="K60" s="325">
        <v>0</v>
      </c>
      <c r="L60" s="325">
        <v>0</v>
      </c>
      <c r="M60" s="325">
        <v>2670.9127999999996</v>
      </c>
      <c r="N60" s="325">
        <v>0</v>
      </c>
      <c r="O60" s="325">
        <v>0</v>
      </c>
      <c r="P60" s="325">
        <v>0</v>
      </c>
      <c r="Q60" s="325">
        <v>0</v>
      </c>
      <c r="R60" s="325">
        <v>0</v>
      </c>
      <c r="S60" s="325">
        <v>0</v>
      </c>
      <c r="T60" s="325">
        <v>0</v>
      </c>
      <c r="U60" s="149">
        <v>2670.9127999999996</v>
      </c>
      <c r="V60" s="31">
        <v>3093.03305</v>
      </c>
      <c r="W60" s="15">
        <v>0</v>
      </c>
      <c r="X60" s="30">
        <v>3093.03305</v>
      </c>
      <c r="Y60" s="325">
        <v>0</v>
      </c>
      <c r="Z60" s="325">
        <v>0</v>
      </c>
      <c r="AA60" s="325">
        <v>0</v>
      </c>
      <c r="AB60" s="30">
        <v>0</v>
      </c>
      <c r="AC60" s="30">
        <v>0</v>
      </c>
      <c r="AD60" s="30">
        <v>0</v>
      </c>
      <c r="AE60" s="30">
        <v>0</v>
      </c>
      <c r="AF60" s="30">
        <v>0</v>
      </c>
      <c r="AG60" s="30">
        <v>0</v>
      </c>
      <c r="AH60" s="30">
        <v>0</v>
      </c>
      <c r="AI60" s="85">
        <v>3093.03305</v>
      </c>
      <c r="AJ60" s="167"/>
      <c r="AK60" s="15"/>
      <c r="AL60" s="15"/>
      <c r="AM60" s="15"/>
      <c r="AN60" s="268"/>
      <c r="AP60" s="310"/>
    </row>
    <row r="61" spans="1:42" ht="12.75" customHeight="1" x14ac:dyDescent="0.2">
      <c r="A61" s="244"/>
      <c r="E61" s="177" t="s">
        <v>91</v>
      </c>
      <c r="F61" s="177"/>
      <c r="G61" s="390"/>
      <c r="H61" s="493">
        <v>630035.14</v>
      </c>
      <c r="I61" s="31">
        <v>0</v>
      </c>
      <c r="J61" s="33">
        <v>0</v>
      </c>
      <c r="K61" s="325">
        <v>0</v>
      </c>
      <c r="L61" s="325">
        <v>0</v>
      </c>
      <c r="M61" s="325">
        <v>0</v>
      </c>
      <c r="N61" s="325">
        <v>0</v>
      </c>
      <c r="O61" s="325">
        <v>538036.03075000003</v>
      </c>
      <c r="P61" s="325">
        <v>44247.598060000004</v>
      </c>
      <c r="Q61" s="325">
        <v>43751.511460000002</v>
      </c>
      <c r="R61" s="325">
        <v>8230.962379999999</v>
      </c>
      <c r="S61" s="325">
        <v>592.07505000000003</v>
      </c>
      <c r="T61" s="325">
        <v>15515.59324</v>
      </c>
      <c r="U61" s="149">
        <v>650373.77093999996</v>
      </c>
      <c r="V61" s="31">
        <v>0</v>
      </c>
      <c r="W61" s="15">
        <v>0</v>
      </c>
      <c r="X61" s="30">
        <v>0</v>
      </c>
      <c r="Y61" s="325">
        <v>0</v>
      </c>
      <c r="Z61" s="325">
        <v>0</v>
      </c>
      <c r="AA61" s="325">
        <v>0</v>
      </c>
      <c r="AB61" s="30">
        <v>0</v>
      </c>
      <c r="AC61" s="30">
        <v>0</v>
      </c>
      <c r="AD61" s="30">
        <v>0</v>
      </c>
      <c r="AE61" s="30">
        <v>0</v>
      </c>
      <c r="AF61" s="30">
        <v>0</v>
      </c>
      <c r="AG61" s="30">
        <v>0</v>
      </c>
      <c r="AH61" s="30">
        <v>0</v>
      </c>
      <c r="AI61" s="85">
        <v>0</v>
      </c>
      <c r="AJ61" s="167"/>
      <c r="AK61" s="15"/>
      <c r="AL61" s="15"/>
      <c r="AM61" s="15"/>
      <c r="AN61" s="268"/>
      <c r="AP61" s="310"/>
    </row>
    <row r="62" spans="1:42" ht="12.75" customHeight="1" x14ac:dyDescent="0.2">
      <c r="A62" s="244"/>
      <c r="C62" s="12" t="s">
        <v>47</v>
      </c>
      <c r="E62" s="177"/>
      <c r="F62" s="177"/>
      <c r="G62" s="390"/>
      <c r="H62" s="284"/>
      <c r="I62" s="390"/>
      <c r="J62" s="15"/>
      <c r="K62" s="113"/>
      <c r="L62" s="113"/>
      <c r="M62" s="113"/>
      <c r="N62" s="325"/>
      <c r="O62" s="113"/>
      <c r="P62" s="113"/>
      <c r="Q62" s="113"/>
      <c r="R62" s="113"/>
      <c r="S62" s="113"/>
      <c r="T62" s="113"/>
      <c r="U62" s="85"/>
      <c r="V62" s="390"/>
      <c r="W62" s="15"/>
      <c r="X62" s="284"/>
      <c r="Y62" s="113"/>
      <c r="Z62" s="113"/>
      <c r="AA62" s="113"/>
      <c r="AB62" s="284"/>
      <c r="AC62" s="284"/>
      <c r="AD62" s="284"/>
      <c r="AE62" s="284"/>
      <c r="AF62" s="284"/>
      <c r="AG62" s="284"/>
      <c r="AH62" s="284"/>
      <c r="AI62" s="85"/>
      <c r="AJ62" s="167"/>
      <c r="AK62" s="15"/>
      <c r="AL62" s="15"/>
      <c r="AM62" s="15"/>
      <c r="AN62" s="268"/>
      <c r="AP62" s="310"/>
    </row>
    <row r="63" spans="1:42" ht="12.75" customHeight="1" x14ac:dyDescent="0.2">
      <c r="A63" s="244"/>
      <c r="E63" s="177" t="s">
        <v>92</v>
      </c>
      <c r="F63" s="177"/>
      <c r="G63" s="390"/>
      <c r="H63" s="284">
        <v>261467.68799999999</v>
      </c>
      <c r="I63" s="390">
        <v>0</v>
      </c>
      <c r="J63" s="15">
        <v>1568.3789400000001</v>
      </c>
      <c r="K63" s="113">
        <v>7.3316499999999998</v>
      </c>
      <c r="L63" s="113">
        <v>312.12212</v>
      </c>
      <c r="M63" s="113">
        <v>0</v>
      </c>
      <c r="N63" s="113">
        <v>64352.879580000001</v>
      </c>
      <c r="O63" s="113">
        <v>2633.4266499999999</v>
      </c>
      <c r="P63" s="113">
        <v>174529.88186000002</v>
      </c>
      <c r="Q63" s="113">
        <v>0</v>
      </c>
      <c r="R63" s="113">
        <v>1191.9651399999998</v>
      </c>
      <c r="S63" s="113">
        <v>374.73829000000001</v>
      </c>
      <c r="T63" s="113">
        <v>866.32587999999998</v>
      </c>
      <c r="U63" s="85">
        <v>245837.05010999998</v>
      </c>
      <c r="V63" s="390">
        <v>192088.16909000001</v>
      </c>
      <c r="W63" s="15">
        <v>231.84679</v>
      </c>
      <c r="X63" s="284">
        <v>8.09497</v>
      </c>
      <c r="Y63" s="113">
        <v>182.41560999999999</v>
      </c>
      <c r="Z63" s="113">
        <v>1797.7035900000001</v>
      </c>
      <c r="AA63" s="113">
        <v>11694.991039999999</v>
      </c>
      <c r="AB63" s="284">
        <v>14101.45175</v>
      </c>
      <c r="AC63" s="284">
        <v>11288.860470000001</v>
      </c>
      <c r="AD63" s="284">
        <v>151742.61343</v>
      </c>
      <c r="AE63" s="284">
        <v>0</v>
      </c>
      <c r="AF63" s="284">
        <v>165.79091</v>
      </c>
      <c r="AG63" s="284">
        <v>256.55032999999997</v>
      </c>
      <c r="AH63" s="284">
        <v>617.85019999999997</v>
      </c>
      <c r="AI63" s="85">
        <v>192088.16909000001</v>
      </c>
      <c r="AJ63" s="167"/>
      <c r="AK63" s="15"/>
      <c r="AL63" s="15"/>
      <c r="AM63" s="15"/>
      <c r="AN63" s="268"/>
      <c r="AP63" s="310"/>
    </row>
    <row r="64" spans="1:42" s="310" customFormat="1" ht="12.75" customHeight="1" x14ac:dyDescent="0.2">
      <c r="A64" s="181"/>
      <c r="B64" s="451" t="s">
        <v>93</v>
      </c>
      <c r="C64" s="413"/>
      <c r="E64" s="445"/>
      <c r="F64" s="445"/>
      <c r="G64" s="343"/>
      <c r="H64" s="13">
        <v>45613300.660999998</v>
      </c>
      <c r="I64" s="13">
        <v>1871615.1225500002</v>
      </c>
      <c r="J64" s="22">
        <v>2320662.0403300002</v>
      </c>
      <c r="K64" s="186">
        <v>2271074.6917500002</v>
      </c>
      <c r="L64" s="186">
        <v>4144629.2502699997</v>
      </c>
      <c r="M64" s="186">
        <v>3545310.6683600005</v>
      </c>
      <c r="N64" s="186">
        <v>4679104.9118300006</v>
      </c>
      <c r="O64" s="186">
        <v>3673055.920810001</v>
      </c>
      <c r="P64" s="186">
        <v>4599758.3712600004</v>
      </c>
      <c r="Q64" s="186">
        <v>4782525.9269900005</v>
      </c>
      <c r="R64" s="186">
        <v>4025182.71954</v>
      </c>
      <c r="S64" s="186">
        <v>4403835.4299899992</v>
      </c>
      <c r="T64" s="186">
        <v>7370483.4545000009</v>
      </c>
      <c r="U64" s="24">
        <v>47687238.508179992</v>
      </c>
      <c r="V64" s="396">
        <v>56322406.194339991</v>
      </c>
      <c r="W64" s="20">
        <v>2063346.1049899999</v>
      </c>
      <c r="X64" s="95">
        <v>4181882.5542000001</v>
      </c>
      <c r="Y64" s="95">
        <v>4104791.2754799998</v>
      </c>
      <c r="Z64" s="186">
        <v>5008013.8788299998</v>
      </c>
      <c r="AA64" s="21">
        <v>4782367.3543799995</v>
      </c>
      <c r="AB64" s="21">
        <v>5307081.4732500007</v>
      </c>
      <c r="AC64" s="21">
        <v>5700347.0049300008</v>
      </c>
      <c r="AD64" s="21">
        <v>4892079.6717900001</v>
      </c>
      <c r="AE64" s="21">
        <v>4865055.8616399998</v>
      </c>
      <c r="AF64" s="21">
        <v>4157283.5933300001</v>
      </c>
      <c r="AG64" s="21">
        <v>4904349.0384299997</v>
      </c>
      <c r="AH64" s="21">
        <v>6355808.3830899997</v>
      </c>
      <c r="AI64" s="24">
        <v>56322406.194339991</v>
      </c>
      <c r="AJ64" s="124"/>
      <c r="AK64" s="22"/>
      <c r="AL64" s="22"/>
      <c r="AM64" s="22"/>
      <c r="AN64" s="268"/>
      <c r="AO64" s="12"/>
    </row>
    <row r="65" spans="1:42" s="310" customFormat="1" ht="12.75" customHeight="1" x14ac:dyDescent="0.2">
      <c r="A65" s="181"/>
      <c r="B65" s="451"/>
      <c r="C65" s="12" t="s">
        <v>94</v>
      </c>
      <c r="E65" s="445"/>
      <c r="F65" s="445"/>
      <c r="G65" s="343"/>
      <c r="H65" s="284"/>
      <c r="I65" s="390"/>
      <c r="J65" s="15"/>
      <c r="K65" s="113"/>
      <c r="L65" s="113"/>
      <c r="M65" s="113"/>
      <c r="N65" s="113"/>
      <c r="O65" s="113"/>
      <c r="P65" s="113"/>
      <c r="Q65" s="113"/>
      <c r="R65" s="113"/>
      <c r="S65" s="113"/>
      <c r="T65" s="113"/>
      <c r="U65" s="85"/>
      <c r="V65" s="390"/>
      <c r="W65" s="15"/>
      <c r="X65" s="284"/>
      <c r="Y65" s="284"/>
      <c r="Z65" s="113"/>
      <c r="AA65" s="284"/>
      <c r="AB65" s="284"/>
      <c r="AC65" s="284"/>
      <c r="AD65" s="284"/>
      <c r="AE65" s="284"/>
      <c r="AF65" s="284"/>
      <c r="AG65" s="284"/>
      <c r="AH65" s="284"/>
      <c r="AI65" s="85"/>
      <c r="AJ65" s="167"/>
      <c r="AK65" s="15"/>
      <c r="AL65" s="15"/>
      <c r="AM65" s="15"/>
      <c r="AN65" s="268"/>
      <c r="AO65" s="12"/>
    </row>
    <row r="66" spans="1:42" s="310" customFormat="1" ht="12.75" customHeight="1" x14ac:dyDescent="0.2">
      <c r="A66" s="181"/>
      <c r="B66" s="12"/>
      <c r="E66" s="12" t="s">
        <v>95</v>
      </c>
      <c r="F66" s="177"/>
      <c r="G66" s="343"/>
      <c r="H66" s="284">
        <v>40352720.906999998</v>
      </c>
      <c r="I66" s="390">
        <v>1665132.71854</v>
      </c>
      <c r="J66" s="15">
        <v>2420101.5696100001</v>
      </c>
      <c r="K66" s="113">
        <v>2202305.6750099999</v>
      </c>
      <c r="L66" s="113">
        <v>3153901.05595</v>
      </c>
      <c r="M66" s="113">
        <v>3224111.7025500005</v>
      </c>
      <c r="N66" s="113">
        <v>3669787.9673300004</v>
      </c>
      <c r="O66" s="113">
        <v>4250000.1231500003</v>
      </c>
      <c r="P66" s="113">
        <v>4055185.3876100001</v>
      </c>
      <c r="Q66" s="113">
        <v>3722149.1899300003</v>
      </c>
      <c r="R66" s="113">
        <v>3456626.2320900001</v>
      </c>
      <c r="S66" s="113">
        <v>3653536.0827700002</v>
      </c>
      <c r="T66" s="113">
        <v>6364645.7910700003</v>
      </c>
      <c r="U66" s="85">
        <v>41837483.495609999</v>
      </c>
      <c r="V66" s="390">
        <v>47504070.831339993</v>
      </c>
      <c r="W66" s="15">
        <v>1848368.75905</v>
      </c>
      <c r="X66" s="284">
        <v>3618440.3049700004</v>
      </c>
      <c r="Y66" s="113">
        <v>3567908.4383200002</v>
      </c>
      <c r="Z66" s="113">
        <v>4364813.0685999999</v>
      </c>
      <c r="AA66" s="113">
        <v>4176623.9757700004</v>
      </c>
      <c r="AB66" s="113">
        <v>4491395.5611000005</v>
      </c>
      <c r="AC66" s="284">
        <v>4837339.7154200003</v>
      </c>
      <c r="AD66" s="284">
        <v>4016644.1704799999</v>
      </c>
      <c r="AE66" s="284">
        <v>3810898.1652700002</v>
      </c>
      <c r="AF66" s="284">
        <v>3325875.0724200001</v>
      </c>
      <c r="AG66" s="284">
        <v>3914912.2271199995</v>
      </c>
      <c r="AH66" s="284">
        <v>5530851.3728200002</v>
      </c>
      <c r="AI66" s="85">
        <v>47504070.831339993</v>
      </c>
      <c r="AJ66" s="167"/>
      <c r="AK66" s="15"/>
      <c r="AL66" s="15"/>
      <c r="AM66" s="15"/>
      <c r="AN66" s="268"/>
      <c r="AO66" s="12"/>
    </row>
    <row r="67" spans="1:42" ht="12.75" customHeight="1" x14ac:dyDescent="0.2">
      <c r="A67" s="244"/>
      <c r="E67" s="12" t="s">
        <v>96</v>
      </c>
      <c r="F67" s="177"/>
      <c r="G67" s="379"/>
      <c r="H67" s="493">
        <v>4865395.9720000001</v>
      </c>
      <c r="I67" s="31">
        <v>45206.048840000003</v>
      </c>
      <c r="J67" s="33">
        <v>17941.464689999997</v>
      </c>
      <c r="K67" s="325">
        <v>112788.36186000002</v>
      </c>
      <c r="L67" s="325">
        <v>389678.26277000003</v>
      </c>
      <c r="M67" s="325">
        <v>141351.30131000001</v>
      </c>
      <c r="N67" s="325">
        <v>670147.52271999989</v>
      </c>
      <c r="O67" s="325">
        <v>536426.24579000007</v>
      </c>
      <c r="P67" s="325">
        <v>532401.21225999994</v>
      </c>
      <c r="Q67" s="325">
        <v>829522.74057999998</v>
      </c>
      <c r="R67" s="325">
        <v>470248.47297</v>
      </c>
      <c r="S67" s="325">
        <v>735460.7540999999</v>
      </c>
      <c r="T67" s="325">
        <v>976015.06849000009</v>
      </c>
      <c r="U67" s="149">
        <v>5457187.4563800003</v>
      </c>
      <c r="V67" s="31">
        <v>7924289.2635400007</v>
      </c>
      <c r="W67" s="15">
        <v>85988.763349999994</v>
      </c>
      <c r="X67" s="30">
        <v>475109.2157</v>
      </c>
      <c r="Y67" s="325">
        <v>463419.72545999999</v>
      </c>
      <c r="Z67" s="325">
        <v>590126.7547200002</v>
      </c>
      <c r="AA67" s="325">
        <v>557906.75127000001</v>
      </c>
      <c r="AB67" s="325">
        <v>723575.43200999987</v>
      </c>
      <c r="AC67" s="30">
        <v>783193.39619</v>
      </c>
      <c r="AD67" s="30">
        <v>759353.74650000001</v>
      </c>
      <c r="AE67" s="30">
        <v>898141.94186999998</v>
      </c>
      <c r="AF67" s="30">
        <v>784717.23092000012</v>
      </c>
      <c r="AG67" s="30">
        <v>906198.58243000007</v>
      </c>
      <c r="AH67" s="30">
        <v>896557.72311999998</v>
      </c>
      <c r="AI67" s="85">
        <v>7924289.2635400007</v>
      </c>
      <c r="AJ67" s="167"/>
      <c r="AK67" s="15"/>
      <c r="AL67" s="15"/>
      <c r="AM67" s="15"/>
      <c r="AN67" s="268"/>
      <c r="AP67" s="310"/>
    </row>
    <row r="68" spans="1:42" ht="12.75" customHeight="1" x14ac:dyDescent="0.2">
      <c r="A68" s="244"/>
      <c r="C68" s="12" t="s">
        <v>97</v>
      </c>
      <c r="G68" s="379"/>
      <c r="H68" s="493">
        <v>56113.610999999997</v>
      </c>
      <c r="I68" s="31">
        <v>2732.1754100000003</v>
      </c>
      <c r="J68" s="33">
        <v>6056.9970000000003</v>
      </c>
      <c r="K68" s="325">
        <v>6432.1417799999999</v>
      </c>
      <c r="L68" s="325">
        <v>4135.5707599999996</v>
      </c>
      <c r="M68" s="325">
        <v>3161.2752500000001</v>
      </c>
      <c r="N68" s="325">
        <v>3012.1276000000003</v>
      </c>
      <c r="O68" s="325">
        <v>4845.3901299999998</v>
      </c>
      <c r="P68" s="325">
        <v>6470.9197800000002</v>
      </c>
      <c r="Q68" s="325">
        <v>7885.82276</v>
      </c>
      <c r="R68" s="325">
        <v>4737.9110899999996</v>
      </c>
      <c r="S68" s="325">
        <v>6647.9258399999999</v>
      </c>
      <c r="T68" s="325">
        <v>11310.437400000001</v>
      </c>
      <c r="U68" s="149">
        <v>67428.694799999997</v>
      </c>
      <c r="V68" s="31">
        <v>66606.079759999993</v>
      </c>
      <c r="W68" s="15">
        <v>3048.6212799999998</v>
      </c>
      <c r="X68" s="30">
        <v>6114.5615099999995</v>
      </c>
      <c r="Y68" s="325">
        <v>5744.12565</v>
      </c>
      <c r="Z68" s="325">
        <v>6526.5096199999998</v>
      </c>
      <c r="AA68" s="325">
        <v>3406.8414400000001</v>
      </c>
      <c r="AB68" s="325">
        <v>5081.61168</v>
      </c>
      <c r="AC68" s="30">
        <v>3948.0883199999998</v>
      </c>
      <c r="AD68" s="30">
        <v>6684.3316799999993</v>
      </c>
      <c r="AE68" s="30">
        <v>6352.5147300000008</v>
      </c>
      <c r="AF68" s="30">
        <v>5725.3077300000004</v>
      </c>
      <c r="AG68" s="30">
        <v>5889.5580899999995</v>
      </c>
      <c r="AH68" s="30">
        <v>8084.00803</v>
      </c>
      <c r="AI68" s="85">
        <v>66606.079759999993</v>
      </c>
      <c r="AJ68" s="167"/>
      <c r="AK68" s="15"/>
      <c r="AL68" s="15"/>
      <c r="AM68" s="15"/>
      <c r="AN68" s="268"/>
      <c r="AP68" s="310"/>
    </row>
    <row r="69" spans="1:42" s="310" customFormat="1" ht="12.75" customHeight="1" x14ac:dyDescent="0.2">
      <c r="A69" s="181"/>
      <c r="B69" s="12"/>
      <c r="C69" s="12" t="s">
        <v>47</v>
      </c>
      <c r="E69" s="12"/>
      <c r="F69" s="177"/>
      <c r="G69" s="343"/>
      <c r="H69" s="284"/>
      <c r="I69" s="390"/>
      <c r="J69" s="15"/>
      <c r="K69" s="113"/>
      <c r="L69" s="113"/>
      <c r="M69" s="113"/>
      <c r="N69" s="113"/>
      <c r="O69" s="113"/>
      <c r="P69" s="113"/>
      <c r="Q69" s="113"/>
      <c r="R69" s="113"/>
      <c r="S69" s="113"/>
      <c r="T69" s="113"/>
      <c r="U69" s="85"/>
      <c r="V69" s="390"/>
      <c r="W69" s="15"/>
      <c r="X69" s="284"/>
      <c r="Y69" s="113"/>
      <c r="Z69" s="113"/>
      <c r="AA69" s="113"/>
      <c r="AB69" s="113"/>
      <c r="AC69" s="284"/>
      <c r="AD69" s="284"/>
      <c r="AE69" s="284"/>
      <c r="AF69" s="284"/>
      <c r="AG69" s="284"/>
      <c r="AH69" s="284"/>
      <c r="AI69" s="85"/>
      <c r="AJ69" s="167"/>
      <c r="AK69" s="15"/>
      <c r="AL69" s="15"/>
      <c r="AM69" s="15"/>
      <c r="AN69" s="268"/>
      <c r="AO69" s="12"/>
    </row>
    <row r="70" spans="1:42" ht="12.75" customHeight="1" x14ac:dyDescent="0.2">
      <c r="A70" s="244"/>
      <c r="E70" s="12" t="s">
        <v>98</v>
      </c>
      <c r="G70" s="343"/>
      <c r="H70" s="284">
        <v>284584.50300000003</v>
      </c>
      <c r="I70" s="390">
        <v>154705.31579000002</v>
      </c>
      <c r="J70" s="15">
        <v>-123637.29246999999</v>
      </c>
      <c r="K70" s="113">
        <v>-50451.486900000004</v>
      </c>
      <c r="L70" s="113">
        <v>596914.36078999995</v>
      </c>
      <c r="M70" s="113">
        <v>176686.38924999998</v>
      </c>
      <c r="N70" s="113">
        <v>315157.10374999995</v>
      </c>
      <c r="O70" s="113">
        <v>-1119145.52021</v>
      </c>
      <c r="P70" s="113">
        <v>5700.8516099999997</v>
      </c>
      <c r="Q70" s="113">
        <v>222968.17371999999</v>
      </c>
      <c r="R70" s="113">
        <v>90975.57789</v>
      </c>
      <c r="S70" s="113">
        <v>8186.7567700000009</v>
      </c>
      <c r="T70" s="113">
        <v>-3929.9218700000001</v>
      </c>
      <c r="U70" s="85">
        <v>274130.30811999983</v>
      </c>
      <c r="V70" s="390">
        <v>732758.97381999996</v>
      </c>
      <c r="W70" s="15">
        <v>121451.30553</v>
      </c>
      <c r="X70" s="284">
        <v>81853.96067</v>
      </c>
      <c r="Y70" s="113">
        <v>67718.128020000004</v>
      </c>
      <c r="Z70" s="113">
        <v>42594.099199999997</v>
      </c>
      <c r="AA70" s="113">
        <v>44219.562750000005</v>
      </c>
      <c r="AB70" s="113">
        <v>59321.950859999997</v>
      </c>
      <c r="AC70" s="284">
        <v>62563.343839999994</v>
      </c>
      <c r="AD70" s="284">
        <v>109065.06453</v>
      </c>
      <c r="AE70" s="284">
        <v>149440.38412</v>
      </c>
      <c r="AF70" s="284">
        <v>35783.673520000004</v>
      </c>
      <c r="AG70" s="284">
        <v>77266.321590000007</v>
      </c>
      <c r="AH70" s="284">
        <v>-118518.82081</v>
      </c>
      <c r="AI70" s="85">
        <v>732758.97381999996</v>
      </c>
      <c r="AJ70" s="167"/>
      <c r="AK70" s="15"/>
      <c r="AL70" s="15"/>
      <c r="AM70" s="15"/>
      <c r="AN70" s="268"/>
      <c r="AP70" s="310"/>
    </row>
    <row r="71" spans="1:42" ht="12.75" customHeight="1" x14ac:dyDescent="0.2">
      <c r="A71" s="244"/>
      <c r="E71" s="12" t="s">
        <v>99</v>
      </c>
      <c r="F71" s="177"/>
      <c r="G71" s="343"/>
      <c r="H71" s="493">
        <v>54485.667999999998</v>
      </c>
      <c r="I71" s="31">
        <v>3838.8639700000003</v>
      </c>
      <c r="J71" s="31">
        <v>199.3015</v>
      </c>
      <c r="K71" s="30">
        <v>0</v>
      </c>
      <c r="L71" s="30">
        <v>0</v>
      </c>
      <c r="M71" s="30">
        <v>0</v>
      </c>
      <c r="N71" s="30">
        <v>21000.190429999999</v>
      </c>
      <c r="O71" s="30">
        <v>929.68194999999992</v>
      </c>
      <c r="P71" s="30">
        <v>0</v>
      </c>
      <c r="Q71" s="30">
        <v>0</v>
      </c>
      <c r="R71" s="30">
        <v>2594.5255000000002</v>
      </c>
      <c r="S71" s="30">
        <v>3.9105100000000004</v>
      </c>
      <c r="T71" s="30">
        <v>22442.079409999998</v>
      </c>
      <c r="U71" s="149">
        <v>51008.553269999997</v>
      </c>
      <c r="V71" s="31">
        <v>94681.045879999991</v>
      </c>
      <c r="W71" s="15">
        <v>4488.65578</v>
      </c>
      <c r="X71" s="30">
        <v>364.51134999999999</v>
      </c>
      <c r="Y71" s="30">
        <v>0.85802999999999996</v>
      </c>
      <c r="Z71" s="30">
        <v>3953.4466899999998</v>
      </c>
      <c r="AA71" s="30">
        <v>210.22315</v>
      </c>
      <c r="AB71" s="30">
        <v>27706.917600000001</v>
      </c>
      <c r="AC71" s="30">
        <v>13302.461160000001</v>
      </c>
      <c r="AD71" s="30">
        <v>332.35859999999997</v>
      </c>
      <c r="AE71" s="30">
        <v>222.85565</v>
      </c>
      <c r="AF71" s="30">
        <v>5182.3087400000004</v>
      </c>
      <c r="AG71" s="30">
        <v>82.349199999999996</v>
      </c>
      <c r="AH71" s="30">
        <v>38834.099929999997</v>
      </c>
      <c r="AI71" s="85">
        <v>94681.045879999991</v>
      </c>
      <c r="AJ71" s="167"/>
      <c r="AK71" s="15"/>
      <c r="AL71" s="15"/>
      <c r="AM71" s="15"/>
      <c r="AN71" s="268"/>
      <c r="AP71" s="310"/>
    </row>
    <row r="72" spans="1:42" s="310" customFormat="1" ht="12.75" customHeight="1" x14ac:dyDescent="0.2">
      <c r="A72" s="268"/>
      <c r="B72" s="451" t="s">
        <v>100</v>
      </c>
      <c r="G72" s="343"/>
      <c r="H72" s="13">
        <v>2.8860000000000001</v>
      </c>
      <c r="I72" s="13">
        <v>0</v>
      </c>
      <c r="J72" s="13">
        <v>5.6426999999999996</v>
      </c>
      <c r="K72" s="21">
        <v>-5.6426999999999996</v>
      </c>
      <c r="L72" s="21">
        <v>6</v>
      </c>
      <c r="M72" s="21">
        <v>0</v>
      </c>
      <c r="N72" s="21">
        <v>0</v>
      </c>
      <c r="O72" s="21">
        <v>0</v>
      </c>
      <c r="P72" s="21">
        <v>0</v>
      </c>
      <c r="Q72" s="21">
        <v>0</v>
      </c>
      <c r="R72" s="21">
        <v>0</v>
      </c>
      <c r="S72" s="21">
        <v>0</v>
      </c>
      <c r="T72" s="21">
        <v>-6</v>
      </c>
      <c r="U72" s="24">
        <v>0</v>
      </c>
      <c r="V72" s="396">
        <v>0</v>
      </c>
      <c r="W72" s="20">
        <v>0</v>
      </c>
      <c r="X72" s="21">
        <v>0</v>
      </c>
      <c r="Y72" s="21">
        <v>0</v>
      </c>
      <c r="Z72" s="21">
        <v>0</v>
      </c>
      <c r="AA72" s="21">
        <v>0</v>
      </c>
      <c r="AB72" s="21">
        <v>7.2370000000000001</v>
      </c>
      <c r="AC72" s="21">
        <v>-7.2370000000000001</v>
      </c>
      <c r="AD72" s="21">
        <v>1.4784000000000002</v>
      </c>
      <c r="AE72" s="21">
        <v>0</v>
      </c>
      <c r="AF72" s="21">
        <v>0</v>
      </c>
      <c r="AG72" s="21">
        <v>75.879559999999998</v>
      </c>
      <c r="AH72" s="21">
        <v>-77.252880000000005</v>
      </c>
      <c r="AI72" s="24">
        <v>0.10507999999998674</v>
      </c>
      <c r="AJ72" s="124"/>
      <c r="AK72" s="22"/>
      <c r="AL72" s="22"/>
      <c r="AM72" s="22"/>
      <c r="AN72" s="268"/>
      <c r="AO72" s="12"/>
    </row>
    <row r="73" spans="1:42" ht="12.75" customHeight="1" x14ac:dyDescent="0.2">
      <c r="A73" s="244"/>
      <c r="C73" s="12" t="s">
        <v>101</v>
      </c>
      <c r="G73" s="343"/>
      <c r="H73" s="284">
        <v>2.8860000000000001</v>
      </c>
      <c r="I73" s="390">
        <v>0</v>
      </c>
      <c r="J73" s="390">
        <v>5.6426999999999996</v>
      </c>
      <c r="K73" s="284">
        <v>-5.6426999999999996</v>
      </c>
      <c r="L73" s="284">
        <v>6</v>
      </c>
      <c r="M73" s="284">
        <v>0</v>
      </c>
      <c r="N73" s="30">
        <v>0</v>
      </c>
      <c r="O73" s="284">
        <v>0</v>
      </c>
      <c r="P73" s="284">
        <v>0</v>
      </c>
      <c r="Q73" s="284">
        <v>0</v>
      </c>
      <c r="R73" s="284">
        <v>0</v>
      </c>
      <c r="S73" s="284">
        <v>0</v>
      </c>
      <c r="T73" s="284">
        <v>-6</v>
      </c>
      <c r="U73" s="85">
        <v>0</v>
      </c>
      <c r="V73" s="390">
        <v>0</v>
      </c>
      <c r="W73" s="15">
        <v>0</v>
      </c>
      <c r="X73" s="284">
        <v>0</v>
      </c>
      <c r="Y73" s="179">
        <v>0</v>
      </c>
      <c r="Z73" s="284">
        <v>0</v>
      </c>
      <c r="AA73" s="284">
        <v>0</v>
      </c>
      <c r="AB73" s="284">
        <v>7.2370000000000001</v>
      </c>
      <c r="AC73" s="284">
        <v>-7.2370000000000001</v>
      </c>
      <c r="AD73" s="284">
        <v>1.4784000000000002</v>
      </c>
      <c r="AE73" s="284">
        <v>0</v>
      </c>
      <c r="AF73" s="284">
        <v>0</v>
      </c>
      <c r="AG73" s="284">
        <v>75.879559999999998</v>
      </c>
      <c r="AH73" s="284">
        <v>-77.252880000000005</v>
      </c>
      <c r="AI73" s="85">
        <v>0.10507999999998674</v>
      </c>
      <c r="AJ73" s="280"/>
      <c r="AK73" s="15"/>
      <c r="AL73" s="15"/>
      <c r="AM73" s="15"/>
      <c r="AN73" s="268"/>
      <c r="AP73" s="310"/>
    </row>
    <row r="74" spans="1:42" s="451" customFormat="1" ht="12.75" customHeight="1" x14ac:dyDescent="0.2">
      <c r="A74" s="484"/>
      <c r="B74" s="451" t="s">
        <v>102</v>
      </c>
      <c r="G74" s="343" t="s">
        <v>103</v>
      </c>
      <c r="H74" s="382">
        <v>0</v>
      </c>
      <c r="I74" s="225">
        <v>1589.6722299999999</v>
      </c>
      <c r="J74" s="225">
        <v>1710.54529</v>
      </c>
      <c r="K74" s="382">
        <v>-1543.4717700000001</v>
      </c>
      <c r="L74" s="382">
        <v>427.4395300000001</v>
      </c>
      <c r="M74" s="382">
        <v>-404.95042000000001</v>
      </c>
      <c r="N74" s="382">
        <v>-164.26856999999995</v>
      </c>
      <c r="O74" s="382">
        <v>-1557.87327</v>
      </c>
      <c r="P74" s="382">
        <v>1522.07395</v>
      </c>
      <c r="Q74" s="382">
        <v>-23.449120000000001</v>
      </c>
      <c r="R74" s="382">
        <v>28.224740000000001</v>
      </c>
      <c r="S74" s="382">
        <v>-110.1486</v>
      </c>
      <c r="T74" s="382">
        <v>10120.64148</v>
      </c>
      <c r="U74" s="430">
        <v>11594.43547</v>
      </c>
      <c r="V74" s="225">
        <v>10037.257280000002</v>
      </c>
      <c r="W74" s="498">
        <v>52447.937920000004</v>
      </c>
      <c r="X74" s="382">
        <v>-55991.129320000007</v>
      </c>
      <c r="Y74" s="382">
        <v>8635.0565399999996</v>
      </c>
      <c r="Z74" s="382">
        <v>-290663.89528</v>
      </c>
      <c r="AA74" s="382">
        <v>-2525.1688399999985</v>
      </c>
      <c r="AB74" s="382">
        <v>297599.58468999999</v>
      </c>
      <c r="AC74" s="382">
        <v>-557.56914000000006</v>
      </c>
      <c r="AD74" s="382">
        <v>431.1240600000001</v>
      </c>
      <c r="AE74" s="382">
        <v>1090.1177000000007</v>
      </c>
      <c r="AF74" s="382">
        <v>296.01643999999999</v>
      </c>
      <c r="AG74" s="382">
        <v>-608.60971999999992</v>
      </c>
      <c r="AH74" s="382">
        <v>-116.31285000000003</v>
      </c>
      <c r="AI74" s="488">
        <v>10037.152200000002</v>
      </c>
      <c r="AJ74" s="328"/>
      <c r="AK74" s="496"/>
      <c r="AL74" s="496"/>
      <c r="AM74" s="496"/>
      <c r="AN74" s="268"/>
      <c r="AO74" s="12"/>
      <c r="AP74" s="310"/>
    </row>
    <row r="75" spans="1:42" ht="12.75" customHeight="1" x14ac:dyDescent="0.2">
      <c r="A75" s="153"/>
      <c r="B75" s="254" t="s">
        <v>104</v>
      </c>
      <c r="C75" s="457"/>
      <c r="D75" s="457"/>
      <c r="E75" s="457"/>
      <c r="F75" s="457"/>
      <c r="G75" s="357"/>
      <c r="H75" s="21">
        <v>1212205919.4709997</v>
      </c>
      <c r="I75" s="13">
        <v>77111257.806960002</v>
      </c>
      <c r="J75" s="13">
        <v>64924271.966630012</v>
      </c>
      <c r="K75" s="21">
        <v>100222433.75144002</v>
      </c>
      <c r="L75" s="21">
        <v>75750002.477039993</v>
      </c>
      <c r="M75" s="21">
        <v>97558042.679889992</v>
      </c>
      <c r="N75" s="21">
        <v>102987034.87321997</v>
      </c>
      <c r="O75" s="21">
        <v>96085038.531149998</v>
      </c>
      <c r="P75" s="21">
        <v>97377290.473269999</v>
      </c>
      <c r="Q75" s="21">
        <v>163683329.94948</v>
      </c>
      <c r="R75" s="21">
        <v>101388475.52069998</v>
      </c>
      <c r="S75" s="21">
        <v>130843296.92738996</v>
      </c>
      <c r="T75" s="21">
        <v>141965716.34091997</v>
      </c>
      <c r="U75" s="24">
        <v>1249896191.2980897</v>
      </c>
      <c r="V75" s="22">
        <v>1355766257.9454703</v>
      </c>
      <c r="W75" s="503">
        <v>84807014.439560026</v>
      </c>
      <c r="X75" s="503">
        <v>90991578.400710016</v>
      </c>
      <c r="Y75" s="21">
        <v>141340172.67634001</v>
      </c>
      <c r="Z75" s="21">
        <v>85526330.539679989</v>
      </c>
      <c r="AA75" s="21">
        <v>116443762.86853999</v>
      </c>
      <c r="AB75" s="21">
        <v>116559787.40256001</v>
      </c>
      <c r="AC75" s="21">
        <v>95682896.007359982</v>
      </c>
      <c r="AD75" s="21">
        <v>94605024.641590014</v>
      </c>
      <c r="AE75" s="21">
        <v>153493101.93650001</v>
      </c>
      <c r="AF75" s="21">
        <v>103080766.49830002</v>
      </c>
      <c r="AG75" s="21">
        <v>142867934.82762998</v>
      </c>
      <c r="AH75" s="21">
        <v>130367888.37716998</v>
      </c>
      <c r="AI75" s="489">
        <v>1355766257.6159399</v>
      </c>
      <c r="AJ75" s="328"/>
      <c r="AK75" s="496"/>
      <c r="AL75" s="496"/>
      <c r="AM75" s="496"/>
      <c r="AN75" s="268"/>
      <c r="AP75" s="310"/>
    </row>
    <row r="76" spans="1:42" ht="12.75" customHeight="1" x14ac:dyDescent="0.2">
      <c r="A76" s="244"/>
      <c r="B76" s="451" t="s">
        <v>105</v>
      </c>
      <c r="E76" s="177"/>
      <c r="F76" s="177"/>
      <c r="G76" s="343" t="s">
        <v>106</v>
      </c>
      <c r="H76" s="201">
        <v>-63395241</v>
      </c>
      <c r="I76" s="466">
        <v>-15848810</v>
      </c>
      <c r="J76" s="466">
        <v>0</v>
      </c>
      <c r="K76" s="201">
        <v>0</v>
      </c>
      <c r="L76" s="201">
        <v>-15848810</v>
      </c>
      <c r="M76" s="201">
        <v>0</v>
      </c>
      <c r="N76" s="201">
        <v>0</v>
      </c>
      <c r="O76" s="201">
        <v>-15848810</v>
      </c>
      <c r="P76" s="201">
        <v>0</v>
      </c>
      <c r="Q76" s="201">
        <v>0</v>
      </c>
      <c r="R76" s="201">
        <v>-15848810</v>
      </c>
      <c r="S76" s="201">
        <v>0</v>
      </c>
      <c r="T76" s="201">
        <v>0</v>
      </c>
      <c r="U76" s="364">
        <v>-63395240</v>
      </c>
      <c r="V76" s="405">
        <v>-50280312</v>
      </c>
      <c r="W76" s="201">
        <v>-12570078</v>
      </c>
      <c r="X76" s="201">
        <v>0</v>
      </c>
      <c r="Y76" s="201">
        <v>0</v>
      </c>
      <c r="Z76" s="201">
        <v>-12570078</v>
      </c>
      <c r="AA76" s="201">
        <v>0</v>
      </c>
      <c r="AB76" s="201">
        <v>0</v>
      </c>
      <c r="AC76" s="201">
        <v>-12570078</v>
      </c>
      <c r="AD76" s="201">
        <v>0</v>
      </c>
      <c r="AE76" s="201">
        <v>0</v>
      </c>
      <c r="AF76" s="201">
        <v>-12570078</v>
      </c>
      <c r="AG76" s="201">
        <v>0</v>
      </c>
      <c r="AH76" s="201">
        <v>0</v>
      </c>
      <c r="AI76" s="364">
        <v>-50280312</v>
      </c>
      <c r="AJ76" s="109"/>
      <c r="AK76" s="20"/>
      <c r="AL76" s="20"/>
      <c r="AM76" s="20"/>
      <c r="AN76" s="268"/>
      <c r="AP76" s="310"/>
    </row>
    <row r="77" spans="1:42" ht="12.75" customHeight="1" x14ac:dyDescent="0.2">
      <c r="A77" s="302"/>
      <c r="B77" s="50" t="s">
        <v>107</v>
      </c>
      <c r="C77" s="105"/>
      <c r="D77" s="105"/>
      <c r="E77" s="160"/>
      <c r="F77" s="160"/>
      <c r="G77" s="259"/>
      <c r="H77" s="462">
        <v>1148810678.4709997</v>
      </c>
      <c r="I77" s="362">
        <v>61262447.806960002</v>
      </c>
      <c r="J77" s="362">
        <v>64924271.966630012</v>
      </c>
      <c r="K77" s="462">
        <v>100222433.75144002</v>
      </c>
      <c r="L77" s="462">
        <v>59901192.477039993</v>
      </c>
      <c r="M77" s="462">
        <v>97558042.679889992</v>
      </c>
      <c r="N77" s="462">
        <v>102987034.87321997</v>
      </c>
      <c r="O77" s="462">
        <v>80236228.531149998</v>
      </c>
      <c r="P77" s="462">
        <v>97377290.473269999</v>
      </c>
      <c r="Q77" s="462">
        <v>163683329.94948</v>
      </c>
      <c r="R77" s="462">
        <v>85539665.520699978</v>
      </c>
      <c r="S77" s="462">
        <v>130843296.92738996</v>
      </c>
      <c r="T77" s="462">
        <v>141965716.34091997</v>
      </c>
      <c r="U77" s="206">
        <v>1186500951.2980897</v>
      </c>
      <c r="V77" s="79">
        <v>1305485945.9454703</v>
      </c>
      <c r="W77" s="78">
        <v>72236936.439560026</v>
      </c>
      <c r="X77" s="462">
        <v>90991578.400710016</v>
      </c>
      <c r="Y77" s="462">
        <v>141340172.67634001</v>
      </c>
      <c r="Z77" s="462">
        <v>72956252.539679989</v>
      </c>
      <c r="AA77" s="462">
        <v>116443762.86853999</v>
      </c>
      <c r="AB77" s="462">
        <v>116559787.40256001</v>
      </c>
      <c r="AC77" s="462">
        <v>83112818.007359982</v>
      </c>
      <c r="AD77" s="462">
        <v>94605024.641590014</v>
      </c>
      <c r="AE77" s="462">
        <v>153493101.93650001</v>
      </c>
      <c r="AF77" s="462">
        <v>90510688.498300016</v>
      </c>
      <c r="AG77" s="462">
        <v>142867934.82762998</v>
      </c>
      <c r="AH77" s="462">
        <v>130367888.37716998</v>
      </c>
      <c r="AI77" s="206">
        <v>1305485945.6159399</v>
      </c>
      <c r="AJ77" s="124"/>
      <c r="AK77" s="22"/>
      <c r="AL77" s="22"/>
      <c r="AM77" s="22"/>
      <c r="AN77" s="268"/>
      <c r="AP77" s="310"/>
    </row>
    <row r="78" spans="1:42" ht="12.75" hidden="1" customHeight="1" x14ac:dyDescent="0.2">
      <c r="A78" s="244"/>
      <c r="B78" s="451"/>
      <c r="E78" s="177"/>
      <c r="F78" s="177"/>
      <c r="G78" s="343"/>
      <c r="H78" s="21"/>
      <c r="I78" s="13"/>
      <c r="J78" s="13"/>
      <c r="K78" s="21"/>
      <c r="L78" s="21"/>
      <c r="M78" s="21"/>
      <c r="N78" s="21"/>
      <c r="O78" s="21"/>
      <c r="P78" s="21"/>
      <c r="Q78" s="21"/>
      <c r="R78" s="21"/>
      <c r="S78" s="21"/>
      <c r="T78" s="21"/>
      <c r="U78" s="24"/>
      <c r="V78" s="22"/>
      <c r="W78" s="186"/>
      <c r="X78" s="21"/>
      <c r="Y78" s="21"/>
      <c r="Z78" s="21"/>
      <c r="AA78" s="21"/>
      <c r="AB78" s="21"/>
      <c r="AC78" s="21"/>
      <c r="AD78" s="21"/>
      <c r="AE78" s="21"/>
      <c r="AF78" s="21"/>
      <c r="AG78" s="21"/>
      <c r="AH78" s="21"/>
      <c r="AI78" s="24"/>
      <c r="AJ78" s="124"/>
      <c r="AK78" s="22"/>
      <c r="AL78" s="22"/>
      <c r="AM78" s="22"/>
      <c r="AN78" s="268"/>
      <c r="AP78" s="310"/>
    </row>
    <row r="79" spans="1:42" ht="12.75" hidden="1" customHeight="1" x14ac:dyDescent="0.2">
      <c r="A79" s="77"/>
      <c r="B79" s="90"/>
      <c r="C79" s="90"/>
      <c r="D79" s="90"/>
      <c r="E79" s="90"/>
      <c r="F79" s="90"/>
      <c r="G79" s="76"/>
      <c r="H79" s="31"/>
      <c r="I79" s="31"/>
      <c r="J79" s="33"/>
      <c r="K79" s="33"/>
      <c r="L79" s="33"/>
      <c r="M79" s="33"/>
      <c r="N79" s="33"/>
      <c r="O79" s="33"/>
      <c r="P79" s="33"/>
      <c r="Q79" s="33"/>
      <c r="R79" s="33"/>
      <c r="S79" s="33"/>
      <c r="T79" s="33"/>
      <c r="U79" s="32"/>
      <c r="V79" s="75"/>
      <c r="W79" s="325"/>
      <c r="X79" s="30"/>
      <c r="Y79" s="30"/>
      <c r="Z79" s="30"/>
      <c r="AA79" s="30"/>
      <c r="AB79" s="30"/>
      <c r="AC79" s="30"/>
      <c r="AD79" s="30"/>
      <c r="AE79" s="30"/>
      <c r="AF79" s="30"/>
      <c r="AG79" s="30"/>
      <c r="AH79" s="30"/>
      <c r="AI79" s="74"/>
      <c r="AJ79" s="73"/>
      <c r="AK79" s="33"/>
      <c r="AL79" s="33"/>
      <c r="AM79" s="33"/>
      <c r="AN79" s="268"/>
      <c r="AP79" s="310"/>
    </row>
    <row r="80" spans="1:42" ht="12.75" customHeight="1" x14ac:dyDescent="0.2">
      <c r="A80" s="244"/>
      <c r="B80" s="451" t="s">
        <v>108</v>
      </c>
      <c r="C80" s="451"/>
      <c r="E80" s="177"/>
      <c r="F80" s="177"/>
      <c r="G80" s="343"/>
      <c r="H80" s="294">
        <v>51974982.526653387</v>
      </c>
      <c r="I80" s="190">
        <v>1833292.57381</v>
      </c>
      <c r="J80" s="190">
        <v>3182174.0558000002</v>
      </c>
      <c r="K80" s="294">
        <v>8331667.6252000006</v>
      </c>
      <c r="L80" s="294">
        <v>2945120.4831299996</v>
      </c>
      <c r="M80" s="294">
        <v>4297105.98661</v>
      </c>
      <c r="N80" s="294">
        <v>2692220.3989499998</v>
      </c>
      <c r="O80" s="294">
        <v>2994488.5847100001</v>
      </c>
      <c r="P80" s="294">
        <v>1840904.30532</v>
      </c>
      <c r="Q80" s="294">
        <v>12687363.820019998</v>
      </c>
      <c r="R80" s="294">
        <v>1936875.9399900001</v>
      </c>
      <c r="S80" s="294">
        <v>1902061.25562</v>
      </c>
      <c r="T80" s="294">
        <v>4990853.0359300002</v>
      </c>
      <c r="U80" s="399">
        <v>49634128.065090001</v>
      </c>
      <c r="V80" s="439">
        <v>40394200.501609996</v>
      </c>
      <c r="W80" s="337">
        <v>1587406.6461699998</v>
      </c>
      <c r="X80" s="294">
        <v>5929314.6683099996</v>
      </c>
      <c r="Y80" s="294">
        <v>5901305.32094</v>
      </c>
      <c r="Z80" s="294">
        <v>793556.98961999977</v>
      </c>
      <c r="AA80" s="294">
        <v>1488702.7767099999</v>
      </c>
      <c r="AB80" s="337">
        <v>1153941.87176</v>
      </c>
      <c r="AC80" s="337">
        <v>674426.72756999999</v>
      </c>
      <c r="AD80" s="294">
        <v>915686.39250999992</v>
      </c>
      <c r="AE80" s="294">
        <v>6856521.4885600004</v>
      </c>
      <c r="AF80" s="294">
        <v>845840.16793999996</v>
      </c>
      <c r="AG80" s="294">
        <v>1611005.2640100003</v>
      </c>
      <c r="AH80" s="294">
        <v>12636493.06531</v>
      </c>
      <c r="AI80" s="72">
        <v>40394201.379409999</v>
      </c>
      <c r="AJ80" s="109"/>
      <c r="AK80" s="20"/>
      <c r="AL80" s="20"/>
      <c r="AM80" s="20"/>
      <c r="AN80" s="268"/>
      <c r="AP80" s="310"/>
    </row>
    <row r="81" spans="1:56" ht="12.75" customHeight="1" x14ac:dyDescent="0.2">
      <c r="A81" s="244"/>
      <c r="C81" s="765" t="s">
        <v>109</v>
      </c>
      <c r="D81" s="765"/>
      <c r="E81" s="765"/>
      <c r="F81" s="765"/>
      <c r="G81" s="343"/>
      <c r="H81" s="284"/>
      <c r="I81" s="390"/>
      <c r="J81" s="390"/>
      <c r="K81" s="284"/>
      <c r="L81" s="284"/>
      <c r="M81" s="284"/>
      <c r="N81" s="284"/>
      <c r="O81" s="284"/>
      <c r="P81" s="284"/>
      <c r="Q81" s="284"/>
      <c r="R81" s="284"/>
      <c r="S81" s="284"/>
      <c r="T81" s="284"/>
      <c r="U81" s="85"/>
      <c r="V81" s="15"/>
      <c r="W81" s="113"/>
      <c r="X81" s="71"/>
      <c r="Y81" s="71"/>
      <c r="Z81" s="284"/>
      <c r="AA81" s="71"/>
      <c r="AB81" s="71"/>
      <c r="AC81" s="71"/>
      <c r="AD81" s="71"/>
      <c r="AE81" s="71"/>
      <c r="AF81" s="71"/>
      <c r="AG81" s="71"/>
      <c r="AH81" s="71"/>
      <c r="AI81" s="85"/>
      <c r="AJ81" s="167"/>
      <c r="AK81" s="15"/>
      <c r="AL81" s="15"/>
      <c r="AM81" s="15"/>
      <c r="AN81" s="268"/>
      <c r="AP81" s="310"/>
    </row>
    <row r="82" spans="1:56" ht="12.75" customHeight="1" x14ac:dyDescent="0.2">
      <c r="A82" s="244"/>
      <c r="E82" s="12" t="s">
        <v>110</v>
      </c>
      <c r="F82" s="177"/>
      <c r="G82" s="343"/>
      <c r="H82" s="284">
        <v>58376</v>
      </c>
      <c r="I82" s="379">
        <v>4157.72876</v>
      </c>
      <c r="J82" s="390">
        <v>4152.0489899999993</v>
      </c>
      <c r="K82" s="390">
        <v>4395.3252899999989</v>
      </c>
      <c r="L82" s="390">
        <v>4188.9931699999997</v>
      </c>
      <c r="M82" s="390">
        <v>4202.1022400000002</v>
      </c>
      <c r="N82" s="390">
        <v>4417.0128500000001</v>
      </c>
      <c r="O82" s="70">
        <v>4270.09807</v>
      </c>
      <c r="P82" s="390">
        <v>4275.6802099999995</v>
      </c>
      <c r="Q82" s="390">
        <v>4336.9182999999994</v>
      </c>
      <c r="R82" s="390">
        <v>4580.9539000000004</v>
      </c>
      <c r="S82" s="390">
        <v>4264.4202500000001</v>
      </c>
      <c r="T82" s="390">
        <v>4140.8801599999997</v>
      </c>
      <c r="U82" s="69">
        <v>51382.162189999995</v>
      </c>
      <c r="V82" s="390">
        <v>50134</v>
      </c>
      <c r="W82" s="15">
        <v>4039.0598999999997</v>
      </c>
      <c r="X82" s="284">
        <v>4205.4507000000003</v>
      </c>
      <c r="Y82" s="68">
        <v>4098.4674199999999</v>
      </c>
      <c r="Z82" s="390">
        <v>4155.7942599999997</v>
      </c>
      <c r="AA82" s="284">
        <v>4133.72408</v>
      </c>
      <c r="AB82" s="284">
        <v>4136.5518499999998</v>
      </c>
      <c r="AC82" s="284">
        <v>4172.12284</v>
      </c>
      <c r="AD82" s="284">
        <v>4225.33914</v>
      </c>
      <c r="AE82" s="284">
        <v>4112.3842999999997</v>
      </c>
      <c r="AF82" s="284">
        <v>4184.84184</v>
      </c>
      <c r="AG82" s="284">
        <v>4219.8515199999993</v>
      </c>
      <c r="AH82" s="284">
        <v>4450.3918400000002</v>
      </c>
      <c r="AI82" s="85">
        <v>50133.979689999993</v>
      </c>
      <c r="AJ82" s="167"/>
      <c r="AK82" s="15"/>
      <c r="AL82" s="15"/>
      <c r="AM82" s="15"/>
      <c r="AN82" s="268"/>
      <c r="AP82" s="310"/>
    </row>
    <row r="83" spans="1:56" ht="12.75" customHeight="1" x14ac:dyDescent="0.2">
      <c r="A83" s="244"/>
      <c r="B83" s="451"/>
      <c r="E83" s="67" t="s">
        <v>111</v>
      </c>
      <c r="F83" s="177"/>
      <c r="G83" s="343"/>
      <c r="H83" s="284">
        <v>4900</v>
      </c>
      <c r="I83" s="390">
        <v>0</v>
      </c>
      <c r="J83" s="390">
        <v>0</v>
      </c>
      <c r="K83" s="390">
        <v>415</v>
      </c>
      <c r="L83" s="284">
        <v>107</v>
      </c>
      <c r="M83" s="284">
        <v>574</v>
      </c>
      <c r="N83" s="284">
        <v>57</v>
      </c>
      <c r="O83" s="66">
        <v>-5</v>
      </c>
      <c r="P83" s="284">
        <v>171</v>
      </c>
      <c r="Q83" s="284">
        <v>187.5</v>
      </c>
      <c r="R83" s="284">
        <v>146.5</v>
      </c>
      <c r="S83" s="284">
        <v>201</v>
      </c>
      <c r="T83" s="284">
        <v>1376.25</v>
      </c>
      <c r="U83" s="85">
        <v>3230.25</v>
      </c>
      <c r="V83" s="390">
        <v>5453</v>
      </c>
      <c r="W83" s="15">
        <v>84.5</v>
      </c>
      <c r="X83" s="284">
        <v>250.25</v>
      </c>
      <c r="Y83" s="65">
        <v>333.5</v>
      </c>
      <c r="Z83" s="284">
        <v>734</v>
      </c>
      <c r="AA83" s="284">
        <v>299</v>
      </c>
      <c r="AB83" s="284">
        <v>400.5</v>
      </c>
      <c r="AC83" s="284">
        <v>319.5</v>
      </c>
      <c r="AD83" s="284">
        <v>794.5</v>
      </c>
      <c r="AE83" s="284">
        <v>51</v>
      </c>
      <c r="AF83" s="284">
        <v>707</v>
      </c>
      <c r="AG83" s="284">
        <v>1065</v>
      </c>
      <c r="AH83" s="284">
        <v>414.5</v>
      </c>
      <c r="AI83" s="85">
        <v>5453.25</v>
      </c>
      <c r="AJ83" s="167"/>
      <c r="AK83" s="15"/>
      <c r="AL83" s="15"/>
      <c r="AM83" s="15"/>
      <c r="AN83" s="268"/>
      <c r="AP83" s="310"/>
    </row>
    <row r="84" spans="1:56" ht="12.75" customHeight="1" x14ac:dyDescent="0.2">
      <c r="A84" s="244"/>
      <c r="E84" s="12" t="s">
        <v>112</v>
      </c>
      <c r="G84" s="347"/>
      <c r="H84" s="284">
        <v>848275</v>
      </c>
      <c r="I84" s="379">
        <v>5135.0639899999996</v>
      </c>
      <c r="J84" s="390">
        <v>16394.861830000002</v>
      </c>
      <c r="K84" s="390">
        <v>18251.204130000002</v>
      </c>
      <c r="L84" s="390">
        <v>13622.154170000002</v>
      </c>
      <c r="M84" s="390">
        <v>31909.072619999999</v>
      </c>
      <c r="N84" s="390">
        <v>43736.20551</v>
      </c>
      <c r="O84" s="70">
        <v>29862.057910000003</v>
      </c>
      <c r="P84" s="390">
        <v>29039.146559999986</v>
      </c>
      <c r="Q84" s="390">
        <v>29489.716899999999</v>
      </c>
      <c r="R84" s="390">
        <v>10190.048159999997</v>
      </c>
      <c r="S84" s="390">
        <v>37538.805999999997</v>
      </c>
      <c r="T84" s="390">
        <v>26639.171519999989</v>
      </c>
      <c r="U84" s="69">
        <v>291807.50929999998</v>
      </c>
      <c r="V84" s="390">
        <v>983247</v>
      </c>
      <c r="W84" s="15">
        <v>16199.328690000013</v>
      </c>
      <c r="X84" s="284">
        <v>22206.400459999986</v>
      </c>
      <c r="Y84" s="68">
        <v>17537.885790000008</v>
      </c>
      <c r="Z84" s="390">
        <v>24756.219070000006</v>
      </c>
      <c r="AA84" s="284">
        <v>20569.356969999983</v>
      </c>
      <c r="AB84" s="284">
        <v>23683.213469999999</v>
      </c>
      <c r="AC84" s="284">
        <v>20479.698150000022</v>
      </c>
      <c r="AD84" s="284">
        <v>21979.039249999976</v>
      </c>
      <c r="AE84" s="284">
        <v>18724.750139999993</v>
      </c>
      <c r="AF84" s="284">
        <v>19091.728890000002</v>
      </c>
      <c r="AG84" s="284">
        <v>19370.458120000003</v>
      </c>
      <c r="AH84" s="284">
        <v>758648.63268000004</v>
      </c>
      <c r="AI84" s="85">
        <v>983246.71167999995</v>
      </c>
      <c r="AJ84" s="167"/>
      <c r="AK84" s="15"/>
      <c r="AL84" s="15"/>
      <c r="AM84" s="15"/>
      <c r="AN84" s="268"/>
      <c r="AP84" s="310"/>
    </row>
    <row r="85" spans="1:56" ht="12.75" customHeight="1" x14ac:dyDescent="0.2">
      <c r="A85" s="244"/>
      <c r="B85" s="451"/>
      <c r="E85" s="12" t="s">
        <v>113</v>
      </c>
      <c r="G85" s="347"/>
      <c r="H85" s="284">
        <v>897859</v>
      </c>
      <c r="I85" s="379">
        <v>53854.645389999998</v>
      </c>
      <c r="J85" s="390">
        <v>60962.062120000017</v>
      </c>
      <c r="K85" s="390">
        <v>73813.136580000049</v>
      </c>
      <c r="L85" s="390">
        <v>69584.14582000002</v>
      </c>
      <c r="M85" s="390">
        <v>97711.810700000002</v>
      </c>
      <c r="N85" s="390">
        <v>74635.367310000016</v>
      </c>
      <c r="O85" s="70">
        <v>76988.876439999993</v>
      </c>
      <c r="P85" s="390">
        <v>85562.79008999998</v>
      </c>
      <c r="Q85" s="390">
        <v>80740.062219999978</v>
      </c>
      <c r="R85" s="390">
        <v>46454.596799999999</v>
      </c>
      <c r="S85" s="390">
        <v>101694.50807</v>
      </c>
      <c r="T85" s="390">
        <v>25679.62226</v>
      </c>
      <c r="U85" s="69">
        <v>847681.62380000006</v>
      </c>
      <c r="V85" s="390">
        <v>1357458</v>
      </c>
      <c r="W85" s="15">
        <v>63984.520299999996</v>
      </c>
      <c r="X85" s="284">
        <v>105068.4385</v>
      </c>
      <c r="Y85" s="68">
        <v>70767.325019999975</v>
      </c>
      <c r="Z85" s="390">
        <v>81030.3946</v>
      </c>
      <c r="AA85" s="284">
        <v>79107.466309999974</v>
      </c>
      <c r="AB85" s="284">
        <v>71105.663699999961</v>
      </c>
      <c r="AC85" s="284">
        <v>80850.049009999973</v>
      </c>
      <c r="AD85" s="284">
        <v>74981.931689999998</v>
      </c>
      <c r="AE85" s="284">
        <v>421312.51058000018</v>
      </c>
      <c r="AF85" s="284">
        <v>80657.74791999998</v>
      </c>
      <c r="AG85" s="284">
        <v>74893.401209999996</v>
      </c>
      <c r="AH85" s="284">
        <v>153698.86502</v>
      </c>
      <c r="AI85" s="85">
        <v>1357458.3138600001</v>
      </c>
      <c r="AJ85" s="167"/>
      <c r="AK85" s="15"/>
      <c r="AL85" s="15"/>
      <c r="AM85" s="15"/>
      <c r="AN85" s="268"/>
      <c r="AP85" s="310"/>
    </row>
    <row r="86" spans="1:56" ht="12.75" customHeight="1" x14ac:dyDescent="0.2">
      <c r="A86" s="244"/>
      <c r="E86" s="752" t="s">
        <v>114</v>
      </c>
      <c r="F86" s="752"/>
      <c r="G86" s="753"/>
      <c r="H86" s="284">
        <v>8897</v>
      </c>
      <c r="I86" s="379">
        <v>158.95270000000002</v>
      </c>
      <c r="J86" s="390">
        <v>317.98962000000006</v>
      </c>
      <c r="K86" s="390">
        <v>376.63499999999999</v>
      </c>
      <c r="L86" s="284">
        <v>613.54687000000001</v>
      </c>
      <c r="M86" s="390">
        <v>490.34724999999997</v>
      </c>
      <c r="N86" s="390">
        <v>305.85806999999994</v>
      </c>
      <c r="O86" s="70">
        <v>398.16741000000007</v>
      </c>
      <c r="P86" s="390">
        <v>314.22257000000002</v>
      </c>
      <c r="Q86" s="390">
        <v>1183.7870400000002</v>
      </c>
      <c r="R86" s="390">
        <v>1586.6431100000002</v>
      </c>
      <c r="S86" s="390">
        <v>667.70110999999997</v>
      </c>
      <c r="T86" s="390">
        <v>174.90087</v>
      </c>
      <c r="U86" s="69">
        <v>6588.7516200000009</v>
      </c>
      <c r="V86" s="390">
        <v>8247</v>
      </c>
      <c r="W86" s="15">
        <v>670.41235999999992</v>
      </c>
      <c r="X86" s="284">
        <v>691.09739999999988</v>
      </c>
      <c r="Y86" s="68">
        <v>288.20190000000002</v>
      </c>
      <c r="Z86" s="390">
        <v>1034.31034</v>
      </c>
      <c r="AA86" s="284">
        <v>598.82432999999992</v>
      </c>
      <c r="AB86" s="284">
        <v>426.37001000000004</v>
      </c>
      <c r="AC86" s="284">
        <v>1306.4145100000001</v>
      </c>
      <c r="AD86" s="284">
        <v>823.61602000000016</v>
      </c>
      <c r="AE86" s="284">
        <v>527.51756</v>
      </c>
      <c r="AF86" s="284">
        <v>899.89923999999985</v>
      </c>
      <c r="AG86" s="284">
        <v>267.71794</v>
      </c>
      <c r="AH86" s="284">
        <v>712.74463000000003</v>
      </c>
      <c r="AI86" s="85">
        <v>8247.1262399999996</v>
      </c>
      <c r="AJ86" s="167"/>
      <c r="AK86" s="15"/>
      <c r="AL86" s="15"/>
      <c r="AM86" s="15"/>
      <c r="AN86" s="268"/>
      <c r="AP86" s="310"/>
    </row>
    <row r="87" spans="1:56" s="451" customFormat="1" ht="12.75" customHeight="1" x14ac:dyDescent="0.2">
      <c r="A87" s="484"/>
      <c r="C87" s="451" t="s">
        <v>115</v>
      </c>
      <c r="F87" s="480"/>
      <c r="G87" s="64"/>
      <c r="H87" s="506">
        <v>629811</v>
      </c>
      <c r="I87" s="63">
        <v>0</v>
      </c>
      <c r="J87" s="63">
        <v>43672.644369999995</v>
      </c>
      <c r="K87" s="63">
        <v>0</v>
      </c>
      <c r="L87" s="63">
        <v>73683.913189999992</v>
      </c>
      <c r="M87" s="63">
        <v>0</v>
      </c>
      <c r="N87" s="63">
        <v>0</v>
      </c>
      <c r="O87" s="62">
        <v>177084.45775999999</v>
      </c>
      <c r="P87" s="63">
        <v>0</v>
      </c>
      <c r="Q87" s="63">
        <v>0</v>
      </c>
      <c r="R87" s="63">
        <v>96854.026969999992</v>
      </c>
      <c r="S87" s="13">
        <v>29871.442620000002</v>
      </c>
      <c r="T87" s="13">
        <v>0</v>
      </c>
      <c r="U87" s="23">
        <v>421166.48491</v>
      </c>
      <c r="V87" s="396">
        <v>388370</v>
      </c>
      <c r="W87" s="20">
        <v>457.86014999999998</v>
      </c>
      <c r="X87" s="95">
        <v>23005.272100000002</v>
      </c>
      <c r="Y87" s="13">
        <v>54417.97105</v>
      </c>
      <c r="Z87" s="13">
        <v>5269.59357</v>
      </c>
      <c r="AA87" s="95">
        <v>154.74808000000002</v>
      </c>
      <c r="AB87" s="95">
        <v>62255.075259999998</v>
      </c>
      <c r="AC87" s="95">
        <v>36439.328559999994</v>
      </c>
      <c r="AD87" s="95">
        <v>88764.374510000009</v>
      </c>
      <c r="AE87" s="95">
        <v>376.91915999999998</v>
      </c>
      <c r="AF87" s="95">
        <v>121.49248000000001</v>
      </c>
      <c r="AG87" s="95">
        <v>36067.773549999998</v>
      </c>
      <c r="AH87" s="95">
        <v>81040.048200000005</v>
      </c>
      <c r="AI87" s="61">
        <v>388370.45666999999</v>
      </c>
      <c r="AJ87" s="109"/>
      <c r="AK87" s="20"/>
      <c r="AL87" s="20"/>
      <c r="AM87" s="20"/>
      <c r="AN87" s="181"/>
      <c r="AO87" s="12"/>
      <c r="AP87" s="413"/>
    </row>
    <row r="88" spans="1:56" s="451" customFormat="1" ht="12.75" customHeight="1" x14ac:dyDescent="0.2">
      <c r="A88" s="484"/>
      <c r="C88" s="451" t="s">
        <v>116</v>
      </c>
      <c r="G88" s="60"/>
      <c r="H88" s="95">
        <v>622404</v>
      </c>
      <c r="I88" s="396">
        <v>3631.05654</v>
      </c>
      <c r="J88" s="396">
        <v>15649.83107</v>
      </c>
      <c r="K88" s="396">
        <v>11308.06079</v>
      </c>
      <c r="L88" s="396">
        <v>19243.870549999996</v>
      </c>
      <c r="M88" s="396">
        <v>45164.593119999998</v>
      </c>
      <c r="N88" s="396">
        <v>22755.888919999998</v>
      </c>
      <c r="O88" s="59">
        <v>46387.177580000003</v>
      </c>
      <c r="P88" s="396">
        <v>17859.362980000002</v>
      </c>
      <c r="Q88" s="396">
        <v>15677.597390000001</v>
      </c>
      <c r="R88" s="396">
        <v>8375.3149599999997</v>
      </c>
      <c r="S88" s="396">
        <v>66572.346090000006</v>
      </c>
      <c r="T88" s="396">
        <v>16329.521520000002</v>
      </c>
      <c r="U88" s="23">
        <v>288954.62151000003</v>
      </c>
      <c r="V88" s="396">
        <v>366722</v>
      </c>
      <c r="W88" s="20">
        <v>11083.14739</v>
      </c>
      <c r="X88" s="95">
        <v>19369.1571</v>
      </c>
      <c r="Y88" s="58">
        <v>23716.632320000001</v>
      </c>
      <c r="Z88" s="396">
        <v>86933.891780000005</v>
      </c>
      <c r="AA88" s="95">
        <v>21805.403830000003</v>
      </c>
      <c r="AB88" s="95">
        <v>23042.901619999997</v>
      </c>
      <c r="AC88" s="95">
        <v>38105.752390000009</v>
      </c>
      <c r="AD88" s="95">
        <v>18607.126390000001</v>
      </c>
      <c r="AE88" s="95">
        <v>18700.432900000003</v>
      </c>
      <c r="AF88" s="95">
        <v>40570.429290000007</v>
      </c>
      <c r="AG88" s="95">
        <v>27400.775330000004</v>
      </c>
      <c r="AH88" s="95">
        <v>37386.33004999999</v>
      </c>
      <c r="AI88" s="61">
        <v>366721.98039000004</v>
      </c>
      <c r="AJ88" s="109"/>
      <c r="AK88" s="20"/>
      <c r="AL88" s="20"/>
      <c r="AM88" s="20"/>
      <c r="AN88" s="181"/>
      <c r="AO88" s="12"/>
      <c r="AP88" s="413"/>
    </row>
    <row r="89" spans="1:56" s="451" customFormat="1" ht="12.75" customHeight="1" x14ac:dyDescent="0.2">
      <c r="A89" s="484"/>
      <c r="C89" s="451" t="s">
        <v>117</v>
      </c>
      <c r="E89" s="480"/>
      <c r="F89" s="480"/>
      <c r="G89" s="64"/>
      <c r="H89" s="506"/>
      <c r="I89" s="63"/>
      <c r="J89" s="13"/>
      <c r="K89" s="13"/>
      <c r="L89" s="13"/>
      <c r="M89" s="13"/>
      <c r="N89" s="13"/>
      <c r="O89" s="13"/>
      <c r="P89" s="13"/>
      <c r="Q89" s="13"/>
      <c r="R89" s="13"/>
      <c r="S89" s="13"/>
      <c r="T89" s="13"/>
      <c r="U89" s="69"/>
      <c r="V89" s="396"/>
      <c r="W89" s="15"/>
      <c r="X89" s="21"/>
      <c r="Y89" s="31"/>
      <c r="Z89" s="31"/>
      <c r="AA89" s="21"/>
      <c r="AB89" s="21"/>
      <c r="AC89" s="21"/>
      <c r="AD89" s="21"/>
      <c r="AE89" s="21"/>
      <c r="AF89" s="21"/>
      <c r="AG89" s="21"/>
      <c r="AH89" s="21"/>
      <c r="AI89" s="61"/>
      <c r="AJ89" s="109"/>
      <c r="AK89" s="20"/>
      <c r="AL89" s="20"/>
      <c r="AM89" s="20"/>
      <c r="AN89" s="181"/>
      <c r="AO89" s="12"/>
      <c r="AP89" s="413"/>
    </row>
    <row r="90" spans="1:56" ht="12.75" customHeight="1" x14ac:dyDescent="0.2">
      <c r="A90" s="244"/>
      <c r="E90" s="177" t="s">
        <v>118</v>
      </c>
      <c r="F90" s="177"/>
      <c r="G90" s="343"/>
      <c r="H90" s="493">
        <v>5659047</v>
      </c>
      <c r="I90" s="379">
        <v>482155.24502999999</v>
      </c>
      <c r="J90" s="379">
        <v>202484.92290999996</v>
      </c>
      <c r="K90" s="379">
        <v>199409.31185</v>
      </c>
      <c r="L90" s="379">
        <v>129830.99192</v>
      </c>
      <c r="M90" s="379">
        <v>317057.09378999996</v>
      </c>
      <c r="N90" s="379">
        <v>234314.62327000001</v>
      </c>
      <c r="O90" s="57">
        <v>2118.2010599999994</v>
      </c>
      <c r="P90" s="379">
        <v>713323.11497</v>
      </c>
      <c r="Q90" s="379">
        <v>543830.14695999993</v>
      </c>
      <c r="R90" s="379">
        <v>362697.36484000005</v>
      </c>
      <c r="S90" s="31">
        <v>823868.29180999997</v>
      </c>
      <c r="T90" s="31">
        <v>2657525.7576899999</v>
      </c>
      <c r="U90" s="32">
        <v>6668615.0660999995</v>
      </c>
      <c r="V90" s="390">
        <v>8447721</v>
      </c>
      <c r="W90" s="15">
        <v>255780.98400999996</v>
      </c>
      <c r="X90" s="284">
        <v>113001.25293000002</v>
      </c>
      <c r="Y90" s="31">
        <v>161237.88804000008</v>
      </c>
      <c r="Z90" s="31">
        <v>271416.64196999982</v>
      </c>
      <c r="AA90" s="284">
        <v>371299.54551000003</v>
      </c>
      <c r="AB90" s="284">
        <v>178286.11244000003</v>
      </c>
      <c r="AC90" s="284">
        <v>228969.74388999998</v>
      </c>
      <c r="AD90" s="284">
        <v>273606.31952999998</v>
      </c>
      <c r="AE90" s="284">
        <v>368984.86741999997</v>
      </c>
      <c r="AF90" s="284">
        <v>314904.80430999998</v>
      </c>
      <c r="AG90" s="284">
        <v>418372.13496000005</v>
      </c>
      <c r="AH90" s="284">
        <v>5491860.5540899998</v>
      </c>
      <c r="AI90" s="85">
        <v>8447720.8490999993</v>
      </c>
      <c r="AJ90" s="167"/>
      <c r="AK90" s="15"/>
      <c r="AL90" s="15"/>
      <c r="AM90" s="15"/>
      <c r="AN90" s="268"/>
      <c r="AP90" s="310"/>
    </row>
    <row r="91" spans="1:56" ht="12.75" customHeight="1" x14ac:dyDescent="0.2">
      <c r="A91" s="244"/>
      <c r="B91" s="451"/>
      <c r="E91" s="177" t="s">
        <v>119</v>
      </c>
      <c r="F91" s="177"/>
      <c r="G91" s="343"/>
      <c r="H91" s="284">
        <v>347829</v>
      </c>
      <c r="I91" s="379">
        <v>0</v>
      </c>
      <c r="J91" s="379">
        <v>0</v>
      </c>
      <c r="K91" s="379">
        <v>0</v>
      </c>
      <c r="L91" s="379">
        <v>216757.96463999999</v>
      </c>
      <c r="M91" s="379">
        <v>0</v>
      </c>
      <c r="N91" s="379">
        <v>0</v>
      </c>
      <c r="O91" s="57">
        <v>0</v>
      </c>
      <c r="P91" s="379">
        <v>0</v>
      </c>
      <c r="Q91" s="379">
        <v>102356.41051999999</v>
      </c>
      <c r="R91" s="379">
        <v>0</v>
      </c>
      <c r="S91" s="390">
        <v>0</v>
      </c>
      <c r="T91" s="390">
        <v>0</v>
      </c>
      <c r="U91" s="69">
        <v>319114.37516</v>
      </c>
      <c r="V91" s="390">
        <v>707447</v>
      </c>
      <c r="W91" s="15">
        <v>0</v>
      </c>
      <c r="X91" s="284">
        <v>0</v>
      </c>
      <c r="Y91" s="68">
        <v>516408.63178</v>
      </c>
      <c r="Z91" s="390">
        <v>0</v>
      </c>
      <c r="AA91" s="284">
        <v>0</v>
      </c>
      <c r="AB91" s="284">
        <v>0</v>
      </c>
      <c r="AC91" s="284">
        <v>0</v>
      </c>
      <c r="AD91" s="284">
        <v>0</v>
      </c>
      <c r="AE91" s="284">
        <v>190418.09088000003</v>
      </c>
      <c r="AF91" s="284">
        <v>0</v>
      </c>
      <c r="AG91" s="284">
        <v>0</v>
      </c>
      <c r="AH91" s="284">
        <v>620</v>
      </c>
      <c r="AI91" s="85">
        <v>707446.72265999997</v>
      </c>
      <c r="AJ91" s="167"/>
      <c r="AK91" s="15"/>
      <c r="AL91" s="15"/>
      <c r="AM91" s="15"/>
      <c r="AN91" s="268"/>
      <c r="AP91" s="310"/>
    </row>
    <row r="92" spans="1:56" ht="12.6" customHeight="1" x14ac:dyDescent="0.2">
      <c r="A92" s="244"/>
      <c r="E92" s="177" t="s">
        <v>120</v>
      </c>
      <c r="F92" s="177"/>
      <c r="G92" s="343"/>
      <c r="H92" s="284">
        <v>14370513.526653398</v>
      </c>
      <c r="I92" s="379">
        <v>1215.8561399999999</v>
      </c>
      <c r="J92" s="379">
        <v>6536.7468999999501</v>
      </c>
      <c r="K92" s="379">
        <v>4667806.4456400005</v>
      </c>
      <c r="L92" s="379">
        <v>-1176720.2021300001</v>
      </c>
      <c r="M92" s="379">
        <v>349787.30255999998</v>
      </c>
      <c r="N92" s="379">
        <v>257470.79566999999</v>
      </c>
      <c r="O92" s="57">
        <v>80879.446850000008</v>
      </c>
      <c r="P92" s="379">
        <v>31856.73014</v>
      </c>
      <c r="Q92" s="379">
        <v>9145970.8990499992</v>
      </c>
      <c r="R92" s="379">
        <v>25594.85658</v>
      </c>
      <c r="S92" s="390">
        <v>216371.08354999998</v>
      </c>
      <c r="T92" s="390">
        <v>525602.26861999999</v>
      </c>
      <c r="U92" s="69">
        <v>14132372.22957</v>
      </c>
      <c r="V92" s="390">
        <v>11831222</v>
      </c>
      <c r="W92" s="15">
        <v>-5657.8327199999994</v>
      </c>
      <c r="X92" s="284">
        <v>41115.461739999999</v>
      </c>
      <c r="Y92" s="68">
        <v>4767655.2598700002</v>
      </c>
      <c r="Z92" s="390">
        <v>9506.9745599999987</v>
      </c>
      <c r="AA92" s="284">
        <v>380607.92888999998</v>
      </c>
      <c r="AB92" s="284">
        <v>232357.98866999999</v>
      </c>
      <c r="AC92" s="284">
        <v>26369.738539999998</v>
      </c>
      <c r="AD92" s="284">
        <v>-2628.7111500000001</v>
      </c>
      <c r="AE92" s="284">
        <v>5648692.5219100006</v>
      </c>
      <c r="AF92" s="284">
        <v>30086.185430000001</v>
      </c>
      <c r="AG92" s="284">
        <v>423557.45937</v>
      </c>
      <c r="AH92" s="284">
        <v>279559.02740000002</v>
      </c>
      <c r="AI92" s="85">
        <v>11831222.002510002</v>
      </c>
      <c r="AJ92" s="167"/>
      <c r="AK92" s="15"/>
      <c r="AL92" s="15"/>
      <c r="AM92" s="15"/>
      <c r="AN92" s="268"/>
      <c r="AP92" s="310"/>
    </row>
    <row r="93" spans="1:56" s="310" customFormat="1" ht="12.75" customHeight="1" x14ac:dyDescent="0.2">
      <c r="A93" s="268"/>
      <c r="E93" s="221" t="s">
        <v>121</v>
      </c>
      <c r="F93" s="221"/>
      <c r="G93" s="343"/>
      <c r="H93" s="454"/>
      <c r="I93" s="379"/>
      <c r="J93" s="379"/>
      <c r="K93" s="379"/>
      <c r="L93" s="379"/>
      <c r="M93" s="379"/>
      <c r="N93" s="379"/>
      <c r="O93" s="57"/>
      <c r="P93" s="379"/>
      <c r="Q93" s="379"/>
      <c r="R93" s="379"/>
      <c r="S93" s="347"/>
      <c r="T93" s="347"/>
      <c r="U93" s="56"/>
      <c r="V93" s="347"/>
      <c r="W93" s="15"/>
      <c r="X93" s="454"/>
      <c r="Y93" s="55"/>
      <c r="Z93" s="347"/>
      <c r="AA93" s="454"/>
      <c r="AB93" s="454"/>
      <c r="AC93" s="454"/>
      <c r="AD93" s="454"/>
      <c r="AE93" s="454"/>
      <c r="AF93" s="454"/>
      <c r="AG93" s="454"/>
      <c r="AH93" s="454"/>
      <c r="AI93" s="85"/>
      <c r="AJ93" s="167"/>
      <c r="AK93" s="15"/>
      <c r="AL93" s="15"/>
      <c r="AM93" s="15"/>
      <c r="AN93" s="268"/>
      <c r="AO93" s="12"/>
      <c r="AR93" s="38"/>
      <c r="AS93" s="38"/>
      <c r="AV93" s="12"/>
    </row>
    <row r="94" spans="1:56" s="310" customFormat="1" ht="12.75" customHeight="1" x14ac:dyDescent="0.2">
      <c r="A94" s="268"/>
      <c r="E94" s="54" t="s">
        <v>122</v>
      </c>
      <c r="F94" s="221"/>
      <c r="G94" s="343"/>
      <c r="H94" s="454">
        <v>14343372.5266534</v>
      </c>
      <c r="I94" s="343">
        <v>380.17591999999996</v>
      </c>
      <c r="J94" s="343">
        <v>6086.8554899999872</v>
      </c>
      <c r="K94" s="343">
        <v>4667661.56489</v>
      </c>
      <c r="L94" s="343">
        <v>-1177127.9675199999</v>
      </c>
      <c r="M94" s="343">
        <v>349172.53522000002</v>
      </c>
      <c r="N94" s="343">
        <v>256221.06475999998</v>
      </c>
      <c r="O94" s="407">
        <v>78001.98659</v>
      </c>
      <c r="P94" s="343">
        <v>30483.555270000001</v>
      </c>
      <c r="Q94" s="343">
        <v>9144973.6955900006</v>
      </c>
      <c r="R94" s="343">
        <v>25125.251239999998</v>
      </c>
      <c r="S94" s="347">
        <v>215507.33799999999</v>
      </c>
      <c r="T94" s="347">
        <v>525371.93869999994</v>
      </c>
      <c r="U94" s="56">
        <v>14121857.99415</v>
      </c>
      <c r="V94" s="459">
        <v>11830241</v>
      </c>
      <c r="W94" s="402">
        <v>-7334.9199100000005</v>
      </c>
      <c r="X94" s="330">
        <v>36755.333070000008</v>
      </c>
      <c r="Y94" s="55">
        <v>4765511.9956200002</v>
      </c>
      <c r="Z94" s="347">
        <v>6054.1492800000005</v>
      </c>
      <c r="AA94" s="330">
        <v>379623.93800000002</v>
      </c>
      <c r="AB94" s="330">
        <v>229496.76089999999</v>
      </c>
      <c r="AC94" s="330">
        <v>24177.015530000001</v>
      </c>
      <c r="AD94" s="330">
        <v>-4490</v>
      </c>
      <c r="AE94" s="330">
        <v>5647202.7313400004</v>
      </c>
      <c r="AF94" s="330">
        <v>29194.527320000001</v>
      </c>
      <c r="AG94" s="330">
        <v>422131.29044999997</v>
      </c>
      <c r="AH94" s="330">
        <v>301918.21046999999</v>
      </c>
      <c r="AI94" s="196">
        <v>11830241.03207</v>
      </c>
      <c r="AJ94" s="298"/>
      <c r="AK94" s="402"/>
      <c r="AL94" s="402"/>
      <c r="AM94" s="402"/>
      <c r="AN94" s="268"/>
      <c r="AO94" s="12"/>
      <c r="AV94" s="12"/>
    </row>
    <row r="95" spans="1:56" s="451" customFormat="1" x14ac:dyDescent="0.2">
      <c r="A95" s="484"/>
      <c r="C95" s="451" t="s">
        <v>123</v>
      </c>
      <c r="E95" s="480"/>
      <c r="F95" s="480"/>
      <c r="G95" s="64"/>
      <c r="H95" s="95">
        <v>128391</v>
      </c>
      <c r="I95" s="63">
        <v>2077.8758600000001</v>
      </c>
      <c r="J95" s="63">
        <v>46.144419999999997</v>
      </c>
      <c r="K95" s="63">
        <v>916.66796999999997</v>
      </c>
      <c r="L95" s="63">
        <v>23713.248240000001</v>
      </c>
      <c r="M95" s="63">
        <v>6222.0098100000005</v>
      </c>
      <c r="N95" s="63">
        <v>20620.294889999997</v>
      </c>
      <c r="O95" s="62">
        <v>9263.0954299999994</v>
      </c>
      <c r="P95" s="63">
        <v>5920.0318499999994</v>
      </c>
      <c r="Q95" s="63">
        <v>27392.769390000001</v>
      </c>
      <c r="R95" s="63">
        <v>92.042209999999997</v>
      </c>
      <c r="S95" s="63">
        <v>5223.4684299999999</v>
      </c>
      <c r="T95" s="396">
        <v>1486.9614100000001</v>
      </c>
      <c r="U95" s="227">
        <v>102974.60991</v>
      </c>
      <c r="V95" s="396">
        <v>119090</v>
      </c>
      <c r="W95" s="20">
        <v>5438.2048099999993</v>
      </c>
      <c r="X95" s="95">
        <v>6565.1272600000011</v>
      </c>
      <c r="Y95" s="58">
        <v>656.6812000000001</v>
      </c>
      <c r="Z95" s="396">
        <v>12160.331600000001</v>
      </c>
      <c r="AA95" s="95">
        <v>7938.5100700000003</v>
      </c>
      <c r="AB95" s="95">
        <v>2807.8927999999996</v>
      </c>
      <c r="AC95" s="95">
        <v>23742.665419999998</v>
      </c>
      <c r="AD95" s="95">
        <v>12790.411450000001</v>
      </c>
      <c r="AE95" s="95">
        <v>6513.8173900000002</v>
      </c>
      <c r="AF95" s="95">
        <v>8706.8478699999996</v>
      </c>
      <c r="AG95" s="95">
        <v>5262.6681800000006</v>
      </c>
      <c r="AH95" s="95">
        <v>26506.888299999999</v>
      </c>
      <c r="AI95" s="61">
        <v>119090.04634999999</v>
      </c>
      <c r="AJ95" s="109"/>
      <c r="AK95" s="20"/>
      <c r="AL95" s="20"/>
      <c r="AM95" s="20"/>
      <c r="AN95" s="181"/>
      <c r="AO95" s="12"/>
      <c r="AP95" s="413"/>
      <c r="BD95" s="379"/>
    </row>
    <row r="96" spans="1:56" s="451" customFormat="1" ht="12" customHeight="1" x14ac:dyDescent="0.2">
      <c r="A96" s="484"/>
      <c r="C96" s="451" t="s">
        <v>124</v>
      </c>
      <c r="G96" s="64"/>
      <c r="H96" s="396">
        <v>28398679.999999996</v>
      </c>
      <c r="I96" s="396">
        <v>1280906.1494</v>
      </c>
      <c r="J96" s="396">
        <v>2831956.80357</v>
      </c>
      <c r="K96" s="95">
        <v>3354975.8379500001</v>
      </c>
      <c r="L96" s="95">
        <v>3570494.8566899998</v>
      </c>
      <c r="M96" s="95">
        <v>3443987.6545199999</v>
      </c>
      <c r="N96" s="95">
        <v>2033907.35246</v>
      </c>
      <c r="O96" s="384">
        <v>2567242.0062000002</v>
      </c>
      <c r="P96" s="95">
        <v>952582.22594999999</v>
      </c>
      <c r="Q96" s="95">
        <v>2736198.0122500001</v>
      </c>
      <c r="R96" s="95">
        <v>1380303.59246</v>
      </c>
      <c r="S96" s="95">
        <v>615788.18769000005</v>
      </c>
      <c r="T96" s="95">
        <v>1731897.7018800001</v>
      </c>
      <c r="U96" s="61">
        <v>26500240.381019998</v>
      </c>
      <c r="V96" s="396">
        <v>16129089.501609996</v>
      </c>
      <c r="W96" s="20">
        <v>1235326.4612799999</v>
      </c>
      <c r="X96" s="95">
        <v>5593836.7601199998</v>
      </c>
      <c r="Y96" s="281">
        <v>284186.87654999999</v>
      </c>
      <c r="Z96" s="95">
        <v>296558.83786999999</v>
      </c>
      <c r="AA96" s="95">
        <v>602188.26864000002</v>
      </c>
      <c r="AB96" s="95">
        <v>555439.60193999996</v>
      </c>
      <c r="AC96" s="95">
        <v>213671.71426000001</v>
      </c>
      <c r="AD96" s="95">
        <v>421742.44568</v>
      </c>
      <c r="AE96" s="95">
        <v>178106.67632</v>
      </c>
      <c r="AF96" s="95">
        <v>345909.19066999998</v>
      </c>
      <c r="AG96" s="95">
        <v>600528.02382999996</v>
      </c>
      <c r="AH96" s="95">
        <v>5801595.0831000004</v>
      </c>
      <c r="AI96" s="61">
        <v>16129089.940260002</v>
      </c>
      <c r="AJ96" s="109"/>
      <c r="AK96" s="20"/>
      <c r="AL96" s="20"/>
      <c r="AM96" s="20"/>
      <c r="AN96" s="181"/>
      <c r="AO96" s="12"/>
      <c r="AP96" s="12"/>
    </row>
    <row r="97" spans="1:42" ht="12" hidden="1" customHeight="1" x14ac:dyDescent="0.2">
      <c r="A97" s="244"/>
      <c r="E97" s="12" t="s">
        <v>125</v>
      </c>
      <c r="G97" s="180"/>
      <c r="H97" s="284">
        <v>0</v>
      </c>
      <c r="I97" s="284">
        <v>0</v>
      </c>
      <c r="J97" s="284">
        <v>0</v>
      </c>
      <c r="K97" s="284">
        <v>0</v>
      </c>
      <c r="L97" s="284">
        <v>0</v>
      </c>
      <c r="M97" s="284">
        <v>0</v>
      </c>
      <c r="N97" s="284">
        <v>0</v>
      </c>
      <c r="O97" s="66">
        <v>0</v>
      </c>
      <c r="P97" s="284">
        <v>0</v>
      </c>
      <c r="Q97" s="284">
        <v>0</v>
      </c>
      <c r="R97" s="284">
        <v>0</v>
      </c>
      <c r="S97" s="284">
        <v>0</v>
      </c>
      <c r="T97" s="284">
        <v>0</v>
      </c>
      <c r="U97" s="85">
        <v>0</v>
      </c>
      <c r="V97" s="390">
        <v>0</v>
      </c>
      <c r="W97" s="15">
        <v>0</v>
      </c>
      <c r="X97" s="284">
        <v>0</v>
      </c>
      <c r="Y97" s="499">
        <v>0</v>
      </c>
      <c r="Z97" s="284">
        <v>0</v>
      </c>
      <c r="AA97" s="284">
        <v>0</v>
      </c>
      <c r="AB97" s="284">
        <v>0</v>
      </c>
      <c r="AC97" s="284">
        <v>0</v>
      </c>
      <c r="AD97" s="284">
        <v>0</v>
      </c>
      <c r="AE97" s="284">
        <v>0</v>
      </c>
      <c r="AF97" s="284">
        <v>0</v>
      </c>
      <c r="AG97" s="284">
        <v>0</v>
      </c>
      <c r="AH97" s="284">
        <v>0</v>
      </c>
      <c r="AI97" s="85">
        <v>0</v>
      </c>
      <c r="AJ97" s="167"/>
      <c r="AK97" s="15"/>
      <c r="AL97" s="15"/>
      <c r="AM97" s="15"/>
      <c r="AN97" s="268"/>
      <c r="AP97" s="310"/>
    </row>
    <row r="98" spans="1:42" ht="12.75" hidden="1" customHeight="1" x14ac:dyDescent="0.2">
      <c r="A98" s="244"/>
      <c r="E98" s="101" t="s">
        <v>126</v>
      </c>
      <c r="F98" s="300"/>
      <c r="G98" s="177"/>
      <c r="H98" s="507">
        <v>3841</v>
      </c>
      <c r="I98" s="284">
        <v>0</v>
      </c>
      <c r="J98" s="284">
        <v>0</v>
      </c>
      <c r="K98" s="284">
        <v>0</v>
      </c>
      <c r="L98" s="284">
        <v>0</v>
      </c>
      <c r="M98" s="284">
        <v>0</v>
      </c>
      <c r="N98" s="284">
        <v>0</v>
      </c>
      <c r="O98" s="66">
        <v>0</v>
      </c>
      <c r="P98" s="284">
        <v>1684.28188</v>
      </c>
      <c r="Q98" s="284">
        <v>0</v>
      </c>
      <c r="R98" s="284">
        <v>0</v>
      </c>
      <c r="S98" s="284">
        <v>1445.9382700000001</v>
      </c>
      <c r="T98" s="284">
        <v>0</v>
      </c>
      <c r="U98" s="85">
        <v>3130.2201500000001</v>
      </c>
      <c r="V98" s="390">
        <v>0</v>
      </c>
      <c r="W98" s="15">
        <v>0</v>
      </c>
      <c r="X98" s="284">
        <v>0</v>
      </c>
      <c r="Y98" s="499">
        <v>0</v>
      </c>
      <c r="Z98" s="284">
        <v>1504.76965</v>
      </c>
      <c r="AA98" s="284">
        <v>0</v>
      </c>
      <c r="AB98" s="284">
        <v>0</v>
      </c>
      <c r="AC98" s="284">
        <v>0.5438099999999999</v>
      </c>
      <c r="AD98" s="284">
        <v>0</v>
      </c>
      <c r="AE98" s="284">
        <v>1593.09617</v>
      </c>
      <c r="AF98" s="284">
        <v>0</v>
      </c>
      <c r="AG98" s="284">
        <v>-0.45380999999999999</v>
      </c>
      <c r="AH98" s="284">
        <v>-3098</v>
      </c>
      <c r="AI98" s="85">
        <v>-4.4179999999869324E-2</v>
      </c>
      <c r="AJ98" s="167"/>
      <c r="AK98" s="15"/>
      <c r="AL98" s="15"/>
      <c r="AM98" s="15"/>
      <c r="AN98" s="268"/>
      <c r="AP98" s="310"/>
    </row>
    <row r="99" spans="1:42" ht="12.75" hidden="1" customHeight="1" x14ac:dyDescent="0.2">
      <c r="A99" s="244"/>
      <c r="E99" s="177" t="s">
        <v>127</v>
      </c>
      <c r="F99" s="300"/>
      <c r="G99" s="177"/>
      <c r="H99" s="507">
        <v>283978</v>
      </c>
      <c r="I99" s="284">
        <v>18853.483210000002</v>
      </c>
      <c r="J99" s="284">
        <v>19041.975059999993</v>
      </c>
      <c r="K99" s="284">
        <v>21892.433510000003</v>
      </c>
      <c r="L99" s="284">
        <v>14593.450540000005</v>
      </c>
      <c r="M99" s="284">
        <v>15284.014260000007</v>
      </c>
      <c r="N99" s="284">
        <v>28338.520590000004</v>
      </c>
      <c r="O99" s="66">
        <v>15376.661620000003</v>
      </c>
      <c r="P99" s="284">
        <v>30534.247729999999</v>
      </c>
      <c r="Q99" s="284">
        <v>22950.118330000001</v>
      </c>
      <c r="R99" s="284">
        <v>5686.7550499999998</v>
      </c>
      <c r="S99" s="284">
        <v>36397.625690000001</v>
      </c>
      <c r="T99" s="284">
        <v>22146.455149999998</v>
      </c>
      <c r="U99" s="85">
        <v>251095.74074000004</v>
      </c>
      <c r="V99" s="390">
        <v>628717</v>
      </c>
      <c r="W99" s="15">
        <v>24408.137859999999</v>
      </c>
      <c r="X99" s="284">
        <v>40689.833230000011</v>
      </c>
      <c r="Y99" s="499">
        <v>18392.487480000003</v>
      </c>
      <c r="Z99" s="284">
        <v>35678.211889999991</v>
      </c>
      <c r="AA99" s="284">
        <v>26279.083500000001</v>
      </c>
      <c r="AB99" s="284">
        <v>33922.239409999995</v>
      </c>
      <c r="AC99" s="284">
        <v>25873.676879999995</v>
      </c>
      <c r="AD99" s="284">
        <v>27443.008200000007</v>
      </c>
      <c r="AE99" s="284">
        <v>17919.739340000004</v>
      </c>
      <c r="AF99" s="284">
        <v>22053.832720000002</v>
      </c>
      <c r="AG99" s="284">
        <v>31630.425299999995</v>
      </c>
      <c r="AH99" s="284">
        <v>324426.46088000003</v>
      </c>
      <c r="AI99" s="85">
        <v>628717.13669000007</v>
      </c>
      <c r="AJ99" s="167"/>
      <c r="AK99" s="15"/>
      <c r="AL99" s="15"/>
      <c r="AM99" s="15"/>
      <c r="AN99" s="268"/>
      <c r="AP99" s="310"/>
    </row>
    <row r="100" spans="1:42" ht="12.75" hidden="1" customHeight="1" x14ac:dyDescent="0.2">
      <c r="A100" s="244"/>
      <c r="E100" s="177" t="s">
        <v>128</v>
      </c>
      <c r="F100" s="300"/>
      <c r="G100" s="177"/>
      <c r="H100" s="507">
        <v>741138.66653866321</v>
      </c>
      <c r="I100" s="284">
        <v>25563.66619</v>
      </c>
      <c r="J100" s="284">
        <v>5774.8285100000012</v>
      </c>
      <c r="K100" s="284">
        <v>13129.404440000004</v>
      </c>
      <c r="L100" s="284">
        <v>5578.4061500000007</v>
      </c>
      <c r="M100" s="284">
        <v>267196.64026000001</v>
      </c>
      <c r="N100" s="284">
        <v>63991.831869999995</v>
      </c>
      <c r="O100" s="66">
        <v>-29546.655419999999</v>
      </c>
      <c r="P100" s="284">
        <v>19805.696339999999</v>
      </c>
      <c r="Q100" s="284">
        <v>14294.893919999999</v>
      </c>
      <c r="R100" s="284">
        <v>13896.837409999998</v>
      </c>
      <c r="S100" s="284">
        <v>3720.6237299999984</v>
      </c>
      <c r="T100" s="284">
        <v>72690.246729999999</v>
      </c>
      <c r="U100" s="85">
        <v>476096.42012999998</v>
      </c>
      <c r="V100" s="390">
        <v>1219450.501609996</v>
      </c>
      <c r="W100" s="15">
        <v>19400.323420000001</v>
      </c>
      <c r="X100" s="284">
        <v>30768.926889999999</v>
      </c>
      <c r="Y100" s="499">
        <v>72466.38906999999</v>
      </c>
      <c r="Z100" s="284">
        <v>22547.856329999999</v>
      </c>
      <c r="AA100" s="284">
        <v>39028.185140000001</v>
      </c>
      <c r="AB100" s="284">
        <v>211872.36252999995</v>
      </c>
      <c r="AC100" s="284">
        <v>38218.493570000006</v>
      </c>
      <c r="AD100" s="284">
        <v>4322.4374799999996</v>
      </c>
      <c r="AE100" s="284">
        <v>15308.84081</v>
      </c>
      <c r="AF100" s="284">
        <v>16302.357950000001</v>
      </c>
      <c r="AG100" s="284">
        <v>10483.05234</v>
      </c>
      <c r="AH100" s="284">
        <v>738731.62222000002</v>
      </c>
      <c r="AI100" s="85">
        <v>1219450.84775</v>
      </c>
      <c r="AJ100" s="167"/>
      <c r="AK100" s="15"/>
      <c r="AL100" s="15"/>
      <c r="AM100" s="15"/>
      <c r="AN100" s="268"/>
      <c r="AP100" s="310"/>
    </row>
    <row r="101" spans="1:42" ht="12.75" hidden="1" customHeight="1" x14ac:dyDescent="0.2">
      <c r="A101" s="244"/>
      <c r="E101" s="300" t="s">
        <v>129</v>
      </c>
      <c r="F101" s="300"/>
      <c r="G101" s="177"/>
      <c r="H101" s="508"/>
      <c r="I101" s="284">
        <v>0</v>
      </c>
      <c r="J101" s="284">
        <v>0</v>
      </c>
      <c r="K101" s="284">
        <v>0</v>
      </c>
      <c r="L101" s="284">
        <v>0</v>
      </c>
      <c r="M101" s="284">
        <v>0</v>
      </c>
      <c r="N101" s="284">
        <v>0</v>
      </c>
      <c r="O101" s="66">
        <v>0</v>
      </c>
      <c r="P101" s="284">
        <v>0</v>
      </c>
      <c r="Q101" s="284">
        <v>0</v>
      </c>
      <c r="R101" s="284">
        <v>0</v>
      </c>
      <c r="S101" s="284">
        <v>0</v>
      </c>
      <c r="T101" s="284">
        <v>0</v>
      </c>
      <c r="U101" s="85">
        <v>0</v>
      </c>
      <c r="V101" s="390">
        <v>146.27474000000001</v>
      </c>
      <c r="W101" s="15">
        <v>0</v>
      </c>
      <c r="X101" s="284">
        <v>0</v>
      </c>
      <c r="Y101" s="499">
        <v>0</v>
      </c>
      <c r="Z101" s="284">
        <v>146.15614000000002</v>
      </c>
      <c r="AA101" s="284">
        <v>0.1186</v>
      </c>
      <c r="AB101" s="284">
        <v>0</v>
      </c>
      <c r="AC101" s="284">
        <v>0</v>
      </c>
      <c r="AD101" s="284">
        <v>0</v>
      </c>
      <c r="AE101" s="284">
        <v>0</v>
      </c>
      <c r="AF101" s="284">
        <v>0</v>
      </c>
      <c r="AG101" s="284">
        <v>9.8306100000000001</v>
      </c>
      <c r="AH101" s="284">
        <v>-10</v>
      </c>
      <c r="AI101" s="85">
        <v>146.10535000000002</v>
      </c>
      <c r="AJ101" s="167"/>
      <c r="AK101" s="15"/>
      <c r="AL101" s="15"/>
      <c r="AM101" s="15"/>
      <c r="AN101" s="268"/>
      <c r="AP101" s="310"/>
    </row>
    <row r="102" spans="1:42" ht="12.75" hidden="1" customHeight="1" x14ac:dyDescent="0.2">
      <c r="A102" s="244"/>
      <c r="E102" s="300" t="s">
        <v>130</v>
      </c>
      <c r="F102" s="300"/>
      <c r="G102" s="177"/>
      <c r="H102" s="508"/>
      <c r="I102" s="284">
        <v>0</v>
      </c>
      <c r="J102" s="284">
        <v>0</v>
      </c>
      <c r="K102" s="284">
        <v>0</v>
      </c>
      <c r="L102" s="284">
        <v>0</v>
      </c>
      <c r="M102" s="284">
        <v>0</v>
      </c>
      <c r="N102" s="284">
        <v>302.06428999999997</v>
      </c>
      <c r="O102" s="66">
        <v>0</v>
      </c>
      <c r="P102" s="284">
        <v>381.37377000000004</v>
      </c>
      <c r="Q102" s="284">
        <v>2.9999999999999997E-5</v>
      </c>
      <c r="R102" s="284">
        <v>0</v>
      </c>
      <c r="S102" s="284">
        <v>0</v>
      </c>
      <c r="T102" s="284">
        <v>-51.736460000000001</v>
      </c>
      <c r="U102" s="85">
        <v>631.70163000000002</v>
      </c>
      <c r="V102" s="390">
        <v>312.76666</v>
      </c>
      <c r="W102" s="15">
        <v>0</v>
      </c>
      <c r="X102" s="284">
        <v>0</v>
      </c>
      <c r="Y102" s="499">
        <v>0</v>
      </c>
      <c r="Z102" s="284">
        <v>0</v>
      </c>
      <c r="AA102" s="284">
        <v>0</v>
      </c>
      <c r="AB102" s="284">
        <v>315.85041999999999</v>
      </c>
      <c r="AC102" s="284">
        <v>0</v>
      </c>
      <c r="AD102" s="284">
        <v>0</v>
      </c>
      <c r="AE102" s="284">
        <v>-3.0837600000000003</v>
      </c>
      <c r="AF102" s="284">
        <v>0</v>
      </c>
      <c r="AG102" s="284">
        <v>0</v>
      </c>
      <c r="AH102" s="284">
        <v>0</v>
      </c>
      <c r="AI102" s="85">
        <v>312.76666</v>
      </c>
      <c r="AJ102" s="167"/>
      <c r="AK102" s="15"/>
      <c r="AL102" s="15"/>
      <c r="AM102" s="15"/>
      <c r="AN102" s="268"/>
      <c r="AP102" s="310"/>
    </row>
    <row r="103" spans="1:42" ht="12.75" hidden="1" customHeight="1" x14ac:dyDescent="0.2">
      <c r="A103" s="244"/>
      <c r="E103" s="300" t="s">
        <v>131</v>
      </c>
      <c r="F103" s="300"/>
      <c r="G103" s="177"/>
      <c r="H103" s="508"/>
      <c r="I103" s="284">
        <v>8.3993099999999998</v>
      </c>
      <c r="J103" s="284">
        <v>25.462820000000001</v>
      </c>
      <c r="K103" s="284">
        <v>12.84346</v>
      </c>
      <c r="L103" s="284">
        <v>21.300079999999998</v>
      </c>
      <c r="M103" s="284">
        <v>7.3093099999999991</v>
      </c>
      <c r="N103" s="284">
        <v>29.079369999999997</v>
      </c>
      <c r="O103" s="66">
        <v>66.143919999999994</v>
      </c>
      <c r="P103" s="284">
        <v>45.126700000000007</v>
      </c>
      <c r="Q103" s="284">
        <v>55.980720000000005</v>
      </c>
      <c r="R103" s="284">
        <v>28.646909999999998</v>
      </c>
      <c r="S103" s="284">
        <v>17.493460000000002</v>
      </c>
      <c r="T103" s="284">
        <v>86.84344999999999</v>
      </c>
      <c r="U103" s="85">
        <v>404.62950999999998</v>
      </c>
      <c r="V103" s="390">
        <v>1995.3980900000004</v>
      </c>
      <c r="W103" s="15">
        <v>202.31643999999997</v>
      </c>
      <c r="X103" s="284">
        <v>230.16913</v>
      </c>
      <c r="Y103" s="499">
        <v>314.65265000000005</v>
      </c>
      <c r="Z103" s="284">
        <v>233.35162999999997</v>
      </c>
      <c r="AA103" s="284">
        <v>122.42274999999999</v>
      </c>
      <c r="AB103" s="284">
        <v>211.89459000000002</v>
      </c>
      <c r="AC103" s="284">
        <v>209.71519000000001</v>
      </c>
      <c r="AD103" s="284">
        <v>261.80095999999998</v>
      </c>
      <c r="AE103" s="284">
        <v>108.26355</v>
      </c>
      <c r="AF103" s="284">
        <v>100.8112</v>
      </c>
      <c r="AG103" s="284">
        <v>241.22172999999998</v>
      </c>
      <c r="AH103" s="284">
        <v>-241.63802000000001</v>
      </c>
      <c r="AI103" s="85">
        <v>1994.9818000000002</v>
      </c>
      <c r="AJ103" s="167"/>
      <c r="AK103" s="15"/>
      <c r="AL103" s="15"/>
      <c r="AM103" s="15"/>
      <c r="AN103" s="268"/>
      <c r="AP103" s="310"/>
    </row>
    <row r="104" spans="1:42" ht="12.75" hidden="1" customHeight="1" x14ac:dyDescent="0.2">
      <c r="A104" s="244"/>
      <c r="E104" s="300" t="s">
        <v>132</v>
      </c>
      <c r="F104" s="300"/>
      <c r="G104" s="177"/>
      <c r="H104" s="508"/>
      <c r="I104" s="284">
        <v>0</v>
      </c>
      <c r="J104" s="284">
        <v>1.4</v>
      </c>
      <c r="K104" s="284">
        <v>0.6</v>
      </c>
      <c r="L104" s="284">
        <v>0</v>
      </c>
      <c r="M104" s="284">
        <v>0</v>
      </c>
      <c r="N104" s="284">
        <v>6.69</v>
      </c>
      <c r="O104" s="66">
        <v>3.9540000000000002</v>
      </c>
      <c r="P104" s="284">
        <v>1.5788200000000001</v>
      </c>
      <c r="Q104" s="284">
        <v>7.8070000000000004</v>
      </c>
      <c r="R104" s="284">
        <v>4.5510000000000002</v>
      </c>
      <c r="S104" s="284">
        <v>0</v>
      </c>
      <c r="T104" s="284">
        <v>2.4750000000000001</v>
      </c>
      <c r="U104" s="85">
        <v>29.055820000000004</v>
      </c>
      <c r="V104" s="390">
        <v>23.028639999999999</v>
      </c>
      <c r="W104" s="15">
        <v>5.7514599999999998</v>
      </c>
      <c r="X104" s="284">
        <v>9.6931799999999999</v>
      </c>
      <c r="Y104" s="499">
        <v>0.63600000000000001</v>
      </c>
      <c r="Z104" s="284">
        <v>1.59</v>
      </c>
      <c r="AA104" s="284">
        <v>0.47699999999999998</v>
      </c>
      <c r="AB104" s="284">
        <v>1.9079999999999999</v>
      </c>
      <c r="AC104" s="284">
        <v>0</v>
      </c>
      <c r="AD104" s="284">
        <v>0.69599999999999995</v>
      </c>
      <c r="AE104" s="284">
        <v>0.9</v>
      </c>
      <c r="AF104" s="284">
        <v>1.377</v>
      </c>
      <c r="AG104" s="284">
        <v>2.6335000000000002</v>
      </c>
      <c r="AH104" s="284">
        <v>-2.9639999999999986</v>
      </c>
      <c r="AI104" s="85">
        <v>22.698140000000002</v>
      </c>
      <c r="AJ104" s="167"/>
      <c r="AK104" s="15"/>
      <c r="AL104" s="15"/>
      <c r="AM104" s="15"/>
      <c r="AN104" s="268"/>
      <c r="AP104" s="310"/>
    </row>
    <row r="105" spans="1:42" ht="12.75" hidden="1" customHeight="1" x14ac:dyDescent="0.2">
      <c r="A105" s="244"/>
      <c r="E105" s="300" t="s">
        <v>133</v>
      </c>
      <c r="F105" s="300"/>
      <c r="G105" s="177"/>
      <c r="H105" s="508"/>
      <c r="I105" s="284">
        <v>0</v>
      </c>
      <c r="J105" s="284">
        <v>0</v>
      </c>
      <c r="K105" s="284">
        <v>0</v>
      </c>
      <c r="L105" s="284">
        <v>0</v>
      </c>
      <c r="M105" s="284">
        <v>0</v>
      </c>
      <c r="N105" s="284">
        <v>0</v>
      </c>
      <c r="O105" s="66">
        <v>0</v>
      </c>
      <c r="P105" s="284">
        <v>0</v>
      </c>
      <c r="Q105" s="284">
        <v>0</v>
      </c>
      <c r="R105" s="284">
        <v>0</v>
      </c>
      <c r="S105" s="284">
        <v>0</v>
      </c>
      <c r="T105" s="284">
        <v>0</v>
      </c>
      <c r="U105" s="85">
        <v>0</v>
      </c>
      <c r="V105" s="390">
        <v>0</v>
      </c>
      <c r="W105" s="15">
        <v>0</v>
      </c>
      <c r="X105" s="284">
        <v>0</v>
      </c>
      <c r="Y105" s="499">
        <v>0</v>
      </c>
      <c r="Z105" s="284">
        <v>0</v>
      </c>
      <c r="AA105" s="284">
        <v>0</v>
      </c>
      <c r="AB105" s="284">
        <v>0</v>
      </c>
      <c r="AC105" s="284">
        <v>0</v>
      </c>
      <c r="AD105" s="284">
        <v>0</v>
      </c>
      <c r="AE105" s="284">
        <v>0</v>
      </c>
      <c r="AF105" s="284">
        <v>0</v>
      </c>
      <c r="AG105" s="284">
        <v>0</v>
      </c>
      <c r="AH105" s="284">
        <v>0</v>
      </c>
      <c r="AI105" s="85">
        <v>0</v>
      </c>
      <c r="AJ105" s="167"/>
      <c r="AK105" s="15"/>
      <c r="AL105" s="15"/>
      <c r="AM105" s="15"/>
      <c r="AN105" s="268"/>
      <c r="AP105" s="310"/>
    </row>
    <row r="106" spans="1:42" ht="12.75" hidden="1" customHeight="1" x14ac:dyDescent="0.2">
      <c r="A106" s="244"/>
      <c r="E106" s="300" t="s">
        <v>134</v>
      </c>
      <c r="F106" s="300"/>
      <c r="G106" s="177"/>
      <c r="H106" s="508"/>
      <c r="I106" s="284">
        <v>0</v>
      </c>
      <c r="J106" s="284">
        <v>4.8891</v>
      </c>
      <c r="K106" s="284">
        <v>63.836120000000001</v>
      </c>
      <c r="L106" s="284">
        <v>760.40255000000002</v>
      </c>
      <c r="M106" s="284">
        <v>688.91276000000005</v>
      </c>
      <c r="N106" s="284">
        <v>77.621660000000006</v>
      </c>
      <c r="O106" s="66">
        <v>1381.0489299999999</v>
      </c>
      <c r="P106" s="284">
        <v>-16.588349999999998</v>
      </c>
      <c r="Q106" s="284">
        <v>-6.0867899999999997</v>
      </c>
      <c r="R106" s="284">
        <v>-683.21487000000002</v>
      </c>
      <c r="S106" s="284">
        <v>0</v>
      </c>
      <c r="T106" s="284">
        <v>0</v>
      </c>
      <c r="U106" s="85">
        <v>2270.8211099999999</v>
      </c>
      <c r="V106" s="390">
        <v>3034.8514799999994</v>
      </c>
      <c r="W106" s="15">
        <v>1.0000000000000001E-5</v>
      </c>
      <c r="X106" s="284">
        <v>216.50257999999999</v>
      </c>
      <c r="Y106" s="499">
        <v>999.02687000000003</v>
      </c>
      <c r="Z106" s="284">
        <v>0.58432000000000006</v>
      </c>
      <c r="AA106" s="284">
        <v>41.032969999999999</v>
      </c>
      <c r="AB106" s="284">
        <v>473.41998999999998</v>
      </c>
      <c r="AC106" s="284">
        <v>467.36171999999999</v>
      </c>
      <c r="AD106" s="284">
        <v>205.60878</v>
      </c>
      <c r="AE106" s="284">
        <v>328.97113000000002</v>
      </c>
      <c r="AF106" s="284">
        <v>302.34310999999997</v>
      </c>
      <c r="AG106" s="284">
        <v>0</v>
      </c>
      <c r="AH106" s="284">
        <v>0.34915999999998348</v>
      </c>
      <c r="AI106" s="85">
        <v>3035.2006399999991</v>
      </c>
      <c r="AJ106" s="167"/>
      <c r="AK106" s="15"/>
      <c r="AL106" s="15"/>
      <c r="AM106" s="15"/>
      <c r="AN106" s="268"/>
      <c r="AP106" s="310"/>
    </row>
    <row r="107" spans="1:42" ht="12.75" hidden="1" customHeight="1" x14ac:dyDescent="0.2">
      <c r="A107" s="244"/>
      <c r="E107" s="300" t="s">
        <v>135</v>
      </c>
      <c r="F107" s="300"/>
      <c r="G107" s="177"/>
      <c r="H107" s="508"/>
      <c r="I107" s="284">
        <v>0</v>
      </c>
      <c r="J107" s="284">
        <v>0</v>
      </c>
      <c r="K107" s="284">
        <v>0</v>
      </c>
      <c r="L107" s="284">
        <v>0</v>
      </c>
      <c r="M107" s="284">
        <v>0</v>
      </c>
      <c r="N107" s="284">
        <v>0</v>
      </c>
      <c r="O107" s="66">
        <v>0</v>
      </c>
      <c r="P107" s="284">
        <v>0</v>
      </c>
      <c r="Q107" s="284">
        <v>0</v>
      </c>
      <c r="R107" s="284">
        <v>0</v>
      </c>
      <c r="S107" s="284">
        <v>0</v>
      </c>
      <c r="T107" s="284">
        <v>0</v>
      </c>
      <c r="U107" s="85">
        <v>0</v>
      </c>
      <c r="V107" s="390">
        <v>0</v>
      </c>
      <c r="W107" s="15">
        <v>0</v>
      </c>
      <c r="X107" s="284">
        <v>0</v>
      </c>
      <c r="Y107" s="499">
        <v>0</v>
      </c>
      <c r="Z107" s="284">
        <v>0</v>
      </c>
      <c r="AA107" s="284">
        <v>0</v>
      </c>
      <c r="AB107" s="284">
        <v>0</v>
      </c>
      <c r="AC107" s="284">
        <v>0</v>
      </c>
      <c r="AD107" s="284">
        <v>0</v>
      </c>
      <c r="AE107" s="284">
        <v>0</v>
      </c>
      <c r="AF107" s="284">
        <v>0</v>
      </c>
      <c r="AG107" s="284">
        <v>0</v>
      </c>
      <c r="AH107" s="284">
        <v>0</v>
      </c>
      <c r="AI107" s="85">
        <v>0</v>
      </c>
      <c r="AJ107" s="167"/>
      <c r="AK107" s="15"/>
      <c r="AL107" s="15"/>
      <c r="AM107" s="15"/>
      <c r="AN107" s="268"/>
      <c r="AP107" s="310"/>
    </row>
    <row r="108" spans="1:42" ht="12.75" hidden="1" customHeight="1" x14ac:dyDescent="0.2">
      <c r="A108" s="244"/>
      <c r="E108" s="300" t="s">
        <v>136</v>
      </c>
      <c r="F108" s="300"/>
      <c r="G108" s="177"/>
      <c r="H108" s="508"/>
      <c r="I108" s="284">
        <v>21418.386079999997</v>
      </c>
      <c r="J108" s="284">
        <v>5310.3004800000017</v>
      </c>
      <c r="K108" s="284">
        <v>12173.734470000003</v>
      </c>
      <c r="L108" s="284">
        <v>3936.64057</v>
      </c>
      <c r="M108" s="284">
        <v>257341.98372000002</v>
      </c>
      <c r="N108" s="284">
        <v>8837.938009999998</v>
      </c>
      <c r="O108" s="66">
        <v>12444.158860000001</v>
      </c>
      <c r="P108" s="284">
        <v>20865.484629999999</v>
      </c>
      <c r="Q108" s="284">
        <v>6704.1685099999995</v>
      </c>
      <c r="R108" s="284">
        <v>11040.651859999998</v>
      </c>
      <c r="S108" s="284">
        <v>4803.0249099999992</v>
      </c>
      <c r="T108" s="284">
        <v>72194.867499999993</v>
      </c>
      <c r="U108" s="85">
        <v>437071.33960000001</v>
      </c>
      <c r="V108" s="390">
        <v>465348.57473999989</v>
      </c>
      <c r="W108" s="15">
        <v>18180.68504</v>
      </c>
      <c r="X108" s="284">
        <v>28010.628109999998</v>
      </c>
      <c r="Y108" s="499">
        <v>76723.05640999999</v>
      </c>
      <c r="Z108" s="284">
        <v>20540.28268</v>
      </c>
      <c r="AA108" s="284">
        <v>42419.814149999998</v>
      </c>
      <c r="AB108" s="284">
        <v>211143.51804999996</v>
      </c>
      <c r="AC108" s="284">
        <v>35114.543100000003</v>
      </c>
      <c r="AD108" s="284">
        <v>3708.2744199999997</v>
      </c>
      <c r="AE108" s="284">
        <v>13736.141820000001</v>
      </c>
      <c r="AF108" s="284">
        <v>15771.63096</v>
      </c>
      <c r="AG108" s="284">
        <v>5340.9367400000001</v>
      </c>
      <c r="AH108" s="284">
        <v>-5340.6611100000009</v>
      </c>
      <c r="AI108" s="85">
        <v>465348.85036999988</v>
      </c>
      <c r="AJ108" s="167"/>
      <c r="AK108" s="15"/>
      <c r="AL108" s="15"/>
      <c r="AM108" s="15"/>
      <c r="AN108" s="268"/>
      <c r="AP108" s="310"/>
    </row>
    <row r="109" spans="1:42" ht="12.75" hidden="1" customHeight="1" x14ac:dyDescent="0.2">
      <c r="A109" s="244"/>
      <c r="E109" s="300" t="s">
        <v>137</v>
      </c>
      <c r="F109" s="300"/>
      <c r="G109" s="177"/>
      <c r="H109" s="508"/>
      <c r="I109" s="284">
        <v>7.5509300000000001</v>
      </c>
      <c r="J109" s="284">
        <v>45.905910000000006</v>
      </c>
      <c r="K109" s="284">
        <v>-31.74268</v>
      </c>
      <c r="L109" s="284">
        <v>50.914449999999995</v>
      </c>
      <c r="M109" s="284">
        <v>8001.6513800000002</v>
      </c>
      <c r="N109" s="284">
        <v>87.799630000000008</v>
      </c>
      <c r="O109" s="66">
        <v>7757.2055399999999</v>
      </c>
      <c r="P109" s="284">
        <v>66.167930000000027</v>
      </c>
      <c r="Q109" s="284">
        <v>-28.74682</v>
      </c>
      <c r="R109" s="284">
        <v>715.74270000000001</v>
      </c>
      <c r="S109" s="284">
        <v>-305.31000000000012</v>
      </c>
      <c r="T109" s="284">
        <v>-59.560269999999996</v>
      </c>
      <c r="U109" s="85">
        <v>16307.578699999998</v>
      </c>
      <c r="V109" s="390">
        <v>4552.8161600000003</v>
      </c>
      <c r="W109" s="15">
        <v>709.44918000000007</v>
      </c>
      <c r="X109" s="284">
        <v>1188.4887900000001</v>
      </c>
      <c r="Y109" s="31">
        <v>218.37371000000002</v>
      </c>
      <c r="Z109" s="284">
        <v>455.64657999999997</v>
      </c>
      <c r="AA109" s="284">
        <v>98.98720999999999</v>
      </c>
      <c r="AB109" s="284">
        <v>29.204239999999995</v>
      </c>
      <c r="AC109" s="284">
        <v>474.47503</v>
      </c>
      <c r="AD109" s="284">
        <v>1113.31531</v>
      </c>
      <c r="AE109" s="284">
        <v>373.56407000000002</v>
      </c>
      <c r="AF109" s="284">
        <v>-108.68795999999996</v>
      </c>
      <c r="AG109" s="284">
        <v>1361.7804799999999</v>
      </c>
      <c r="AH109" s="284">
        <v>-1362.14869</v>
      </c>
      <c r="AI109" s="85">
        <v>4552.4479499999998</v>
      </c>
      <c r="AJ109" s="167"/>
      <c r="AK109" s="15"/>
      <c r="AL109" s="15"/>
      <c r="AM109" s="15"/>
      <c r="AN109" s="268"/>
      <c r="AP109" s="310"/>
    </row>
    <row r="110" spans="1:42" ht="12.75" hidden="1" customHeight="1" x14ac:dyDescent="0.2">
      <c r="A110" s="244"/>
      <c r="E110" s="300" t="s">
        <v>138</v>
      </c>
      <c r="F110" s="300"/>
      <c r="G110" s="177"/>
      <c r="H110" s="508"/>
      <c r="I110" s="284">
        <v>4129.2898700000005</v>
      </c>
      <c r="J110" s="284">
        <v>386.84519999999998</v>
      </c>
      <c r="K110" s="284">
        <v>910.13306999999986</v>
      </c>
      <c r="L110" s="284">
        <v>809.14850000000001</v>
      </c>
      <c r="M110" s="284">
        <v>1156.7830900000001</v>
      </c>
      <c r="N110" s="284">
        <v>54650.248909999995</v>
      </c>
      <c r="O110" s="66">
        <v>-51199.166669999999</v>
      </c>
      <c r="P110" s="284">
        <v>-1537.4471600000002</v>
      </c>
      <c r="Q110" s="284">
        <v>7561.7412699999986</v>
      </c>
      <c r="R110" s="284">
        <v>2790.4598099999998</v>
      </c>
      <c r="S110" s="284">
        <v>-794.58463999999992</v>
      </c>
      <c r="T110" s="284">
        <v>517.35750999999993</v>
      </c>
      <c r="U110" s="85">
        <v>19380.808759999996</v>
      </c>
      <c r="V110" s="390">
        <v>-5179.9508200000009</v>
      </c>
      <c r="W110" s="15">
        <v>302.12129000000004</v>
      </c>
      <c r="X110" s="284">
        <v>1113.4221</v>
      </c>
      <c r="Y110" s="68">
        <v>-5789.4089699999995</v>
      </c>
      <c r="Z110" s="284">
        <v>1170.2449799999999</v>
      </c>
      <c r="AA110" s="284">
        <v>-3655.0775400000007</v>
      </c>
      <c r="AB110" s="284">
        <v>-303.55276000000003</v>
      </c>
      <c r="AC110" s="284">
        <v>1951.83493</v>
      </c>
      <c r="AD110" s="284">
        <v>-967.30799000000013</v>
      </c>
      <c r="AE110" s="284">
        <v>762.92499999999995</v>
      </c>
      <c r="AF110" s="284">
        <v>234.84814000000011</v>
      </c>
      <c r="AG110" s="284">
        <v>3526.6492800000001</v>
      </c>
      <c r="AH110" s="284">
        <v>-3526.3498200000004</v>
      </c>
      <c r="AI110" s="85">
        <v>-5179.6513600000017</v>
      </c>
      <c r="AJ110" s="167"/>
      <c r="AK110" s="15"/>
      <c r="AL110" s="15"/>
      <c r="AM110" s="15"/>
      <c r="AN110" s="268"/>
      <c r="AP110" s="310"/>
    </row>
    <row r="111" spans="1:42" ht="12.75" hidden="1" customHeight="1" x14ac:dyDescent="0.2">
      <c r="A111" s="244"/>
      <c r="E111" s="300" t="s">
        <v>139</v>
      </c>
      <c r="F111" s="300"/>
      <c r="G111" s="177"/>
      <c r="H111" s="508"/>
      <c r="I111" s="390">
        <v>0.04</v>
      </c>
      <c r="J111" s="390">
        <v>2.5000000000000001E-2</v>
      </c>
      <c r="K111" s="284">
        <v>0</v>
      </c>
      <c r="L111" s="17">
        <v>0</v>
      </c>
      <c r="M111" s="284">
        <v>0</v>
      </c>
      <c r="N111" s="284">
        <v>0.39</v>
      </c>
      <c r="O111" s="66">
        <v>0</v>
      </c>
      <c r="P111" s="284">
        <v>0</v>
      </c>
      <c r="Q111" s="284">
        <v>0.03</v>
      </c>
      <c r="R111" s="284">
        <v>0</v>
      </c>
      <c r="S111" s="284">
        <v>0</v>
      </c>
      <c r="T111" s="284">
        <v>0</v>
      </c>
      <c r="U111" s="85">
        <v>0.48499999999999999</v>
      </c>
      <c r="V111" s="390">
        <v>2.4135</v>
      </c>
      <c r="W111" s="15">
        <v>0</v>
      </c>
      <c r="X111" s="284">
        <v>2.3E-2</v>
      </c>
      <c r="Y111" s="68">
        <v>5.2399999999999995E-2</v>
      </c>
      <c r="Z111" s="284">
        <v>0</v>
      </c>
      <c r="AA111" s="284">
        <v>0.41</v>
      </c>
      <c r="AB111" s="284">
        <v>0.12</v>
      </c>
      <c r="AC111" s="284">
        <v>0.56359999999999999</v>
      </c>
      <c r="AD111" s="284">
        <v>0.05</v>
      </c>
      <c r="AE111" s="284">
        <v>1.159</v>
      </c>
      <c r="AF111" s="284">
        <v>3.5499999999999997E-2</v>
      </c>
      <c r="AG111" s="284"/>
      <c r="AH111" s="284">
        <v>3.4700000000000002E-2</v>
      </c>
      <c r="AI111" s="85">
        <v>2.4481999999999999</v>
      </c>
      <c r="AJ111" s="167"/>
      <c r="AK111" s="15"/>
      <c r="AL111" s="15"/>
      <c r="AM111" s="15"/>
      <c r="AN111" s="268"/>
      <c r="AP111" s="310"/>
    </row>
    <row r="112" spans="1:42" ht="12.75" customHeight="1" x14ac:dyDescent="0.2">
      <c r="A112" s="244"/>
      <c r="D112" s="221"/>
      <c r="E112" s="248" t="s">
        <v>79</v>
      </c>
      <c r="F112" s="177"/>
      <c r="G112" s="177"/>
      <c r="H112" s="284"/>
      <c r="I112" s="390"/>
      <c r="J112" s="390"/>
      <c r="K112" s="284"/>
      <c r="L112" s="284"/>
      <c r="M112" s="284"/>
      <c r="N112" s="284"/>
      <c r="O112" s="284"/>
      <c r="P112" s="284"/>
      <c r="Q112" s="284"/>
      <c r="R112" s="284"/>
      <c r="S112" s="284"/>
      <c r="T112" s="284"/>
      <c r="U112" s="85"/>
      <c r="V112" s="390"/>
      <c r="W112" s="15"/>
      <c r="X112" s="284"/>
      <c r="Y112" s="55"/>
      <c r="Z112" s="347"/>
      <c r="AA112" s="284"/>
      <c r="AB112" s="284"/>
      <c r="AC112" s="284"/>
      <c r="AD112" s="284"/>
      <c r="AE112" s="284"/>
      <c r="AF112" s="284"/>
      <c r="AG112" s="284"/>
      <c r="AH112" s="284"/>
      <c r="AI112" s="85"/>
      <c r="AJ112" s="167"/>
      <c r="AK112" s="15"/>
      <c r="AL112" s="15"/>
      <c r="AM112" s="15"/>
      <c r="AN112" s="268"/>
      <c r="AP112" s="310"/>
    </row>
    <row r="113" spans="1:48" s="310" customFormat="1" ht="12.75" customHeight="1" x14ac:dyDescent="0.2">
      <c r="A113" s="268"/>
      <c r="C113" s="198"/>
      <c r="E113" s="54" t="s">
        <v>140</v>
      </c>
      <c r="F113" s="221"/>
      <c r="G113" s="180" t="s">
        <v>141</v>
      </c>
      <c r="H113" s="355">
        <v>25590572</v>
      </c>
      <c r="I113" s="250">
        <v>1236489</v>
      </c>
      <c r="J113" s="250">
        <v>2807140</v>
      </c>
      <c r="K113" s="250">
        <v>3319954</v>
      </c>
      <c r="L113" s="250">
        <v>3550323</v>
      </c>
      <c r="M113" s="250">
        <v>3161507</v>
      </c>
      <c r="N113" s="250">
        <v>1941577</v>
      </c>
      <c r="O113" s="250">
        <v>2581412</v>
      </c>
      <c r="P113" s="250">
        <v>900558</v>
      </c>
      <c r="Q113" s="250">
        <v>2698953</v>
      </c>
      <c r="R113" s="250">
        <v>1360720</v>
      </c>
      <c r="S113" s="250">
        <v>574224</v>
      </c>
      <c r="T113" s="250">
        <v>1637061</v>
      </c>
      <c r="U113" s="150">
        <v>25769918</v>
      </c>
      <c r="V113" s="347">
        <v>12801333</v>
      </c>
      <c r="W113" s="402">
        <v>1191518</v>
      </c>
      <c r="X113" s="355">
        <v>5522378</v>
      </c>
      <c r="Y113" s="55">
        <v>193328</v>
      </c>
      <c r="Z113" s="355">
        <v>236828</v>
      </c>
      <c r="AA113" s="355">
        <v>536881</v>
      </c>
      <c r="AB113" s="355">
        <v>309645</v>
      </c>
      <c r="AC113" s="355">
        <v>149579</v>
      </c>
      <c r="AD113" s="355">
        <v>389977</v>
      </c>
      <c r="AE113" s="355">
        <v>143285</v>
      </c>
      <c r="AF113" s="355">
        <v>307553</v>
      </c>
      <c r="AG113" s="355">
        <v>558415</v>
      </c>
      <c r="AH113" s="355">
        <v>3261946</v>
      </c>
      <c r="AI113" s="196">
        <v>12801333</v>
      </c>
      <c r="AJ113" s="298"/>
      <c r="AK113" s="402"/>
      <c r="AL113" s="402"/>
      <c r="AM113" s="402"/>
      <c r="AN113" s="268"/>
      <c r="AO113" s="12"/>
      <c r="AT113" s="12"/>
      <c r="AV113" s="12"/>
    </row>
    <row r="114" spans="1:48" ht="12.75" customHeight="1" x14ac:dyDescent="0.2">
      <c r="A114" s="428" t="s">
        <v>142</v>
      </c>
      <c r="B114" s="50"/>
      <c r="C114" s="50"/>
      <c r="D114" s="50"/>
      <c r="E114" s="50"/>
      <c r="F114" s="50"/>
      <c r="G114" s="259"/>
      <c r="H114" s="223">
        <v>1200785660.997653</v>
      </c>
      <c r="I114" s="223">
        <v>63095740.380769998</v>
      </c>
      <c r="J114" s="223">
        <v>68106446.022430018</v>
      </c>
      <c r="K114" s="223">
        <v>108554101.37664002</v>
      </c>
      <c r="L114" s="223">
        <v>62846312.960169993</v>
      </c>
      <c r="M114" s="223">
        <v>101855148.66649999</v>
      </c>
      <c r="N114" s="223">
        <v>105679255.27216996</v>
      </c>
      <c r="O114" s="223">
        <v>83230717.11586</v>
      </c>
      <c r="P114" s="223">
        <v>99218194.778589994</v>
      </c>
      <c r="Q114" s="223">
        <v>176370693.76949999</v>
      </c>
      <c r="R114" s="223">
        <v>87476541.460689977</v>
      </c>
      <c r="S114" s="223">
        <v>132745358.18300997</v>
      </c>
      <c r="T114" s="223">
        <v>146956569.37684998</v>
      </c>
      <c r="U114" s="482">
        <v>1236135078.3631797</v>
      </c>
      <c r="V114" s="50">
        <v>1345880147.4470804</v>
      </c>
      <c r="W114" s="278">
        <v>73824343.085730031</v>
      </c>
      <c r="X114" s="278">
        <v>96920893.069020018</v>
      </c>
      <c r="Y114" s="278">
        <v>147241477.99728</v>
      </c>
      <c r="Z114" s="278">
        <v>73749809.529299989</v>
      </c>
      <c r="AA114" s="278">
        <v>117932465.64524999</v>
      </c>
      <c r="AB114" s="278">
        <v>117713729.27432001</v>
      </c>
      <c r="AC114" s="278">
        <v>83787244.734929979</v>
      </c>
      <c r="AD114" s="278">
        <v>95520711.034100011</v>
      </c>
      <c r="AE114" s="278">
        <v>160349623.42506</v>
      </c>
      <c r="AF114" s="278">
        <v>91356528.666240022</v>
      </c>
      <c r="AG114" s="278">
        <v>144478940.09164</v>
      </c>
      <c r="AH114" s="278">
        <v>143004381.44247997</v>
      </c>
      <c r="AI114" s="126">
        <v>1345880146.9953499</v>
      </c>
      <c r="AJ114" s="484"/>
      <c r="AK114" s="451"/>
      <c r="AL114" s="451"/>
      <c r="AM114" s="451"/>
      <c r="AN114" s="268"/>
      <c r="AP114" s="310"/>
    </row>
    <row r="115" spans="1:48" ht="12.75" customHeight="1" x14ac:dyDescent="0.2">
      <c r="A115" s="766" t="s">
        <v>143</v>
      </c>
      <c r="B115" s="767"/>
      <c r="C115" s="767"/>
      <c r="D115" s="767"/>
      <c r="E115" s="767"/>
      <c r="F115" s="767"/>
      <c r="G115" s="767"/>
      <c r="H115" s="223"/>
      <c r="I115" s="223"/>
      <c r="J115" s="223"/>
      <c r="K115" s="223"/>
      <c r="L115" s="223"/>
      <c r="M115" s="223"/>
      <c r="N115" s="223"/>
      <c r="O115" s="223"/>
      <c r="P115" s="223"/>
      <c r="Q115" s="223"/>
      <c r="R115" s="223"/>
      <c r="S115" s="223"/>
      <c r="T115" s="223"/>
      <c r="U115" s="482"/>
      <c r="V115" s="223"/>
      <c r="W115" s="50"/>
      <c r="X115" s="278"/>
      <c r="Y115" s="278"/>
      <c r="Z115" s="278"/>
      <c r="AA115" s="278"/>
      <c r="AB115" s="278"/>
      <c r="AC115" s="278"/>
      <c r="AD115" s="278"/>
      <c r="AE115" s="278"/>
      <c r="AF115" s="278"/>
      <c r="AG115" s="278"/>
      <c r="AH115" s="278"/>
      <c r="AI115" s="126"/>
      <c r="AJ115" s="484"/>
      <c r="AK115" s="451"/>
      <c r="AL115" s="451"/>
      <c r="AM115" s="451"/>
      <c r="AN115" s="268"/>
      <c r="AP115" s="310"/>
      <c r="AR115" s="413"/>
      <c r="AS115" s="451"/>
    </row>
    <row r="116" spans="1:48" ht="12" customHeight="1" x14ac:dyDescent="0.2">
      <c r="A116" s="188" t="s">
        <v>142</v>
      </c>
      <c r="B116" s="448"/>
      <c r="C116" s="242"/>
      <c r="D116" s="172"/>
      <c r="E116" s="172"/>
      <c r="F116" s="172"/>
      <c r="G116" s="172"/>
      <c r="H116" s="317">
        <v>1200785660.997653</v>
      </c>
      <c r="I116" s="419">
        <v>63095740.380769998</v>
      </c>
      <c r="J116" s="419">
        <v>68106446.022430018</v>
      </c>
      <c r="K116" s="419">
        <v>108554101.37664002</v>
      </c>
      <c r="L116" s="419">
        <v>62846312.960169993</v>
      </c>
      <c r="M116" s="317">
        <v>101855148.66649999</v>
      </c>
      <c r="N116" s="419">
        <v>105679255.27216996</v>
      </c>
      <c r="O116" s="419">
        <v>83230717.11586</v>
      </c>
      <c r="P116" s="419">
        <v>99218194.778589994</v>
      </c>
      <c r="Q116" s="419">
        <v>176370693.76949999</v>
      </c>
      <c r="R116" s="419">
        <v>87476541.460689977</v>
      </c>
      <c r="S116" s="419">
        <v>132745358.18300997</v>
      </c>
      <c r="T116" s="419">
        <v>146956569.37684998</v>
      </c>
      <c r="U116" s="371">
        <v>1236135078.3631797</v>
      </c>
      <c r="V116" s="448">
        <v>1345880147.4470804</v>
      </c>
      <c r="W116" s="472">
        <v>73824343.085730031</v>
      </c>
      <c r="X116" s="317">
        <v>96920893.069020018</v>
      </c>
      <c r="Y116" s="317">
        <v>147241477.99728</v>
      </c>
      <c r="Z116" s="317">
        <v>73749809.529299989</v>
      </c>
      <c r="AA116" s="317">
        <v>117932465.64524999</v>
      </c>
      <c r="AB116" s="317">
        <v>117713729.27432001</v>
      </c>
      <c r="AC116" s="317">
        <v>83787244.734929979</v>
      </c>
      <c r="AD116" s="317">
        <v>95520711.034100011</v>
      </c>
      <c r="AE116" s="317">
        <v>160349623.42506</v>
      </c>
      <c r="AF116" s="317">
        <v>91356528.666240022</v>
      </c>
      <c r="AG116" s="317">
        <v>144478940.09164</v>
      </c>
      <c r="AH116" s="317">
        <v>143004381.44247997</v>
      </c>
      <c r="AI116" s="170">
        <v>1345880146.9953499</v>
      </c>
      <c r="AJ116" s="116"/>
      <c r="AK116" s="287"/>
      <c r="AL116" s="287"/>
      <c r="AM116" s="287"/>
      <c r="AN116" s="268"/>
      <c r="AP116" s="310"/>
      <c r="AS116" s="38"/>
    </row>
    <row r="117" spans="1:48" s="451" customFormat="1" ht="12.75" customHeight="1" x14ac:dyDescent="0.2">
      <c r="A117" s="393" t="s">
        <v>144</v>
      </c>
      <c r="B117" s="340"/>
      <c r="C117" s="340"/>
      <c r="D117" s="340"/>
      <c r="E117" s="340"/>
      <c r="F117" s="340"/>
      <c r="G117" s="442"/>
      <c r="I117" s="138">
        <v>484218.60211000009</v>
      </c>
      <c r="J117" s="138">
        <v>576902.79968999978</v>
      </c>
      <c r="K117" s="138">
        <v>3175.9396899994463</v>
      </c>
      <c r="L117" s="138">
        <v>-251746.45064999955</v>
      </c>
      <c r="M117" s="138">
        <v>-340255.45139000006</v>
      </c>
      <c r="N117" s="138">
        <v>144233.66581000015</v>
      </c>
      <c r="O117" s="138">
        <v>692026.40187999979</v>
      </c>
      <c r="P117" s="138">
        <v>-114855.75005000015</v>
      </c>
      <c r="Q117" s="138">
        <v>-9229.1244299970567</v>
      </c>
      <c r="R117" s="138">
        <v>202417.3112499998</v>
      </c>
      <c r="S117" s="138">
        <v>357737.08238000004</v>
      </c>
      <c r="T117" s="138">
        <v>138866.90276999958</v>
      </c>
      <c r="U117" s="313">
        <v>1883491.9290599972</v>
      </c>
      <c r="V117" s="95">
        <v>-2681843.501609996</v>
      </c>
      <c r="W117" s="95">
        <v>47866.433920000214</v>
      </c>
      <c r="X117" s="212">
        <v>69649.664760000072</v>
      </c>
      <c r="Y117" s="212">
        <v>-177559.32531999983</v>
      </c>
      <c r="Z117" s="212">
        <v>611962.15966000024</v>
      </c>
      <c r="AA117" s="212">
        <v>226537.16129000019</v>
      </c>
      <c r="AB117" s="212">
        <v>207845.88913999998</v>
      </c>
      <c r="AC117" s="212">
        <v>100883.28795999999</v>
      </c>
      <c r="AD117" s="212">
        <v>247820.60749000008</v>
      </c>
      <c r="AE117" s="212">
        <v>-119207.75722000003</v>
      </c>
      <c r="AF117" s="212">
        <v>96584.359380000038</v>
      </c>
      <c r="AG117" s="212">
        <v>215897.0264399997</v>
      </c>
      <c r="AH117" s="212">
        <v>-4210123.8548399992</v>
      </c>
      <c r="AI117" s="367">
        <v>-2681844.3473399989</v>
      </c>
      <c r="AJ117" s="116"/>
      <c r="AK117" s="287"/>
      <c r="AL117" s="287"/>
      <c r="AM117" s="287"/>
      <c r="AN117" s="181"/>
      <c r="AO117" s="12"/>
      <c r="AP117" s="413"/>
      <c r="AS117" s="12"/>
      <c r="AT117" s="12"/>
    </row>
    <row r="118" spans="1:48" ht="12.75" customHeight="1" x14ac:dyDescent="0.2">
      <c r="A118" s="768" t="s">
        <v>145</v>
      </c>
      <c r="B118" s="769"/>
      <c r="C118" s="769"/>
      <c r="D118" s="769"/>
      <c r="E118" s="769"/>
      <c r="F118" s="769"/>
      <c r="G118" s="770"/>
      <c r="H118" s="454"/>
      <c r="I118" s="390">
        <v>-596423.39788999991</v>
      </c>
      <c r="J118" s="390">
        <v>-368947.20031000022</v>
      </c>
      <c r="K118" s="390">
        <v>-344052.06031000055</v>
      </c>
      <c r="L118" s="390">
        <v>-571925.45064999955</v>
      </c>
      <c r="M118" s="390">
        <v>-786426.45139000006</v>
      </c>
      <c r="N118" s="390">
        <v>-494422.33418999985</v>
      </c>
      <c r="O118" s="390">
        <v>-335074.59812000021</v>
      </c>
      <c r="P118" s="390">
        <v>-909862.75005000015</v>
      </c>
      <c r="Q118" s="390">
        <v>-843437.12442999706</v>
      </c>
      <c r="R118" s="390">
        <v>-551030.6887500002</v>
      </c>
      <c r="S118" s="390">
        <v>-1112329.91762</v>
      </c>
      <c r="T118" s="390">
        <v>-2828420.0972300004</v>
      </c>
      <c r="U118" s="69">
        <v>-9742352.0709400028</v>
      </c>
      <c r="V118" s="390">
        <v>-15762626.501609996</v>
      </c>
      <c r="W118" s="15">
        <v>-403223.56607999979</v>
      </c>
      <c r="X118" s="284">
        <v>-370181.33523999993</v>
      </c>
      <c r="Y118" s="284">
        <v>-942465.32531999983</v>
      </c>
      <c r="Z118" s="284">
        <v>-550674.84033999976</v>
      </c>
      <c r="AA118" s="284">
        <v>-572197.83870999981</v>
      </c>
      <c r="AB118" s="284">
        <v>-614800.11086000002</v>
      </c>
      <c r="AC118" s="284">
        <v>-500670.71204000001</v>
      </c>
      <c r="AD118" s="284">
        <v>-530199.39250999992</v>
      </c>
      <c r="AE118" s="284">
        <v>-1066033.75722</v>
      </c>
      <c r="AF118" s="284">
        <v>-509092.64061999996</v>
      </c>
      <c r="AG118" s="284">
        <v>-630458.9735600003</v>
      </c>
      <c r="AH118" s="284">
        <v>-9072628.8548399992</v>
      </c>
      <c r="AI118" s="85">
        <v>-15762627.347339999</v>
      </c>
      <c r="AJ118" s="167"/>
      <c r="AK118" s="15"/>
      <c r="AL118" s="15"/>
      <c r="AM118" s="15"/>
      <c r="AN118" s="268"/>
      <c r="AP118" s="310"/>
      <c r="AS118" s="451"/>
    </row>
    <row r="119" spans="1:48" ht="12.75" customHeight="1" x14ac:dyDescent="0.2">
      <c r="A119" s="193" t="s">
        <v>146</v>
      </c>
      <c r="B119" s="350"/>
      <c r="C119" s="350"/>
      <c r="D119" s="350"/>
      <c r="E119" s="350"/>
      <c r="F119" s="350"/>
      <c r="G119" s="350"/>
      <c r="H119" s="454"/>
      <c r="I119" s="390">
        <v>1080642</v>
      </c>
      <c r="J119" s="390">
        <v>945850</v>
      </c>
      <c r="K119" s="390">
        <v>347228</v>
      </c>
      <c r="L119" s="390">
        <v>320179</v>
      </c>
      <c r="M119" s="390">
        <v>446171</v>
      </c>
      <c r="N119" s="390">
        <v>638656</v>
      </c>
      <c r="O119" s="390">
        <v>1027101</v>
      </c>
      <c r="P119" s="390">
        <v>795007</v>
      </c>
      <c r="Q119" s="390">
        <v>834208</v>
      </c>
      <c r="R119" s="390">
        <v>753448</v>
      </c>
      <c r="S119" s="375">
        <v>1470067</v>
      </c>
      <c r="T119" s="375">
        <v>2967287</v>
      </c>
      <c r="U119" s="128">
        <v>11625844</v>
      </c>
      <c r="V119" s="375">
        <v>13080783</v>
      </c>
      <c r="W119" s="15">
        <v>451090</v>
      </c>
      <c r="X119" s="71">
        <v>439831</v>
      </c>
      <c r="Y119" s="476">
        <v>764906</v>
      </c>
      <c r="Z119" s="375">
        <v>1162637</v>
      </c>
      <c r="AA119" s="390">
        <v>798735</v>
      </c>
      <c r="AB119" s="71">
        <v>822646</v>
      </c>
      <c r="AC119" s="71">
        <v>601554</v>
      </c>
      <c r="AD119" s="71">
        <v>778020</v>
      </c>
      <c r="AE119" s="71">
        <v>946826</v>
      </c>
      <c r="AF119" s="71">
        <v>605677</v>
      </c>
      <c r="AG119" s="71">
        <v>846356</v>
      </c>
      <c r="AH119" s="71">
        <v>4862505</v>
      </c>
      <c r="AI119" s="85">
        <v>13080783</v>
      </c>
      <c r="AJ119" s="167"/>
      <c r="AK119" s="15"/>
      <c r="AL119" s="15"/>
      <c r="AM119" s="15"/>
      <c r="AN119" s="268"/>
      <c r="AP119" s="310"/>
    </row>
    <row r="120" spans="1:48" s="451" customFormat="1" ht="12.75" customHeight="1" x14ac:dyDescent="0.2">
      <c r="A120" s="484" t="s">
        <v>147</v>
      </c>
      <c r="C120" s="340"/>
      <c r="G120" s="180" t="s">
        <v>148</v>
      </c>
      <c r="H120" s="398"/>
      <c r="I120" s="396">
        <v>1280</v>
      </c>
      <c r="J120" s="396">
        <v>326479</v>
      </c>
      <c r="K120" s="396">
        <v>9200</v>
      </c>
      <c r="L120" s="396">
        <v>136714</v>
      </c>
      <c r="M120" s="396">
        <v>209925</v>
      </c>
      <c r="N120" s="396">
        <v>308531</v>
      </c>
      <c r="O120" s="396">
        <v>713</v>
      </c>
      <c r="P120" s="293">
        <v>558807</v>
      </c>
      <c r="Q120" s="293">
        <v>33192</v>
      </c>
      <c r="R120" s="293">
        <v>51269</v>
      </c>
      <c r="S120" s="293">
        <v>5627</v>
      </c>
      <c r="T120" s="293">
        <v>149722</v>
      </c>
      <c r="U120" s="275">
        <v>1791459</v>
      </c>
      <c r="V120" s="396">
        <v>1640006</v>
      </c>
      <c r="W120" s="20">
        <v>41504</v>
      </c>
      <c r="X120" s="212">
        <v>663270</v>
      </c>
      <c r="Y120" s="212">
        <v>22943</v>
      </c>
      <c r="Z120" s="212">
        <v>12072</v>
      </c>
      <c r="AA120" s="212">
        <v>198344</v>
      </c>
      <c r="AB120" s="212">
        <v>22868</v>
      </c>
      <c r="AC120" s="212">
        <v>63341</v>
      </c>
      <c r="AD120" s="212">
        <v>440899</v>
      </c>
      <c r="AE120" s="212">
        <v>-274</v>
      </c>
      <c r="AF120" s="212">
        <v>37078</v>
      </c>
      <c r="AG120" s="212">
        <v>5309</v>
      </c>
      <c r="AH120" s="212">
        <v>132652</v>
      </c>
      <c r="AI120" s="212">
        <v>1640006</v>
      </c>
      <c r="AJ120" s="109"/>
      <c r="AK120" s="20"/>
      <c r="AL120" s="20"/>
      <c r="AM120" s="20"/>
      <c r="AN120" s="181"/>
      <c r="AO120" s="12"/>
      <c r="AP120" s="413"/>
    </row>
    <row r="121" spans="1:48" ht="12.75" customHeight="1" x14ac:dyDescent="0.2">
      <c r="A121" s="244"/>
      <c r="E121" s="12" t="s">
        <v>149</v>
      </c>
      <c r="H121" s="454"/>
      <c r="I121" s="390">
        <v>0</v>
      </c>
      <c r="J121" s="390">
        <v>326092</v>
      </c>
      <c r="K121" s="390">
        <v>2563</v>
      </c>
      <c r="L121" s="390">
        <v>135891</v>
      </c>
      <c r="M121" s="390">
        <v>0</v>
      </c>
      <c r="N121" s="390">
        <v>308320</v>
      </c>
      <c r="O121" s="390">
        <v>0</v>
      </c>
      <c r="P121" s="390">
        <v>558257</v>
      </c>
      <c r="Q121" s="390">
        <v>0</v>
      </c>
      <c r="R121" s="390">
        <v>50163</v>
      </c>
      <c r="S121" s="390">
        <v>4600</v>
      </c>
      <c r="T121" s="390">
        <v>119088</v>
      </c>
      <c r="U121" s="128">
        <v>1504974</v>
      </c>
      <c r="V121" s="375">
        <v>1490587</v>
      </c>
      <c r="W121" s="15">
        <v>41304</v>
      </c>
      <c r="X121" s="71">
        <v>660295</v>
      </c>
      <c r="Y121" s="174">
        <v>19227</v>
      </c>
      <c r="Z121" s="375">
        <v>11482</v>
      </c>
      <c r="AA121" s="390">
        <v>198450</v>
      </c>
      <c r="AB121" s="71">
        <v>23008</v>
      </c>
      <c r="AC121" s="71">
        <v>40718</v>
      </c>
      <c r="AD121" s="71">
        <v>442858</v>
      </c>
      <c r="AE121" s="71">
        <v>0</v>
      </c>
      <c r="AF121" s="71">
        <v>36715</v>
      </c>
      <c r="AG121" s="71">
        <v>5532</v>
      </c>
      <c r="AH121" s="71">
        <v>10998</v>
      </c>
      <c r="AI121" s="85">
        <v>1490587</v>
      </c>
      <c r="AJ121" s="167"/>
      <c r="AK121" s="15"/>
      <c r="AL121" s="15"/>
      <c r="AM121" s="15"/>
      <c r="AN121" s="268"/>
      <c r="AP121" s="310"/>
      <c r="AS121" s="451"/>
    </row>
    <row r="122" spans="1:48" ht="12.75" customHeight="1" x14ac:dyDescent="0.2">
      <c r="A122" s="244"/>
      <c r="E122" s="12" t="s">
        <v>150</v>
      </c>
      <c r="H122" s="454"/>
      <c r="I122" s="390">
        <v>1484</v>
      </c>
      <c r="J122" s="390">
        <v>387</v>
      </c>
      <c r="K122" s="390">
        <v>6637</v>
      </c>
      <c r="L122" s="390">
        <v>619</v>
      </c>
      <c r="M122" s="390">
        <v>300</v>
      </c>
      <c r="N122" s="390">
        <v>211</v>
      </c>
      <c r="O122" s="390">
        <v>713</v>
      </c>
      <c r="P122" s="390">
        <v>550</v>
      </c>
      <c r="Q122" s="390">
        <v>30575</v>
      </c>
      <c r="R122" s="390">
        <v>1106</v>
      </c>
      <c r="S122" s="390">
        <v>1027</v>
      </c>
      <c r="T122" s="390">
        <v>1134</v>
      </c>
      <c r="U122" s="128">
        <v>44743</v>
      </c>
      <c r="V122" s="375">
        <v>78984</v>
      </c>
      <c r="W122" s="15">
        <v>200</v>
      </c>
      <c r="X122" s="71">
        <v>0</v>
      </c>
      <c r="Y122" s="121">
        <v>550</v>
      </c>
      <c r="Z122" s="375">
        <v>590</v>
      </c>
      <c r="AA122" s="71">
        <v>10</v>
      </c>
      <c r="AB122" s="71">
        <v>541</v>
      </c>
      <c r="AC122" s="71">
        <v>23731</v>
      </c>
      <c r="AD122" s="71">
        <v>41</v>
      </c>
      <c r="AE122" s="71">
        <v>81</v>
      </c>
      <c r="AF122" s="71">
        <v>363</v>
      </c>
      <c r="AG122" s="71">
        <v>837</v>
      </c>
      <c r="AH122" s="71">
        <v>52040</v>
      </c>
      <c r="AI122" s="85">
        <v>78984</v>
      </c>
      <c r="AJ122" s="167"/>
      <c r="AK122" s="15"/>
      <c r="AL122" s="15"/>
      <c r="AM122" s="15"/>
      <c r="AN122" s="268"/>
      <c r="AP122" s="310"/>
      <c r="AT122" s="310"/>
    </row>
    <row r="123" spans="1:48" ht="12.75" customHeight="1" x14ac:dyDescent="0.2">
      <c r="A123" s="244"/>
      <c r="E123" s="12" t="s">
        <v>151</v>
      </c>
      <c r="H123" s="454"/>
      <c r="I123" s="390"/>
      <c r="J123" s="390"/>
      <c r="K123" s="390"/>
      <c r="L123" s="390"/>
      <c r="M123" s="390"/>
      <c r="N123" s="390"/>
      <c r="O123" s="390"/>
      <c r="P123" s="390"/>
      <c r="Q123" s="390"/>
      <c r="R123" s="390"/>
      <c r="S123" s="390"/>
      <c r="T123" s="390">
        <v>1500</v>
      </c>
      <c r="U123" s="128">
        <v>1500</v>
      </c>
      <c r="V123" s="375">
        <v>0</v>
      </c>
      <c r="W123" s="15"/>
      <c r="X123" s="71">
        <v>0</v>
      </c>
      <c r="Y123" s="121"/>
      <c r="Z123" s="375"/>
      <c r="AA123" s="71"/>
      <c r="AB123" s="71"/>
      <c r="AC123" s="71"/>
      <c r="AD123" s="71"/>
      <c r="AE123" s="71"/>
      <c r="AF123" s="71"/>
      <c r="AG123" s="375"/>
      <c r="AH123" s="71">
        <v>0</v>
      </c>
      <c r="AI123" s="85">
        <v>0</v>
      </c>
      <c r="AJ123" s="167"/>
      <c r="AK123" s="15"/>
      <c r="AL123" s="15"/>
      <c r="AM123" s="15"/>
      <c r="AN123" s="268"/>
      <c r="AP123" s="310"/>
      <c r="AT123" s="310"/>
    </row>
    <row r="124" spans="1:48" ht="12.75" customHeight="1" x14ac:dyDescent="0.2">
      <c r="A124" s="244"/>
      <c r="E124" s="12" t="s">
        <v>152</v>
      </c>
      <c r="H124" s="454"/>
      <c r="I124" s="390"/>
      <c r="J124" s="390"/>
      <c r="K124" s="390"/>
      <c r="L124" s="390"/>
      <c r="M124" s="390"/>
      <c r="N124" s="390"/>
      <c r="O124" s="390"/>
      <c r="P124" s="390"/>
      <c r="Q124" s="390"/>
      <c r="R124" s="390"/>
      <c r="S124" s="390"/>
      <c r="T124" s="390">
        <v>28000</v>
      </c>
      <c r="U124" s="128">
        <v>28000</v>
      </c>
      <c r="V124" s="375">
        <v>0</v>
      </c>
      <c r="W124" s="15"/>
      <c r="X124" s="71">
        <v>0</v>
      </c>
      <c r="Y124" s="121"/>
      <c r="Z124" s="375"/>
      <c r="AA124" s="71"/>
      <c r="AB124" s="71"/>
      <c r="AC124" s="71"/>
      <c r="AD124" s="71"/>
      <c r="AE124" s="71"/>
      <c r="AF124" s="71"/>
      <c r="AG124" s="375"/>
      <c r="AH124" s="71">
        <v>0</v>
      </c>
      <c r="AI124" s="85">
        <v>0</v>
      </c>
      <c r="AJ124" s="167"/>
      <c r="AK124" s="15"/>
      <c r="AL124" s="15"/>
      <c r="AM124" s="15"/>
      <c r="AN124" s="268"/>
      <c r="AP124" s="310"/>
      <c r="AT124" s="310"/>
    </row>
    <row r="125" spans="1:48" ht="12.75" customHeight="1" x14ac:dyDescent="0.2">
      <c r="A125" s="244"/>
      <c r="E125" s="12" t="s">
        <v>153</v>
      </c>
      <c r="H125" s="454"/>
      <c r="I125" s="390">
        <v>0</v>
      </c>
      <c r="J125" s="390">
        <v>0</v>
      </c>
      <c r="K125" s="390">
        <v>0</v>
      </c>
      <c r="L125" s="390">
        <v>0</v>
      </c>
      <c r="M125" s="390">
        <v>0</v>
      </c>
      <c r="N125" s="390">
        <v>0</v>
      </c>
      <c r="O125" s="390">
        <v>0</v>
      </c>
      <c r="P125" s="390">
        <v>0</v>
      </c>
      <c r="Q125" s="390">
        <v>0</v>
      </c>
      <c r="R125" s="390">
        <v>0</v>
      </c>
      <c r="S125" s="390">
        <v>0</v>
      </c>
      <c r="T125" s="390">
        <v>0</v>
      </c>
      <c r="U125" s="128">
        <v>0</v>
      </c>
      <c r="V125" s="375">
        <v>1000</v>
      </c>
      <c r="W125" s="284">
        <v>0</v>
      </c>
      <c r="X125" s="121">
        <v>210</v>
      </c>
      <c r="Y125" s="121"/>
      <c r="Z125" s="375"/>
      <c r="AA125" s="71">
        <v>0</v>
      </c>
      <c r="AB125" s="71"/>
      <c r="AC125" s="71">
        <v>0</v>
      </c>
      <c r="AD125" s="71">
        <v>0</v>
      </c>
      <c r="AE125" s="71">
        <v>0</v>
      </c>
      <c r="AF125" s="71"/>
      <c r="AG125" s="390">
        <v>0</v>
      </c>
      <c r="AH125" s="71">
        <v>790</v>
      </c>
      <c r="AI125" s="85">
        <v>1000</v>
      </c>
      <c r="AJ125" s="167"/>
      <c r="AK125" s="15"/>
      <c r="AL125" s="15"/>
      <c r="AM125" s="15"/>
      <c r="AN125" s="268"/>
      <c r="AP125" s="310"/>
      <c r="AT125" s="310"/>
    </row>
    <row r="126" spans="1:48" ht="13.9" customHeight="1" x14ac:dyDescent="0.2">
      <c r="A126" s="244"/>
      <c r="E126" s="12" t="s">
        <v>154</v>
      </c>
      <c r="H126" s="454"/>
      <c r="I126" s="390">
        <v>0</v>
      </c>
      <c r="J126" s="390">
        <v>0</v>
      </c>
      <c r="K126" s="390">
        <v>0</v>
      </c>
      <c r="L126" s="390">
        <v>0</v>
      </c>
      <c r="M126" s="390">
        <v>0</v>
      </c>
      <c r="N126" s="390">
        <v>0</v>
      </c>
      <c r="O126" s="390">
        <v>0</v>
      </c>
      <c r="P126" s="390">
        <v>0</v>
      </c>
      <c r="Q126" s="390">
        <v>2617</v>
      </c>
      <c r="R126" s="390">
        <v>0</v>
      </c>
      <c r="S126" s="390">
        <v>0</v>
      </c>
      <c r="T126" s="390">
        <v>0</v>
      </c>
      <c r="U126" s="128">
        <v>2617</v>
      </c>
      <c r="V126" s="375">
        <v>3166</v>
      </c>
      <c r="W126" s="284">
        <v>0</v>
      </c>
      <c r="X126" s="121">
        <v>0</v>
      </c>
      <c r="Y126" s="71">
        <v>3166</v>
      </c>
      <c r="Z126" s="71">
        <v>0</v>
      </c>
      <c r="AA126" s="71">
        <v>0</v>
      </c>
      <c r="AB126" s="71">
        <v>0</v>
      </c>
      <c r="AC126" s="71">
        <v>0</v>
      </c>
      <c r="AD126" s="71">
        <v>0</v>
      </c>
      <c r="AE126" s="71">
        <v>0</v>
      </c>
      <c r="AF126" s="71">
        <v>0</v>
      </c>
      <c r="AG126" s="71">
        <v>0</v>
      </c>
      <c r="AH126" s="71">
        <v>0</v>
      </c>
      <c r="AI126" s="85">
        <v>3166</v>
      </c>
      <c r="AJ126" s="167"/>
      <c r="AK126" s="15"/>
      <c r="AL126" s="15"/>
      <c r="AM126" s="15"/>
      <c r="AN126" s="268"/>
      <c r="AP126" s="310"/>
    </row>
    <row r="127" spans="1:48" ht="12.75" customHeight="1" x14ac:dyDescent="0.2">
      <c r="A127" s="244"/>
      <c r="B127" s="67"/>
      <c r="E127" s="12" t="s">
        <v>155</v>
      </c>
      <c r="H127" s="454"/>
      <c r="I127" s="390">
        <v>0</v>
      </c>
      <c r="J127" s="390">
        <v>0</v>
      </c>
      <c r="K127" s="390">
        <v>0</v>
      </c>
      <c r="L127" s="390">
        <v>0</v>
      </c>
      <c r="M127" s="390">
        <v>0</v>
      </c>
      <c r="N127" s="390">
        <v>0</v>
      </c>
      <c r="O127" s="390">
        <v>0</v>
      </c>
      <c r="P127" s="390">
        <v>0</v>
      </c>
      <c r="Q127" s="390">
        <v>0</v>
      </c>
      <c r="R127" s="390">
        <v>0</v>
      </c>
      <c r="S127" s="390">
        <v>0</v>
      </c>
      <c r="T127" s="390">
        <v>0</v>
      </c>
      <c r="U127" s="128">
        <v>0</v>
      </c>
      <c r="V127" s="375">
        <v>2331</v>
      </c>
      <c r="W127" s="284">
        <v>0</v>
      </c>
      <c r="X127" s="375">
        <v>765</v>
      </c>
      <c r="Y127" s="71">
        <v>0</v>
      </c>
      <c r="Z127" s="71">
        <v>0</v>
      </c>
      <c r="AA127" s="71">
        <v>0</v>
      </c>
      <c r="AB127" s="71">
        <v>0</v>
      </c>
      <c r="AC127" s="71">
        <v>1566</v>
      </c>
      <c r="AD127" s="71">
        <v>0</v>
      </c>
      <c r="AE127" s="71">
        <v>0</v>
      </c>
      <c r="AF127" s="71">
        <v>0</v>
      </c>
      <c r="AG127" s="71">
        <v>0</v>
      </c>
      <c r="AH127" s="12">
        <v>0</v>
      </c>
      <c r="AI127" s="85">
        <v>2331</v>
      </c>
      <c r="AJ127" s="167"/>
      <c r="AK127" s="15"/>
      <c r="AL127" s="15"/>
      <c r="AM127" s="15"/>
      <c r="AN127" s="268"/>
      <c r="AP127" s="310"/>
      <c r="AS127" s="451"/>
    </row>
    <row r="128" spans="1:48" ht="12.75" hidden="1" customHeight="1" x14ac:dyDescent="0.2">
      <c r="A128" s="244"/>
      <c r="B128" s="67"/>
      <c r="E128" s="12" t="s">
        <v>156</v>
      </c>
      <c r="H128" s="454"/>
      <c r="I128" s="390"/>
      <c r="J128" s="390"/>
      <c r="K128" s="390"/>
      <c r="L128" s="390"/>
      <c r="M128" s="390"/>
      <c r="N128" s="390"/>
      <c r="O128" s="390"/>
      <c r="P128" s="390"/>
      <c r="Q128" s="390"/>
      <c r="R128" s="390"/>
      <c r="S128" s="390"/>
      <c r="T128" s="390">
        <v>0</v>
      </c>
      <c r="U128" s="128">
        <v>0</v>
      </c>
      <c r="V128" s="375">
        <v>0</v>
      </c>
      <c r="W128" s="284">
        <v>0</v>
      </c>
      <c r="X128" s="375">
        <v>2000</v>
      </c>
      <c r="Y128" s="71">
        <v>0</v>
      </c>
      <c r="Z128" s="71">
        <v>0</v>
      </c>
      <c r="AA128" s="71">
        <v>0</v>
      </c>
      <c r="AB128" s="71">
        <v>0</v>
      </c>
      <c r="AC128" s="71">
        <v>0</v>
      </c>
      <c r="AD128" s="71">
        <v>-2000</v>
      </c>
      <c r="AE128" s="71">
        <v>0</v>
      </c>
      <c r="AF128" s="71">
        <v>0</v>
      </c>
      <c r="AG128" s="71">
        <v>0</v>
      </c>
      <c r="AH128" s="12">
        <v>0</v>
      </c>
      <c r="AI128" s="85">
        <v>0</v>
      </c>
      <c r="AJ128" s="167"/>
      <c r="AK128" s="15"/>
      <c r="AL128" s="15"/>
      <c r="AM128" s="15"/>
      <c r="AN128" s="268"/>
      <c r="AP128" s="310"/>
      <c r="AS128" s="451"/>
    </row>
    <row r="129" spans="1:46" ht="12.75" customHeight="1" x14ac:dyDescent="0.2">
      <c r="A129" s="244"/>
      <c r="E129" s="12" t="s">
        <v>157</v>
      </c>
      <c r="H129" s="454"/>
      <c r="I129" s="390">
        <v>0</v>
      </c>
      <c r="J129" s="390">
        <v>0</v>
      </c>
      <c r="K129" s="390">
        <v>0</v>
      </c>
      <c r="L129" s="390">
        <v>0</v>
      </c>
      <c r="M129" s="390">
        <v>0</v>
      </c>
      <c r="N129" s="390">
        <v>0</v>
      </c>
      <c r="O129" s="390">
        <v>0</v>
      </c>
      <c r="P129" s="390">
        <v>0</v>
      </c>
      <c r="Q129" s="390">
        <v>0</v>
      </c>
      <c r="R129" s="390">
        <v>0</v>
      </c>
      <c r="S129" s="390">
        <v>0</v>
      </c>
      <c r="T129" s="390">
        <v>0</v>
      </c>
      <c r="U129" s="128">
        <v>0</v>
      </c>
      <c r="V129" s="375">
        <v>5250</v>
      </c>
      <c r="W129" s="284">
        <v>0</v>
      </c>
      <c r="X129" s="375">
        <v>0</v>
      </c>
      <c r="Y129" s="71">
        <v>0</v>
      </c>
      <c r="Z129" s="71">
        <v>0</v>
      </c>
      <c r="AA129" s="71">
        <v>0</v>
      </c>
      <c r="AB129" s="71">
        <v>0</v>
      </c>
      <c r="AC129" s="71">
        <v>0</v>
      </c>
      <c r="AD129" s="71">
        <v>0</v>
      </c>
      <c r="AE129" s="71">
        <v>0</v>
      </c>
      <c r="AF129" s="71">
        <v>0</v>
      </c>
      <c r="AG129" s="71">
        <v>0</v>
      </c>
      <c r="AH129" s="71">
        <v>5250</v>
      </c>
      <c r="AI129" s="85">
        <v>5250</v>
      </c>
      <c r="AJ129" s="167"/>
      <c r="AK129" s="15"/>
      <c r="AL129" s="15"/>
      <c r="AM129" s="15"/>
      <c r="AN129" s="268"/>
      <c r="AP129" s="310"/>
      <c r="AS129" s="451"/>
    </row>
    <row r="130" spans="1:46" ht="12.75" customHeight="1" thickBot="1" x14ac:dyDescent="0.25">
      <c r="A130" s="244"/>
      <c r="E130" s="67" t="s">
        <v>158</v>
      </c>
      <c r="H130" s="454"/>
      <c r="I130" s="390">
        <v>0</v>
      </c>
      <c r="J130" s="390">
        <v>0</v>
      </c>
      <c r="K130" s="390">
        <v>0</v>
      </c>
      <c r="L130" s="390">
        <v>0</v>
      </c>
      <c r="M130" s="390">
        <v>209625</v>
      </c>
      <c r="N130" s="390">
        <v>0</v>
      </c>
      <c r="O130" s="390">
        <v>0</v>
      </c>
      <c r="P130" s="390">
        <v>0</v>
      </c>
      <c r="Q130" s="390">
        <v>0</v>
      </c>
      <c r="R130" s="390">
        <v>0</v>
      </c>
      <c r="S130" s="390">
        <v>0</v>
      </c>
      <c r="T130" s="390">
        <v>0</v>
      </c>
      <c r="U130" s="128">
        <v>209625</v>
      </c>
      <c r="V130" s="375">
        <v>58688</v>
      </c>
      <c r="W130" s="284">
        <v>0</v>
      </c>
      <c r="X130" s="375">
        <v>0</v>
      </c>
      <c r="Y130" s="71">
        <v>0</v>
      </c>
      <c r="Z130" s="71">
        <v>0</v>
      </c>
      <c r="AA130" s="71">
        <v>0</v>
      </c>
      <c r="AB130" s="71">
        <v>0</v>
      </c>
      <c r="AC130" s="71">
        <v>0</v>
      </c>
      <c r="AD130" s="71">
        <v>0</v>
      </c>
      <c r="AE130" s="71">
        <v>0</v>
      </c>
      <c r="AF130" s="71">
        <v>0</v>
      </c>
      <c r="AG130" s="71">
        <v>0</v>
      </c>
      <c r="AH130" s="71">
        <v>58688</v>
      </c>
      <c r="AI130" s="85">
        <v>58688</v>
      </c>
      <c r="AJ130" s="167"/>
      <c r="AK130" s="15"/>
      <c r="AL130" s="15"/>
      <c r="AM130" s="15"/>
      <c r="AN130" s="268"/>
      <c r="AP130" s="310"/>
      <c r="AS130" s="92"/>
    </row>
    <row r="131" spans="1:46" ht="12.75" customHeight="1" thickTop="1" x14ac:dyDescent="0.2">
      <c r="A131" s="244"/>
      <c r="B131" s="67"/>
      <c r="E131" s="12" t="s">
        <v>159</v>
      </c>
      <c r="H131" s="454"/>
      <c r="I131" s="390">
        <v>-204</v>
      </c>
      <c r="J131" s="390">
        <v>0</v>
      </c>
      <c r="K131" s="390">
        <v>0</v>
      </c>
      <c r="L131" s="390">
        <v>204</v>
      </c>
      <c r="M131" s="390">
        <v>0</v>
      </c>
      <c r="N131" s="390">
        <v>0</v>
      </c>
      <c r="O131" s="15">
        <v>0</v>
      </c>
      <c r="P131" s="284">
        <v>0</v>
      </c>
      <c r="Q131" s="390">
        <v>0</v>
      </c>
      <c r="R131" s="390">
        <v>0</v>
      </c>
      <c r="S131" s="390">
        <v>0</v>
      </c>
      <c r="T131" s="390">
        <v>0</v>
      </c>
      <c r="U131" s="128">
        <v>0</v>
      </c>
      <c r="V131" s="375">
        <v>0</v>
      </c>
      <c r="W131" s="284">
        <v>0</v>
      </c>
      <c r="X131" s="375">
        <v>0</v>
      </c>
      <c r="Y131" s="375">
        <v>0</v>
      </c>
      <c r="Z131" s="375">
        <v>0</v>
      </c>
      <c r="AA131" s="375">
        <v>-57</v>
      </c>
      <c r="AB131" s="71">
        <v>-681</v>
      </c>
      <c r="AC131" s="390">
        <v>-2674</v>
      </c>
      <c r="AD131" s="71">
        <v>0</v>
      </c>
      <c r="AE131" s="71">
        <v>-355</v>
      </c>
      <c r="AF131" s="71">
        <v>0</v>
      </c>
      <c r="AG131" s="390">
        <v>-1060</v>
      </c>
      <c r="AH131" s="71">
        <v>4827</v>
      </c>
      <c r="AI131" s="85">
        <v>0</v>
      </c>
      <c r="AJ131" s="15"/>
      <c r="AK131" s="15"/>
      <c r="AL131" s="15"/>
      <c r="AM131" s="15"/>
      <c r="AN131" s="268"/>
      <c r="AP131" s="310"/>
    </row>
    <row r="132" spans="1:46" ht="12.75" customHeight="1" x14ac:dyDescent="0.2">
      <c r="A132" s="244"/>
      <c r="B132" s="67"/>
      <c r="E132" s="12" t="s">
        <v>160</v>
      </c>
      <c r="H132" s="454"/>
      <c r="I132" s="390">
        <v>0</v>
      </c>
      <c r="J132" s="390">
        <v>0</v>
      </c>
      <c r="K132" s="390">
        <v>0</v>
      </c>
      <c r="L132" s="390">
        <v>0</v>
      </c>
      <c r="M132" s="390">
        <v>0</v>
      </c>
      <c r="N132" s="390">
        <v>0</v>
      </c>
      <c r="O132" s="15">
        <v>0</v>
      </c>
      <c r="P132" s="284">
        <v>0</v>
      </c>
      <c r="Q132" s="390">
        <v>0</v>
      </c>
      <c r="R132" s="390">
        <v>0</v>
      </c>
      <c r="S132" s="390">
        <v>0</v>
      </c>
      <c r="T132" s="390">
        <v>0</v>
      </c>
      <c r="U132" s="128">
        <v>0</v>
      </c>
      <c r="V132" s="375">
        <v>0</v>
      </c>
      <c r="W132" s="284">
        <v>0</v>
      </c>
      <c r="X132" s="375">
        <v>0</v>
      </c>
      <c r="Y132" s="375">
        <v>0</v>
      </c>
      <c r="Z132" s="375">
        <v>0</v>
      </c>
      <c r="AA132" s="375">
        <v>-59</v>
      </c>
      <c r="AB132" s="71">
        <v>0</v>
      </c>
      <c r="AC132" s="82">
        <v>0</v>
      </c>
      <c r="AD132" s="71">
        <v>0</v>
      </c>
      <c r="AE132" s="375">
        <v>0</v>
      </c>
      <c r="AF132" s="71">
        <v>0</v>
      </c>
      <c r="AG132" s="71">
        <v>0</v>
      </c>
      <c r="AH132" s="71">
        <v>59</v>
      </c>
      <c r="AI132" s="85">
        <v>0</v>
      </c>
      <c r="AJ132" s="15"/>
      <c r="AK132" s="15"/>
      <c r="AL132" s="15"/>
      <c r="AM132" s="15"/>
      <c r="AN132" s="268"/>
      <c r="AP132" s="310"/>
    </row>
    <row r="133" spans="1:46" x14ac:dyDescent="0.2">
      <c r="A133" s="755" t="s">
        <v>161</v>
      </c>
      <c r="B133" s="756"/>
      <c r="C133" s="756"/>
      <c r="D133" s="756"/>
      <c r="E133" s="756"/>
      <c r="F133" s="756"/>
      <c r="G133" s="757"/>
      <c r="H133" s="454">
        <v>0</v>
      </c>
      <c r="I133" s="390">
        <v>0</v>
      </c>
      <c r="J133" s="390">
        <v>0</v>
      </c>
      <c r="K133" s="390">
        <v>0</v>
      </c>
      <c r="L133" s="390">
        <v>0</v>
      </c>
      <c r="M133" s="390">
        <v>0</v>
      </c>
      <c r="N133" s="390">
        <v>0</v>
      </c>
      <c r="O133" s="390">
        <v>0</v>
      </c>
      <c r="P133" s="390">
        <v>0</v>
      </c>
      <c r="Q133" s="390">
        <v>0</v>
      </c>
      <c r="R133" s="390">
        <v>0</v>
      </c>
      <c r="S133" s="390">
        <v>0</v>
      </c>
      <c r="T133" s="390">
        <v>0</v>
      </c>
      <c r="U133" s="128">
        <v>0</v>
      </c>
      <c r="V133" s="375">
        <v>58</v>
      </c>
      <c r="W133" s="284">
        <v>0</v>
      </c>
      <c r="X133" s="375">
        <v>0.66666999999999998</v>
      </c>
      <c r="Y133" s="375">
        <v>0.2</v>
      </c>
      <c r="Z133" s="375">
        <v>0</v>
      </c>
      <c r="AA133" s="375">
        <v>0.05</v>
      </c>
      <c r="AB133" s="71">
        <v>0</v>
      </c>
      <c r="AC133" s="71">
        <v>0</v>
      </c>
      <c r="AD133" s="71">
        <v>54.883330000000001</v>
      </c>
      <c r="AE133" s="71">
        <v>0</v>
      </c>
      <c r="AF133" s="71">
        <v>1.5</v>
      </c>
      <c r="AG133" s="71">
        <v>0</v>
      </c>
      <c r="AH133" s="71">
        <v>1</v>
      </c>
      <c r="AI133" s="85">
        <v>58.300000000000004</v>
      </c>
      <c r="AJ133" s="167"/>
      <c r="AK133" s="15"/>
      <c r="AL133" s="15"/>
      <c r="AM133" s="15"/>
      <c r="AN133" s="268"/>
      <c r="AP133" s="310"/>
    </row>
    <row r="134" spans="1:46" ht="12.75" customHeight="1" x14ac:dyDescent="0.2">
      <c r="A134" s="244" t="s">
        <v>162</v>
      </c>
      <c r="G134" s="402"/>
      <c r="H134" s="284">
        <v>38092273.100000001</v>
      </c>
      <c r="I134" s="390">
        <v>2558272.5997100002</v>
      </c>
      <c r="J134" s="390">
        <v>1599970.9169700001</v>
      </c>
      <c r="K134" s="390">
        <v>1260801.7249700001</v>
      </c>
      <c r="L134" s="390">
        <v>2357605.6139199999</v>
      </c>
      <c r="M134" s="390">
        <v>3646053.3910400001</v>
      </c>
      <c r="N134" s="390">
        <v>5159495.2959899995</v>
      </c>
      <c r="O134" s="390">
        <v>5216230.9491499998</v>
      </c>
      <c r="P134" s="390">
        <v>3621546.1784200002</v>
      </c>
      <c r="Q134" s="390">
        <v>3541896.2725</v>
      </c>
      <c r="R134" s="390">
        <v>3837502.53632</v>
      </c>
      <c r="S134" s="375">
        <v>3989449.6832900001</v>
      </c>
      <c r="T134" s="375">
        <v>3653209.75991</v>
      </c>
      <c r="U134" s="128">
        <v>40442034.922190003</v>
      </c>
      <c r="V134" s="375">
        <v>42755354.662430003</v>
      </c>
      <c r="W134" s="284">
        <v>3727892.12622</v>
      </c>
      <c r="X134" s="375">
        <v>3461514.7302600001</v>
      </c>
      <c r="Y134" s="375">
        <v>3530607.19343</v>
      </c>
      <c r="Z134" s="375">
        <v>3410770.7181799999</v>
      </c>
      <c r="AA134" s="71">
        <v>3201069.94331</v>
      </c>
      <c r="AB134" s="71">
        <v>3566543.301</v>
      </c>
      <c r="AC134" s="71">
        <v>3796988.06317</v>
      </c>
      <c r="AD134" s="71">
        <v>3458010.4393600002</v>
      </c>
      <c r="AE134" s="71">
        <v>3807332.1439099996</v>
      </c>
      <c r="AF134" s="71">
        <v>3528323.70701</v>
      </c>
      <c r="AG134" s="71">
        <v>3495556.9734800002</v>
      </c>
      <c r="AH134" s="71">
        <v>3770745.3230999997</v>
      </c>
      <c r="AI134" s="85">
        <v>42755354.662430003</v>
      </c>
      <c r="AJ134" s="167"/>
      <c r="AK134" s="15"/>
      <c r="AL134" s="15"/>
      <c r="AM134" s="15"/>
      <c r="AN134" s="268"/>
      <c r="AP134" s="310"/>
      <c r="AR134" s="451"/>
    </row>
    <row r="135" spans="1:46" ht="12.75" customHeight="1" x14ac:dyDescent="0.2">
      <c r="A135" s="389" t="s">
        <v>163</v>
      </c>
      <c r="B135" s="438"/>
      <c r="C135" s="438"/>
      <c r="D135" s="438"/>
      <c r="E135" s="438"/>
      <c r="F135" s="438"/>
      <c r="G135" s="438"/>
      <c r="H135" s="233">
        <v>17177171.350000001</v>
      </c>
      <c r="I135" s="309">
        <v>1443405.03764</v>
      </c>
      <c r="J135" s="309">
        <v>1326166.2971099999</v>
      </c>
      <c r="K135" s="309">
        <v>1291739.155</v>
      </c>
      <c r="L135" s="309">
        <v>1457469.74217</v>
      </c>
      <c r="M135" s="309">
        <v>1549732.60968</v>
      </c>
      <c r="N135" s="309">
        <v>1578687.52061</v>
      </c>
      <c r="O135" s="309">
        <v>1531309.00902</v>
      </c>
      <c r="P135" s="309">
        <v>1589698.23523</v>
      </c>
      <c r="Q135" s="309">
        <v>1721507.47046</v>
      </c>
      <c r="R135" s="309">
        <v>1629108.45141</v>
      </c>
      <c r="S135" s="233">
        <v>1595976.8491300002</v>
      </c>
      <c r="T135" s="233">
        <v>1680698.82703</v>
      </c>
      <c r="U135" s="465">
        <v>18395499.204490002</v>
      </c>
      <c r="V135" s="309">
        <v>20100560.826980002</v>
      </c>
      <c r="W135" s="233">
        <v>1510983.9494400001</v>
      </c>
      <c r="X135" s="375">
        <v>1595692.48232</v>
      </c>
      <c r="Y135" s="233">
        <v>1622086.74618</v>
      </c>
      <c r="Z135" s="233">
        <v>1624245.86387</v>
      </c>
      <c r="AA135" s="233">
        <v>1658067.0172999999</v>
      </c>
      <c r="AB135" s="233">
        <v>1642823.66334</v>
      </c>
      <c r="AC135" s="233">
        <v>1663487.2553599998</v>
      </c>
      <c r="AD135" s="233">
        <v>1664709.8666300001</v>
      </c>
      <c r="AE135" s="233">
        <v>1788519.15705</v>
      </c>
      <c r="AF135" s="233">
        <v>1670315.0718399999</v>
      </c>
      <c r="AG135" s="233">
        <v>1763840.9556199999</v>
      </c>
      <c r="AH135" s="233">
        <v>1895788.7980299999</v>
      </c>
      <c r="AI135" s="85">
        <v>20100560.826980002</v>
      </c>
      <c r="AJ135" s="167"/>
      <c r="AK135" s="15"/>
      <c r="AL135" s="15"/>
      <c r="AM135" s="15"/>
      <c r="AN135" s="268"/>
      <c r="AP135" s="310"/>
    </row>
    <row r="136" spans="1:46" ht="12.75" customHeight="1" x14ac:dyDescent="0.2">
      <c r="A136" s="484" t="s">
        <v>164</v>
      </c>
      <c r="H136" s="95"/>
      <c r="I136" s="396">
        <v>67582916.620230004</v>
      </c>
      <c r="J136" s="396">
        <v>71935965.036200017</v>
      </c>
      <c r="K136" s="396">
        <v>111119018.19630001</v>
      </c>
      <c r="L136" s="396">
        <v>66546355.865609996</v>
      </c>
      <c r="M136" s="396">
        <v>106920604.21582998</v>
      </c>
      <c r="N136" s="396">
        <v>112870202.75457998</v>
      </c>
      <c r="O136" s="396">
        <v>90670996.475909993</v>
      </c>
      <c r="P136" s="396">
        <v>104873390.44219001</v>
      </c>
      <c r="Q136" s="396">
        <v>181658060.38802999</v>
      </c>
      <c r="R136" s="396">
        <v>93196838.759669974</v>
      </c>
      <c r="S136" s="396">
        <v>138694148.79780996</v>
      </c>
      <c r="T136" s="396">
        <v>152579066.86655998</v>
      </c>
      <c r="U136" s="227">
        <v>1298647563.4189196</v>
      </c>
      <c r="V136" s="20">
        <v>1407694283.4348805</v>
      </c>
      <c r="W136" s="162">
        <v>79152589.595310032</v>
      </c>
      <c r="X136" s="108">
        <v>102711020.61303</v>
      </c>
      <c r="Y136" s="108">
        <v>152239555.81156999</v>
      </c>
      <c r="Z136" s="294">
        <v>79408860.271009982</v>
      </c>
      <c r="AA136" s="108">
        <v>123216483.81714998</v>
      </c>
      <c r="AB136" s="108">
        <v>123153810.1278</v>
      </c>
      <c r="AC136" s="108">
        <v>89411944.341419965</v>
      </c>
      <c r="AD136" s="108">
        <v>101332205.83091001</v>
      </c>
      <c r="AE136" s="108">
        <v>165825992.96880001</v>
      </c>
      <c r="AF136" s="108">
        <v>96688831.304470032</v>
      </c>
      <c r="AG136" s="108">
        <v>149959544.04717997</v>
      </c>
      <c r="AH136" s="108">
        <v>144593444.70876995</v>
      </c>
      <c r="AI136" s="306">
        <v>1407694283.4374199</v>
      </c>
      <c r="AJ136" s="116"/>
      <c r="AK136" s="287"/>
      <c r="AL136" s="287"/>
      <c r="AM136" s="287"/>
      <c r="AN136" s="268"/>
      <c r="AP136" s="310"/>
    </row>
    <row r="137" spans="1:46" ht="12.75" customHeight="1" x14ac:dyDescent="0.2">
      <c r="A137" s="244" t="s">
        <v>165</v>
      </c>
      <c r="G137" s="180"/>
      <c r="H137" s="454"/>
      <c r="I137" s="390">
        <v>16415</v>
      </c>
      <c r="J137" s="390">
        <v>3123</v>
      </c>
      <c r="K137" s="390">
        <v>-12025</v>
      </c>
      <c r="L137" s="390">
        <v>13620</v>
      </c>
      <c r="M137" s="390">
        <v>-26756</v>
      </c>
      <c r="N137" s="390">
        <v>15209</v>
      </c>
      <c r="O137" s="390">
        <v>32487</v>
      </c>
      <c r="P137" s="390">
        <v>1142</v>
      </c>
      <c r="Q137" s="390">
        <v>13195</v>
      </c>
      <c r="R137" s="390">
        <v>-29488</v>
      </c>
      <c r="S137" s="375">
        <v>-4053</v>
      </c>
      <c r="T137" s="375">
        <v>19964</v>
      </c>
      <c r="U137" s="128">
        <v>42833</v>
      </c>
      <c r="V137" s="375">
        <v>31925</v>
      </c>
      <c r="W137" s="15">
        <v>-244488</v>
      </c>
      <c r="X137" s="71">
        <v>7619</v>
      </c>
      <c r="Y137" s="409">
        <v>-10474</v>
      </c>
      <c r="Z137" s="375">
        <v>234915</v>
      </c>
      <c r="AA137" s="375">
        <v>98725</v>
      </c>
      <c r="AB137" s="71">
        <v>19911</v>
      </c>
      <c r="AC137" s="71">
        <v>-55150</v>
      </c>
      <c r="AD137" s="71">
        <v>54061</v>
      </c>
      <c r="AE137" s="71">
        <v>388</v>
      </c>
      <c r="AF137" s="71">
        <v>-58683</v>
      </c>
      <c r="AG137" s="71">
        <v>12145</v>
      </c>
      <c r="AH137" s="71">
        <v>-27044</v>
      </c>
      <c r="AI137" s="85">
        <v>31925</v>
      </c>
      <c r="AJ137" s="167"/>
      <c r="AK137" s="15"/>
      <c r="AL137" s="15"/>
      <c r="AM137" s="15"/>
      <c r="AN137" s="268"/>
      <c r="AP137" s="310"/>
      <c r="AS137" s="451"/>
    </row>
    <row r="138" spans="1:46" ht="12.75" customHeight="1" x14ac:dyDescent="0.2">
      <c r="A138" s="755" t="s">
        <v>166</v>
      </c>
      <c r="B138" s="756"/>
      <c r="C138" s="756"/>
      <c r="D138" s="756"/>
      <c r="E138" s="756"/>
      <c r="F138" s="756"/>
      <c r="G138" s="757"/>
      <c r="H138" s="454"/>
      <c r="I138" s="390">
        <v>0</v>
      </c>
      <c r="J138" s="390">
        <v>0</v>
      </c>
      <c r="K138" s="390">
        <v>0</v>
      </c>
      <c r="L138" s="390">
        <v>0</v>
      </c>
      <c r="M138" s="390">
        <v>0</v>
      </c>
      <c r="N138" s="390">
        <v>0</v>
      </c>
      <c r="O138" s="390">
        <v>0</v>
      </c>
      <c r="P138" s="390">
        <v>0</v>
      </c>
      <c r="Q138" s="390">
        <v>0</v>
      </c>
      <c r="R138" s="390">
        <v>0</v>
      </c>
      <c r="S138" s="375">
        <v>0</v>
      </c>
      <c r="T138" s="375">
        <v>0</v>
      </c>
      <c r="U138" s="128">
        <v>0</v>
      </c>
      <c r="V138" s="375">
        <v>-57.5</v>
      </c>
      <c r="W138" s="15">
        <v>0</v>
      </c>
      <c r="X138" s="71">
        <v>0</v>
      </c>
      <c r="Y138" s="409">
        <v>-1</v>
      </c>
      <c r="Z138" s="375">
        <v>0</v>
      </c>
      <c r="AA138" s="375">
        <v>0</v>
      </c>
      <c r="AB138" s="71">
        <v>0</v>
      </c>
      <c r="AC138" s="71">
        <v>0</v>
      </c>
      <c r="AD138" s="71">
        <v>0</v>
      </c>
      <c r="AE138" s="71">
        <v>-55</v>
      </c>
      <c r="AF138" s="71">
        <v>0</v>
      </c>
      <c r="AG138" s="71">
        <v>-1.5</v>
      </c>
      <c r="AH138" s="71">
        <v>0</v>
      </c>
      <c r="AI138" s="85">
        <v>-57.5</v>
      </c>
      <c r="AJ138" s="167"/>
      <c r="AK138" s="15"/>
      <c r="AL138" s="15"/>
      <c r="AM138" s="15"/>
      <c r="AN138" s="268"/>
      <c r="AP138" s="310"/>
    </row>
    <row r="139" spans="1:46" ht="12.75" customHeight="1" x14ac:dyDescent="0.2">
      <c r="A139" s="244" t="s">
        <v>167</v>
      </c>
      <c r="H139" s="454"/>
      <c r="I139" s="390">
        <v>-3770745</v>
      </c>
      <c r="J139" s="390">
        <v>-2558273</v>
      </c>
      <c r="K139" s="390">
        <v>-1599971</v>
      </c>
      <c r="L139" s="390">
        <v>-1260802</v>
      </c>
      <c r="M139" s="390">
        <v>-2357606</v>
      </c>
      <c r="N139" s="390">
        <v>-3646053</v>
      </c>
      <c r="O139" s="71">
        <v>-5159495</v>
      </c>
      <c r="P139" s="390">
        <v>-5216231</v>
      </c>
      <c r="Q139" s="390">
        <v>0</v>
      </c>
      <c r="R139" s="390">
        <v>-7163442</v>
      </c>
      <c r="S139" s="375">
        <v>-3837503</v>
      </c>
      <c r="T139" s="375">
        <v>-3989449</v>
      </c>
      <c r="U139" s="128">
        <v>-40559570</v>
      </c>
      <c r="V139" s="375">
        <v>-42632836</v>
      </c>
      <c r="W139" s="15">
        <v>-3648226</v>
      </c>
      <c r="X139" s="71">
        <v>-3727892</v>
      </c>
      <c r="Y139" s="409">
        <v>-3461515</v>
      </c>
      <c r="Z139" s="375">
        <v>-3530607</v>
      </c>
      <c r="AA139" s="375">
        <v>-3410771</v>
      </c>
      <c r="AB139" s="71">
        <v>-3201070</v>
      </c>
      <c r="AC139" s="71">
        <v>-3566544</v>
      </c>
      <c r="AD139" s="71">
        <v>-3796988</v>
      </c>
      <c r="AE139" s="71">
        <v>-3458010</v>
      </c>
      <c r="AF139" s="71">
        <v>-3807332</v>
      </c>
      <c r="AG139" s="71">
        <v>-3528324</v>
      </c>
      <c r="AH139" s="71">
        <v>-3495557</v>
      </c>
      <c r="AI139" s="85">
        <v>-42632836</v>
      </c>
      <c r="AJ139" s="167"/>
      <c r="AK139" s="15"/>
      <c r="AL139" s="15"/>
      <c r="AM139" s="15"/>
      <c r="AN139" s="268"/>
      <c r="AP139" s="310"/>
      <c r="AS139" s="451"/>
    </row>
    <row r="140" spans="1:46" ht="12.75" customHeight="1" x14ac:dyDescent="0.2">
      <c r="A140" s="244" t="s">
        <v>168</v>
      </c>
      <c r="H140" s="454"/>
      <c r="I140" s="390">
        <v>-1895789</v>
      </c>
      <c r="J140" s="390">
        <v>-1443405</v>
      </c>
      <c r="K140" s="390">
        <v>-1326166</v>
      </c>
      <c r="L140" s="390">
        <v>-1291739</v>
      </c>
      <c r="M140" s="390">
        <v>-1457470</v>
      </c>
      <c r="N140" s="390">
        <v>-1549733</v>
      </c>
      <c r="O140" s="71">
        <v>-1578687</v>
      </c>
      <c r="P140" s="390">
        <v>-1531309</v>
      </c>
      <c r="Q140" s="390">
        <v>-1589698</v>
      </c>
      <c r="R140" s="390">
        <v>-1721508</v>
      </c>
      <c r="S140" s="375">
        <v>-1629108</v>
      </c>
      <c r="T140" s="375">
        <v>-1595976</v>
      </c>
      <c r="U140" s="128">
        <v>-18610588</v>
      </c>
      <c r="V140" s="375">
        <v>-19901483</v>
      </c>
      <c r="W140" s="15">
        <v>-1696711</v>
      </c>
      <c r="X140" s="71">
        <v>-1510984</v>
      </c>
      <c r="Y140" s="409">
        <v>-1595692</v>
      </c>
      <c r="Z140" s="375">
        <v>-1622087</v>
      </c>
      <c r="AA140" s="375">
        <v>-1624246</v>
      </c>
      <c r="AB140" s="71">
        <v>-1658067</v>
      </c>
      <c r="AC140" s="71">
        <v>-1642824</v>
      </c>
      <c r="AD140" s="71">
        <v>-1663487</v>
      </c>
      <c r="AE140" s="71">
        <v>-1664710</v>
      </c>
      <c r="AF140" s="71">
        <v>-1788519</v>
      </c>
      <c r="AG140" s="71">
        <v>-1670315</v>
      </c>
      <c r="AH140" s="71">
        <v>-1763841</v>
      </c>
      <c r="AI140" s="85">
        <v>-19901483</v>
      </c>
      <c r="AJ140" s="167"/>
      <c r="AK140" s="15"/>
      <c r="AL140" s="15"/>
      <c r="AM140" s="15"/>
      <c r="AN140" s="268"/>
      <c r="AP140" s="310"/>
    </row>
    <row r="141" spans="1:46" ht="12.75" customHeight="1" x14ac:dyDescent="0.2">
      <c r="A141" s="771" t="s">
        <v>169</v>
      </c>
      <c r="B141" s="772"/>
      <c r="C141" s="772"/>
      <c r="D141" s="772"/>
      <c r="E141" s="772"/>
      <c r="F141" s="772"/>
      <c r="G141" s="773"/>
      <c r="H141" s="233"/>
      <c r="I141" s="390">
        <v>-49650</v>
      </c>
      <c r="J141" s="390">
        <v>32382</v>
      </c>
      <c r="K141" s="390">
        <v>-2360</v>
      </c>
      <c r="L141" s="390">
        <v>18537</v>
      </c>
      <c r="M141" s="390">
        <v>1744</v>
      </c>
      <c r="N141" s="390">
        <v>-754</v>
      </c>
      <c r="O141" s="390">
        <v>-52933</v>
      </c>
      <c r="P141" s="390">
        <v>2704</v>
      </c>
      <c r="Q141" s="390">
        <v>2519</v>
      </c>
      <c r="R141" s="390">
        <v>2262</v>
      </c>
      <c r="S141" s="375">
        <v>17776</v>
      </c>
      <c r="T141" s="375">
        <v>-37091</v>
      </c>
      <c r="U141" s="128">
        <v>-64864</v>
      </c>
      <c r="V141" s="158">
        <v>12169</v>
      </c>
      <c r="W141" s="15">
        <v>-1870</v>
      </c>
      <c r="X141" s="434">
        <v>3506</v>
      </c>
      <c r="Y141" s="409">
        <v>4746</v>
      </c>
      <c r="Z141" s="375">
        <v>104384</v>
      </c>
      <c r="AA141" s="375">
        <v>3409</v>
      </c>
      <c r="AB141" s="434">
        <v>-8507</v>
      </c>
      <c r="AC141" s="434">
        <v>-32787</v>
      </c>
      <c r="AD141" s="434">
        <v>1715</v>
      </c>
      <c r="AE141" s="434">
        <v>26449</v>
      </c>
      <c r="AF141" s="434">
        <v>-26507</v>
      </c>
      <c r="AG141" s="434">
        <v>4991</v>
      </c>
      <c r="AH141" s="434">
        <v>-67360</v>
      </c>
      <c r="AI141" s="85">
        <v>12169</v>
      </c>
      <c r="AJ141" s="167"/>
      <c r="AK141" s="15"/>
      <c r="AL141" s="15"/>
      <c r="AM141" s="15"/>
      <c r="AN141" s="268"/>
      <c r="AP141" s="310"/>
    </row>
    <row r="142" spans="1:46" ht="12.75" customHeight="1" x14ac:dyDescent="0.2">
      <c r="A142" s="428" t="s">
        <v>170</v>
      </c>
      <c r="B142" s="105"/>
      <c r="C142" s="105"/>
      <c r="D142" s="105"/>
      <c r="E142" s="105"/>
      <c r="F142" s="105"/>
      <c r="G142" s="259"/>
      <c r="H142" s="223"/>
      <c r="I142" s="223">
        <v>61883147.620230004</v>
      </c>
      <c r="J142" s="223">
        <v>67969792.036200017</v>
      </c>
      <c r="K142" s="223">
        <v>108178496.19630001</v>
      </c>
      <c r="L142" s="223">
        <v>64025971.865609996</v>
      </c>
      <c r="M142" s="223">
        <v>103080516.21582998</v>
      </c>
      <c r="N142" s="223">
        <v>107688871.75457998</v>
      </c>
      <c r="O142" s="223">
        <v>83912369.475909993</v>
      </c>
      <c r="P142" s="223">
        <v>98129696.442190006</v>
      </c>
      <c r="Q142" s="223">
        <v>180084076.38802999</v>
      </c>
      <c r="R142" s="223">
        <v>84284662.759669974</v>
      </c>
      <c r="S142" s="223">
        <v>133241260.79780996</v>
      </c>
      <c r="T142" s="223">
        <v>146976514.86655998</v>
      </c>
      <c r="U142" s="482">
        <v>1239455376.4189196</v>
      </c>
      <c r="V142" s="50">
        <v>1345204000.9348805</v>
      </c>
      <c r="W142" s="230">
        <v>73561294.595310032</v>
      </c>
      <c r="X142" s="230">
        <v>97483269.613030002</v>
      </c>
      <c r="Y142" s="230">
        <v>147176619.81156999</v>
      </c>
      <c r="Z142" s="230">
        <v>74595465.271009982</v>
      </c>
      <c r="AA142" s="230">
        <v>118283600.81714998</v>
      </c>
      <c r="AB142" s="230">
        <v>118306077.1278</v>
      </c>
      <c r="AC142" s="230">
        <v>84114639.341419965</v>
      </c>
      <c r="AD142" s="230">
        <v>95927506.830910012</v>
      </c>
      <c r="AE142" s="230">
        <v>160730054.96880001</v>
      </c>
      <c r="AF142" s="230">
        <v>91007790.304470032</v>
      </c>
      <c r="AG142" s="230">
        <v>144778039.54717997</v>
      </c>
      <c r="AH142" s="230">
        <v>139239642.70876995</v>
      </c>
      <c r="AI142" s="126">
        <v>1345204000.9374199</v>
      </c>
      <c r="AJ142" s="484"/>
      <c r="AK142" s="451"/>
      <c r="AL142" s="451"/>
      <c r="AM142" s="451"/>
      <c r="AN142" s="268"/>
      <c r="AP142" s="310"/>
    </row>
    <row r="143" spans="1:46" s="132" customFormat="1" ht="12.75" customHeight="1" x14ac:dyDescent="0.2">
      <c r="A143" s="774" t="s">
        <v>171</v>
      </c>
      <c r="B143" s="774"/>
      <c r="C143" s="774"/>
      <c r="D143" s="774"/>
      <c r="E143" s="774"/>
      <c r="F143" s="774"/>
      <c r="G143" s="774"/>
      <c r="H143" s="774"/>
      <c r="I143" s="774"/>
      <c r="J143" s="774"/>
      <c r="K143" s="774"/>
      <c r="L143" s="774"/>
      <c r="M143" s="774"/>
      <c r="N143" s="774"/>
      <c r="O143" s="774"/>
      <c r="P143" s="774"/>
      <c r="Q143" s="774"/>
      <c r="R143" s="774"/>
      <c r="S143" s="774"/>
      <c r="T143" s="774"/>
      <c r="U143" s="774"/>
      <c r="V143" s="774"/>
      <c r="W143" s="774">
        <v>3510</v>
      </c>
      <c r="X143" s="754"/>
      <c r="Y143" s="774"/>
      <c r="Z143" s="774"/>
      <c r="AA143" s="774"/>
      <c r="AB143" s="774"/>
      <c r="AC143" s="774"/>
      <c r="AD143" s="774"/>
      <c r="AE143" s="774"/>
      <c r="AF143" s="774"/>
      <c r="AG143" s="774"/>
      <c r="AH143" s="774"/>
      <c r="AI143" s="774"/>
      <c r="AR143" s="12"/>
      <c r="AS143" s="12"/>
      <c r="AT143" s="12"/>
    </row>
    <row r="144" spans="1:46" ht="12.75" customHeight="1" x14ac:dyDescent="0.2">
      <c r="A144" s="754" t="s">
        <v>172</v>
      </c>
      <c r="B144" s="754"/>
      <c r="C144" s="754"/>
      <c r="D144" s="754"/>
      <c r="E144" s="754"/>
      <c r="F144" s="754"/>
      <c r="G144" s="754"/>
      <c r="H144" s="754"/>
      <c r="I144" s="754"/>
      <c r="J144" s="754"/>
      <c r="K144" s="754"/>
      <c r="L144" s="754"/>
      <c r="M144" s="754"/>
      <c r="N144" s="754"/>
      <c r="O144" s="754"/>
      <c r="P144" s="754"/>
      <c r="Q144" s="754"/>
      <c r="R144" s="754"/>
      <c r="S144" s="754"/>
      <c r="T144" s="754"/>
      <c r="U144" s="754"/>
      <c r="V144" s="754"/>
      <c r="W144" s="754">
        <v>68217997.595310032</v>
      </c>
      <c r="X144" s="754"/>
      <c r="Y144" s="754"/>
      <c r="Z144" s="754"/>
      <c r="AA144" s="754"/>
      <c r="AB144" s="754"/>
      <c r="AC144" s="754"/>
      <c r="AD144" s="754"/>
      <c r="AE144" s="754"/>
      <c r="AF144" s="754"/>
      <c r="AG144" s="754"/>
      <c r="AH144" s="754"/>
      <c r="AI144" s="754"/>
      <c r="AJ144" s="132"/>
      <c r="AK144" s="132"/>
      <c r="AL144" s="132"/>
      <c r="AM144" s="132"/>
      <c r="AN144" s="132"/>
      <c r="AS144" s="132"/>
      <c r="AT144" s="310"/>
    </row>
    <row r="145" spans="1:54" ht="12.75" customHeight="1" x14ac:dyDescent="0.2">
      <c r="A145" s="754" t="s">
        <v>173</v>
      </c>
      <c r="B145" s="754"/>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132"/>
      <c r="AK145" s="132"/>
      <c r="AL145" s="132"/>
      <c r="AM145" s="132"/>
      <c r="AN145" s="310"/>
      <c r="AO145" s="310"/>
      <c r="AP145" s="310"/>
      <c r="AQ145" s="310"/>
      <c r="AS145" s="132"/>
    </row>
    <row r="146" spans="1:54" ht="12.75" customHeight="1" x14ac:dyDescent="0.2">
      <c r="A146" s="754" t="s">
        <v>174</v>
      </c>
      <c r="B146" s="754"/>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132"/>
      <c r="AK146" s="132"/>
      <c r="AL146" s="132"/>
      <c r="AM146" s="132"/>
      <c r="AN146" s="413"/>
      <c r="AO146" s="413"/>
      <c r="AP146" s="413"/>
      <c r="AQ146" s="413"/>
    </row>
    <row r="147" spans="1:54" ht="12.75" customHeight="1" x14ac:dyDescent="0.2">
      <c r="A147" s="754" t="s">
        <v>175</v>
      </c>
      <c r="B147" s="754"/>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132"/>
      <c r="AK147" s="132"/>
      <c r="AL147" s="132"/>
      <c r="AM147" s="132"/>
    </row>
    <row r="148" spans="1:54" ht="12.75" customHeight="1" x14ac:dyDescent="0.2">
      <c r="A148" s="132" t="s">
        <v>176</v>
      </c>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row>
    <row r="149" spans="1:54" ht="12.75" customHeight="1" x14ac:dyDescent="0.2">
      <c r="A149" s="754" t="s">
        <v>177</v>
      </c>
      <c r="B149" s="754"/>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132"/>
      <c r="AK149" s="132"/>
      <c r="AL149" s="132"/>
      <c r="AM149" s="132"/>
    </row>
    <row r="150" spans="1:54" ht="12.75" customHeight="1" x14ac:dyDescent="0.2">
      <c r="A150" s="132"/>
      <c r="B150" s="132"/>
      <c r="C150" s="132"/>
      <c r="D150" s="132"/>
      <c r="E150" s="103"/>
      <c r="F150" s="132"/>
      <c r="G150" s="132"/>
      <c r="I150" s="132"/>
      <c r="J150" s="132"/>
      <c r="K150" s="132"/>
      <c r="L150" s="132"/>
      <c r="M150" s="132"/>
      <c r="N150" s="132"/>
      <c r="O150" s="132"/>
      <c r="P150" s="132"/>
      <c r="Q150" s="132"/>
      <c r="R150" s="132"/>
      <c r="S150" s="132"/>
      <c r="T150" s="132"/>
      <c r="U150" s="132"/>
      <c r="V150" s="132"/>
      <c r="W150" s="310"/>
      <c r="X150" s="310"/>
      <c r="Y150" s="310"/>
      <c r="Z150" s="310"/>
      <c r="AA150" s="310"/>
      <c r="AB150" s="310"/>
      <c r="AC150" s="310"/>
      <c r="AD150" s="310"/>
      <c r="AE150" s="310"/>
      <c r="AF150" s="310"/>
      <c r="AG150" s="310"/>
      <c r="AH150" s="310"/>
      <c r="AI150" s="310"/>
      <c r="AJ150" s="310"/>
      <c r="AK150" s="310"/>
      <c r="AL150" s="310"/>
      <c r="AM150" s="310"/>
    </row>
    <row r="151" spans="1:54" s="243" customFormat="1" ht="12.75" customHeight="1" x14ac:dyDescent="0.2">
      <c r="A151" s="450"/>
      <c r="B151" s="450"/>
      <c r="C151" s="450"/>
      <c r="E151" s="450"/>
      <c r="AN151" s="450"/>
    </row>
    <row r="152" spans="1:54" s="145" customFormat="1" ht="12.6" customHeight="1" x14ac:dyDescent="0.2"/>
    <row r="153" spans="1:54" s="243" customFormat="1" ht="12.75" customHeight="1" x14ac:dyDescent="0.2">
      <c r="AR153" s="145"/>
      <c r="AS153" s="145"/>
    </row>
    <row r="154" spans="1:54" s="243" customFormat="1" ht="12.75" customHeight="1" x14ac:dyDescent="0.2">
      <c r="H154" s="320"/>
      <c r="I154" s="320"/>
      <c r="J154" s="320"/>
      <c r="K154" s="320"/>
      <c r="L154" s="320"/>
      <c r="M154" s="320"/>
      <c r="N154" s="320"/>
      <c r="O154" s="320"/>
      <c r="P154" s="320"/>
      <c r="Q154" s="320"/>
      <c r="R154" s="320"/>
      <c r="S154" s="320"/>
      <c r="T154" s="320"/>
      <c r="U154" s="320"/>
      <c r="V154" s="320"/>
      <c r="W154" s="320"/>
      <c r="X154" s="320"/>
      <c r="Y154" s="320"/>
      <c r="Z154" s="320"/>
      <c r="AA154" s="320"/>
      <c r="AB154" s="320"/>
      <c r="AC154" s="320"/>
      <c r="AD154" s="320"/>
      <c r="AE154" s="320"/>
      <c r="AF154" s="320"/>
      <c r="AG154" s="320"/>
      <c r="AH154" s="320"/>
      <c r="AI154" s="320"/>
      <c r="AJ154" s="320"/>
      <c r="AK154" s="320"/>
      <c r="AL154" s="320"/>
      <c r="AM154" s="320"/>
      <c r="AR154" s="145"/>
      <c r="AS154" s="145"/>
    </row>
    <row r="155" spans="1:54" s="243" customFormat="1" ht="12.75" customHeight="1" x14ac:dyDescent="0.2">
      <c r="H155" s="487"/>
      <c r="I155" s="487"/>
      <c r="J155" s="487"/>
      <c r="K155" s="487"/>
      <c r="L155" s="487"/>
      <c r="M155" s="487"/>
      <c r="N155" s="487"/>
      <c r="O155" s="320"/>
      <c r="P155" s="487"/>
      <c r="Q155" s="487"/>
      <c r="R155" s="47"/>
      <c r="S155" s="487"/>
      <c r="T155" s="487"/>
      <c r="U155" s="487"/>
      <c r="V155" s="487"/>
      <c r="W155" s="487"/>
      <c r="X155" s="487"/>
      <c r="Y155" s="487"/>
      <c r="Z155" s="487"/>
      <c r="AA155" s="487"/>
      <c r="AB155" s="487"/>
      <c r="AC155" s="487"/>
      <c r="AD155" s="487"/>
      <c r="AE155" s="487"/>
      <c r="AF155" s="487"/>
      <c r="AG155" s="487"/>
      <c r="AH155" s="487"/>
      <c r="AI155" s="487"/>
      <c r="AJ155" s="487"/>
      <c r="AK155" s="487"/>
      <c r="AL155" s="487"/>
      <c r="AM155" s="487"/>
      <c r="AN155" s="487"/>
      <c r="AO155" s="487"/>
      <c r="AP155" s="487"/>
      <c r="AQ155" s="487"/>
      <c r="AR155" s="487"/>
      <c r="AS155" s="487"/>
      <c r="AT155" s="487"/>
      <c r="AU155" s="487"/>
      <c r="AV155" s="487"/>
      <c r="AW155" s="487"/>
      <c r="AX155" s="487"/>
      <c r="AY155" s="487"/>
      <c r="AZ155" s="487"/>
      <c r="BA155" s="487"/>
      <c r="BB155" s="487"/>
    </row>
    <row r="156" spans="1:54" s="243" customFormat="1" ht="12.75" customHeight="1" x14ac:dyDescent="0.2">
      <c r="H156" s="14"/>
      <c r="I156" s="14"/>
      <c r="J156" s="14"/>
      <c r="K156" s="14"/>
      <c r="L156" s="14"/>
      <c r="M156" s="14"/>
      <c r="N156" s="14"/>
      <c r="O156" s="14"/>
      <c r="P156" s="14"/>
      <c r="Q156" s="14"/>
      <c r="R156" s="14"/>
      <c r="S156" s="14"/>
      <c r="T156" s="14"/>
      <c r="U156" s="14"/>
      <c r="V156" s="487"/>
      <c r="W156" s="14"/>
      <c r="X156" s="14"/>
      <c r="Y156" s="14"/>
      <c r="Z156" s="14"/>
      <c r="AA156" s="14"/>
      <c r="AB156" s="14"/>
      <c r="AC156" s="14"/>
      <c r="AD156" s="14"/>
      <c r="AE156" s="14"/>
      <c r="AF156" s="14"/>
      <c r="AG156" s="14"/>
      <c r="AH156" s="14"/>
      <c r="AI156" s="14"/>
      <c r="AJ156" s="14"/>
      <c r="AK156" s="14"/>
      <c r="AL156" s="14"/>
      <c r="AM156" s="14"/>
    </row>
    <row r="157" spans="1:54" s="243" customFormat="1" ht="12.75" customHeight="1" x14ac:dyDescent="0.2">
      <c r="H157" s="320"/>
      <c r="I157" s="320"/>
      <c r="J157" s="320"/>
      <c r="K157" s="320"/>
      <c r="L157" s="320"/>
      <c r="M157" s="320"/>
      <c r="N157" s="320"/>
      <c r="O157" s="320"/>
      <c r="P157" s="320"/>
      <c r="Q157" s="320"/>
      <c r="R157" s="320"/>
      <c r="S157" s="320"/>
      <c r="T157" s="320"/>
      <c r="U157" s="320"/>
      <c r="V157" s="320"/>
      <c r="W157" s="320"/>
      <c r="X157" s="320"/>
      <c r="Y157" s="320"/>
      <c r="Z157" s="320"/>
      <c r="AA157" s="320"/>
      <c r="AB157" s="320"/>
      <c r="AC157" s="320"/>
      <c r="AD157" s="320"/>
      <c r="AE157" s="320"/>
      <c r="AF157" s="320"/>
      <c r="AG157" s="320"/>
      <c r="AH157" s="320"/>
      <c r="AI157" s="320"/>
      <c r="AJ157" s="320"/>
      <c r="AK157" s="320"/>
      <c r="AL157" s="320"/>
      <c r="AM157" s="320"/>
    </row>
    <row r="158" spans="1:54" ht="12.75" customHeight="1" x14ac:dyDescent="0.2">
      <c r="V158" s="12"/>
    </row>
    <row r="159" spans="1:54" ht="12.75" customHeight="1" x14ac:dyDescent="0.2">
      <c r="V159" s="12"/>
    </row>
    <row r="160" spans="1:54" ht="12.75" customHeight="1" x14ac:dyDescent="0.2">
      <c r="V160" s="12"/>
    </row>
    <row r="161" spans="22:22" ht="12.75" customHeight="1" x14ac:dyDescent="0.2">
      <c r="V161" s="12"/>
    </row>
    <row r="162" spans="22:22" ht="12.75" customHeight="1" x14ac:dyDescent="0.2">
      <c r="V162" s="12"/>
    </row>
    <row r="163" spans="22:22" ht="12.75" customHeight="1" x14ac:dyDescent="0.2">
      <c r="V163" s="12"/>
    </row>
    <row r="164" spans="22:22" ht="12.75" customHeight="1" x14ac:dyDescent="0.2">
      <c r="V164" s="12"/>
    </row>
    <row r="165" spans="22:22" ht="12.75" customHeight="1" x14ac:dyDescent="0.2">
      <c r="V165" s="12"/>
    </row>
    <row r="166" spans="22:22" ht="12.75" customHeight="1" x14ac:dyDescent="0.2">
      <c r="V166" s="12"/>
    </row>
    <row r="167" spans="22:22" ht="12.75" customHeight="1" x14ac:dyDescent="0.2">
      <c r="V167" s="12"/>
    </row>
    <row r="168" spans="22:22" ht="12.75" customHeight="1" x14ac:dyDescent="0.2">
      <c r="V168" s="12"/>
    </row>
    <row r="169" spans="22:22" ht="12.75" customHeight="1" x14ac:dyDescent="0.2">
      <c r="V169" s="12"/>
    </row>
    <row r="170" spans="22:22" ht="12.75" customHeight="1" x14ac:dyDescent="0.2">
      <c r="V170" s="12"/>
    </row>
    <row r="171" spans="22:22" ht="12.75" customHeight="1" x14ac:dyDescent="0.2">
      <c r="V171" s="12"/>
    </row>
    <row r="172" spans="22:22" ht="12.75" customHeight="1" x14ac:dyDescent="0.2">
      <c r="V172" s="12"/>
    </row>
    <row r="173" spans="22:22" ht="12.75" customHeight="1" x14ac:dyDescent="0.2">
      <c r="V173" s="12"/>
    </row>
    <row r="174" spans="22:22" ht="12.75" customHeight="1" x14ac:dyDescent="0.2">
      <c r="V174" s="12"/>
    </row>
    <row r="175" spans="22:22" ht="12.75" customHeight="1" x14ac:dyDescent="0.2">
      <c r="V175" s="12"/>
    </row>
    <row r="176" spans="22:22" ht="12.75" customHeight="1" x14ac:dyDescent="0.2">
      <c r="V176" s="12"/>
    </row>
    <row r="177" spans="22:22" ht="12.75" customHeight="1" x14ac:dyDescent="0.2">
      <c r="V177" s="12"/>
    </row>
    <row r="178" spans="22:22" ht="12.75" customHeight="1" x14ac:dyDescent="0.2">
      <c r="V178" s="12"/>
    </row>
    <row r="179" spans="22:22" ht="12.75" customHeight="1" x14ac:dyDescent="0.2">
      <c r="V179" s="12"/>
    </row>
    <row r="180" spans="22:22" ht="12.75" customHeight="1" x14ac:dyDescent="0.2">
      <c r="V180" s="12"/>
    </row>
    <row r="181" spans="22:22" ht="12.75" customHeight="1" x14ac:dyDescent="0.2">
      <c r="V181" s="12"/>
    </row>
    <row r="182" spans="22:22" ht="12.75" customHeight="1" x14ac:dyDescent="0.2">
      <c r="V182" s="12"/>
    </row>
    <row r="183" spans="22:22" ht="12.75" customHeight="1" x14ac:dyDescent="0.2">
      <c r="V183" s="12"/>
    </row>
    <row r="184" spans="22:22" ht="12.75" customHeight="1" x14ac:dyDescent="0.2">
      <c r="V184" s="12"/>
    </row>
    <row r="185" spans="22:22" ht="12.75" customHeight="1" x14ac:dyDescent="0.2">
      <c r="V185" s="12"/>
    </row>
    <row r="186" spans="22:22" ht="12.75" customHeight="1" x14ac:dyDescent="0.2">
      <c r="V186" s="12"/>
    </row>
    <row r="187" spans="22:22" ht="12.75" customHeight="1" x14ac:dyDescent="0.2">
      <c r="V187" s="12"/>
    </row>
    <row r="188" spans="22:22" ht="12.75" customHeight="1" x14ac:dyDescent="0.2">
      <c r="V188" s="12"/>
    </row>
    <row r="189" spans="22:22" ht="12.75" customHeight="1" x14ac:dyDescent="0.2">
      <c r="V189" s="12"/>
    </row>
    <row r="190" spans="22:22" ht="12.75" customHeight="1" x14ac:dyDescent="0.2">
      <c r="V190" s="12"/>
    </row>
    <row r="191" spans="22:22" ht="12.75" customHeight="1" x14ac:dyDescent="0.2">
      <c r="V191" s="12"/>
    </row>
    <row r="192" spans="22:22" ht="12.75" customHeight="1" x14ac:dyDescent="0.2">
      <c r="V192" s="12"/>
    </row>
    <row r="193" spans="22:22" ht="12.75" customHeight="1" x14ac:dyDescent="0.2">
      <c r="V193" s="12"/>
    </row>
    <row r="194" spans="22:22" ht="12.75" customHeight="1" x14ac:dyDescent="0.2">
      <c r="V194" s="12"/>
    </row>
    <row r="195" spans="22:22" ht="12.75" customHeight="1" x14ac:dyDescent="0.2">
      <c r="V195" s="12"/>
    </row>
    <row r="196" spans="22:22" ht="12.75" customHeight="1" x14ac:dyDescent="0.2">
      <c r="V196" s="12"/>
    </row>
    <row r="197" spans="22:22" ht="12.75" customHeight="1" x14ac:dyDescent="0.2">
      <c r="V197" s="12"/>
    </row>
    <row r="198" spans="22:22" ht="12.75" customHeight="1" x14ac:dyDescent="0.2">
      <c r="V198" s="12"/>
    </row>
    <row r="199" spans="22:22" ht="12.75" customHeight="1" x14ac:dyDescent="0.2">
      <c r="V199" s="12"/>
    </row>
    <row r="200" spans="22:22" ht="12.75" customHeight="1" x14ac:dyDescent="0.2">
      <c r="V200" s="12"/>
    </row>
    <row r="201" spans="22:22" ht="12.75" customHeight="1" x14ac:dyDescent="0.2">
      <c r="V201" s="12"/>
    </row>
    <row r="202" spans="22:22" ht="12.75" customHeight="1" x14ac:dyDescent="0.2">
      <c r="V202" s="12"/>
    </row>
    <row r="203" spans="22:22" ht="12.75" customHeight="1" x14ac:dyDescent="0.2">
      <c r="V203" s="12"/>
    </row>
    <row r="204" spans="22:22" ht="12.75" customHeight="1" x14ac:dyDescent="0.2">
      <c r="V204" s="12"/>
    </row>
    <row r="205" spans="22:22" ht="12.75" customHeight="1" x14ac:dyDescent="0.2">
      <c r="V205" s="12"/>
    </row>
    <row r="206" spans="22:22" ht="12.75" customHeight="1" x14ac:dyDescent="0.2">
      <c r="V206" s="12"/>
    </row>
    <row r="207" spans="22:22" ht="12.75" customHeight="1" x14ac:dyDescent="0.2">
      <c r="V207" s="12"/>
    </row>
    <row r="208" spans="22:22" ht="12.75" customHeight="1" x14ac:dyDescent="0.2">
      <c r="V208" s="12"/>
    </row>
    <row r="209" spans="22:22" ht="12.75" customHeight="1" x14ac:dyDescent="0.2">
      <c r="V209" s="12"/>
    </row>
    <row r="210" spans="22:22" ht="12.75" customHeight="1" x14ac:dyDescent="0.2">
      <c r="V210" s="12"/>
    </row>
    <row r="211" spans="22:22" ht="12.75" customHeight="1" x14ac:dyDescent="0.2">
      <c r="V211" s="12"/>
    </row>
    <row r="212" spans="22:22" ht="12.75" customHeight="1" x14ac:dyDescent="0.2">
      <c r="V212" s="12"/>
    </row>
    <row r="213" spans="22:22" ht="12.75" customHeight="1" x14ac:dyDescent="0.2">
      <c r="V213" s="12"/>
    </row>
    <row r="214" spans="22:22" ht="12.75" customHeight="1" x14ac:dyDescent="0.2">
      <c r="V214" s="12"/>
    </row>
    <row r="215" spans="22:22" ht="12.75" customHeight="1" x14ac:dyDescent="0.2">
      <c r="V215" s="12"/>
    </row>
    <row r="216" spans="22:22" ht="12.75" customHeight="1" x14ac:dyDescent="0.2">
      <c r="V216" s="12"/>
    </row>
    <row r="217" spans="22:22" ht="12.75" customHeight="1" x14ac:dyDescent="0.2">
      <c r="V217" s="12"/>
    </row>
    <row r="218" spans="22:22" ht="12.75" customHeight="1" x14ac:dyDescent="0.2">
      <c r="V218" s="12"/>
    </row>
    <row r="219" spans="22:22" ht="12.75" customHeight="1" x14ac:dyDescent="0.2">
      <c r="V219" s="12"/>
    </row>
    <row r="220" spans="22:22" ht="12.75" customHeight="1" x14ac:dyDescent="0.2">
      <c r="V220" s="12"/>
    </row>
    <row r="221" spans="22:22" ht="12.75" customHeight="1" x14ac:dyDescent="0.2">
      <c r="V221" s="12"/>
    </row>
    <row r="222" spans="22:22" ht="12.75" customHeight="1" x14ac:dyDescent="0.2">
      <c r="V222" s="12"/>
    </row>
    <row r="223" spans="22:22" ht="12.75" customHeight="1" x14ac:dyDescent="0.2">
      <c r="V223" s="12"/>
    </row>
    <row r="224" spans="22:22" ht="12.75" customHeight="1" x14ac:dyDescent="0.2">
      <c r="V224" s="12"/>
    </row>
    <row r="225" spans="22:22" ht="12.75" customHeight="1" x14ac:dyDescent="0.2">
      <c r="V225" s="12"/>
    </row>
    <row r="226" spans="22:22" ht="12.75" customHeight="1" x14ac:dyDescent="0.2">
      <c r="V226" s="12"/>
    </row>
    <row r="227" spans="22:22" ht="12.75" customHeight="1" x14ac:dyDescent="0.2">
      <c r="V227" s="12"/>
    </row>
    <row r="228" spans="22:22" ht="12.75" customHeight="1" x14ac:dyDescent="0.2">
      <c r="V228" s="12"/>
    </row>
    <row r="229" spans="22:22" ht="12.75" customHeight="1" x14ac:dyDescent="0.2">
      <c r="V229" s="12"/>
    </row>
    <row r="230" spans="22:22" ht="12.75" customHeight="1" x14ac:dyDescent="0.2">
      <c r="V230" s="12"/>
    </row>
    <row r="231" spans="22:22" ht="12.75" customHeight="1" x14ac:dyDescent="0.2">
      <c r="V231" s="12"/>
    </row>
    <row r="232" spans="22:22" ht="12.75" customHeight="1" x14ac:dyDescent="0.2">
      <c r="V232" s="12"/>
    </row>
    <row r="233" spans="22:22" ht="12.75" customHeight="1" x14ac:dyDescent="0.2">
      <c r="V233" s="12"/>
    </row>
    <row r="234" spans="22:22" ht="12.75" customHeight="1" x14ac:dyDescent="0.2">
      <c r="V234" s="12"/>
    </row>
    <row r="235" spans="22:22" ht="12.75" customHeight="1" x14ac:dyDescent="0.2">
      <c r="V235" s="12"/>
    </row>
    <row r="236" spans="22:22" ht="12.75" customHeight="1" x14ac:dyDescent="0.2">
      <c r="V236" s="12"/>
    </row>
    <row r="237" spans="22:22" ht="12.75" customHeight="1" x14ac:dyDescent="0.2">
      <c r="V237" s="12"/>
    </row>
    <row r="238" spans="22:22" ht="12.75" customHeight="1" x14ac:dyDescent="0.2">
      <c r="V238" s="12"/>
    </row>
    <row r="239" spans="22:22" ht="12.75" customHeight="1" x14ac:dyDescent="0.2">
      <c r="V239" s="12"/>
    </row>
    <row r="240" spans="22:22" ht="12.75" customHeight="1" x14ac:dyDescent="0.2">
      <c r="V240" s="12"/>
    </row>
    <row r="241" spans="22:22" ht="12.75" customHeight="1" x14ac:dyDescent="0.2">
      <c r="V241" s="12"/>
    </row>
    <row r="242" spans="22:22" ht="12.75" customHeight="1" x14ac:dyDescent="0.2">
      <c r="V242" s="12"/>
    </row>
    <row r="243" spans="22:22" ht="12.75" customHeight="1" x14ac:dyDescent="0.2">
      <c r="V243" s="12"/>
    </row>
    <row r="244" spans="22:22" ht="12.75" customHeight="1" x14ac:dyDescent="0.2">
      <c r="V244" s="12"/>
    </row>
    <row r="245" spans="22:22" ht="12.75" customHeight="1" x14ac:dyDescent="0.2">
      <c r="V245" s="12"/>
    </row>
    <row r="246" spans="22:22" ht="12.75" customHeight="1" x14ac:dyDescent="0.2">
      <c r="V246" s="12"/>
    </row>
    <row r="247" spans="22:22" ht="12.75" customHeight="1" x14ac:dyDescent="0.2">
      <c r="V247" s="12"/>
    </row>
    <row r="248" spans="22:22" ht="12.75" customHeight="1" x14ac:dyDescent="0.2">
      <c r="V248" s="12"/>
    </row>
    <row r="249" spans="22:22" ht="12.75" customHeight="1" x14ac:dyDescent="0.2">
      <c r="V249" s="12"/>
    </row>
    <row r="250" spans="22:22" ht="12.75" customHeight="1" x14ac:dyDescent="0.2">
      <c r="V250" s="12"/>
    </row>
    <row r="251" spans="22:22" ht="12.75" customHeight="1" x14ac:dyDescent="0.2">
      <c r="V251" s="12"/>
    </row>
    <row r="252" spans="22:22" ht="12.75" customHeight="1" x14ac:dyDescent="0.2">
      <c r="V252" s="12"/>
    </row>
    <row r="253" spans="22:22" ht="12.75" customHeight="1" x14ac:dyDescent="0.2">
      <c r="V253" s="12"/>
    </row>
    <row r="254" spans="22:22" ht="12.75" customHeight="1" x14ac:dyDescent="0.2">
      <c r="V254" s="12"/>
    </row>
    <row r="255" spans="22:22" ht="12.75" customHeight="1" x14ac:dyDescent="0.2">
      <c r="V255" s="12"/>
    </row>
    <row r="256" spans="22:22" ht="12.75" customHeight="1" x14ac:dyDescent="0.2">
      <c r="V256" s="12"/>
    </row>
    <row r="257" spans="22:22" ht="12.75" customHeight="1" x14ac:dyDescent="0.2">
      <c r="V257" s="12"/>
    </row>
    <row r="258" spans="22:22" ht="12.75" customHeight="1" x14ac:dyDescent="0.2">
      <c r="V258" s="12"/>
    </row>
    <row r="259" spans="22:22" ht="12.75" customHeight="1" x14ac:dyDescent="0.2">
      <c r="V259" s="12"/>
    </row>
    <row r="260" spans="22:22" ht="12.75" customHeight="1" x14ac:dyDescent="0.2">
      <c r="V260" s="12"/>
    </row>
    <row r="261" spans="22:22" ht="12.75" customHeight="1" x14ac:dyDescent="0.2">
      <c r="V261" s="12"/>
    </row>
    <row r="262" spans="22:22" ht="12.75" customHeight="1" x14ac:dyDescent="0.2">
      <c r="V262" s="12"/>
    </row>
    <row r="263" spans="22:22" ht="12.75" customHeight="1" x14ac:dyDescent="0.2">
      <c r="V263" s="12"/>
    </row>
    <row r="264" spans="22:22" ht="12.75" customHeight="1" x14ac:dyDescent="0.2">
      <c r="V264" s="12"/>
    </row>
    <row r="265" spans="22:22" ht="12.75" customHeight="1" x14ac:dyDescent="0.2">
      <c r="V265" s="12"/>
    </row>
    <row r="266" spans="22:22" ht="12.75" customHeight="1" x14ac:dyDescent="0.2">
      <c r="V266" s="12"/>
    </row>
    <row r="267" spans="22:22" ht="12.75" customHeight="1" x14ac:dyDescent="0.2">
      <c r="V267" s="12"/>
    </row>
    <row r="268" spans="22:22" ht="12.75" customHeight="1" x14ac:dyDescent="0.2">
      <c r="V268" s="12"/>
    </row>
    <row r="269" spans="22:22" ht="12.75" customHeight="1" x14ac:dyDescent="0.2">
      <c r="V269" s="12"/>
    </row>
    <row r="270" spans="22:22" ht="12.75" customHeight="1" x14ac:dyDescent="0.2">
      <c r="V270" s="12"/>
    </row>
    <row r="271" spans="22:22" ht="12.75" customHeight="1" x14ac:dyDescent="0.2">
      <c r="V271" s="12"/>
    </row>
    <row r="272" spans="22:22" ht="12.75" customHeight="1" x14ac:dyDescent="0.2">
      <c r="V272" s="12"/>
    </row>
    <row r="273" spans="22:22" ht="12.75" customHeight="1" x14ac:dyDescent="0.2">
      <c r="V273" s="12"/>
    </row>
    <row r="274" spans="22:22" ht="12.75" customHeight="1" x14ac:dyDescent="0.2">
      <c r="V274" s="12"/>
    </row>
    <row r="275" spans="22:22" ht="12.75" customHeight="1" x14ac:dyDescent="0.2">
      <c r="V275" s="12"/>
    </row>
    <row r="276" spans="22:22" ht="12.75" customHeight="1" x14ac:dyDescent="0.2">
      <c r="V276" s="12"/>
    </row>
    <row r="277" spans="22:22" ht="12.75" customHeight="1" x14ac:dyDescent="0.2">
      <c r="V277" s="12"/>
    </row>
    <row r="278" spans="22:22" ht="12.75" customHeight="1" x14ac:dyDescent="0.2">
      <c r="V278" s="12"/>
    </row>
    <row r="279" spans="22:22" ht="12.75" customHeight="1" x14ac:dyDescent="0.2">
      <c r="V279" s="12"/>
    </row>
    <row r="280" spans="22:22" ht="12.75" customHeight="1" x14ac:dyDescent="0.2">
      <c r="V280" s="12"/>
    </row>
    <row r="281" spans="22:22" ht="12.75" customHeight="1" x14ac:dyDescent="0.2">
      <c r="V281" s="12"/>
    </row>
    <row r="282" spans="22:22" ht="12.75" customHeight="1" x14ac:dyDescent="0.2">
      <c r="V282" s="12"/>
    </row>
    <row r="283" spans="22:22" ht="12.75" customHeight="1" x14ac:dyDescent="0.2">
      <c r="V283" s="12"/>
    </row>
    <row r="284" spans="22:22" ht="12.75" customHeight="1" x14ac:dyDescent="0.2">
      <c r="V284" s="12"/>
    </row>
    <row r="285" spans="22:22" ht="12.75" customHeight="1" x14ac:dyDescent="0.2">
      <c r="V285" s="12"/>
    </row>
    <row r="286" spans="22:22" ht="12.75" customHeight="1" x14ac:dyDescent="0.2">
      <c r="V286" s="12"/>
    </row>
    <row r="287" spans="22:22" ht="12.75" customHeight="1" x14ac:dyDescent="0.2">
      <c r="V287" s="12"/>
    </row>
    <row r="288" spans="22:22" ht="12.75" customHeight="1" x14ac:dyDescent="0.2">
      <c r="V288" s="12"/>
    </row>
    <row r="289" spans="22:22" ht="12.75" customHeight="1" x14ac:dyDescent="0.2">
      <c r="V289" s="12"/>
    </row>
    <row r="290" spans="22:22" ht="12.75" customHeight="1" x14ac:dyDescent="0.2">
      <c r="V290" s="12"/>
    </row>
    <row r="291" spans="22:22" ht="12.75" customHeight="1" x14ac:dyDescent="0.2">
      <c r="V291" s="12"/>
    </row>
    <row r="292" spans="22:22" ht="12.75" customHeight="1" x14ac:dyDescent="0.2">
      <c r="V292" s="12"/>
    </row>
    <row r="293" spans="22:22" ht="12.75" customHeight="1" x14ac:dyDescent="0.2">
      <c r="V293" s="12"/>
    </row>
    <row r="294" spans="22:22" ht="12.75" customHeight="1" x14ac:dyDescent="0.2">
      <c r="V294" s="12"/>
    </row>
    <row r="295" spans="22:22" ht="12.75" customHeight="1" x14ac:dyDescent="0.2">
      <c r="V295" s="12"/>
    </row>
    <row r="296" spans="22:22" ht="12.75" customHeight="1" x14ac:dyDescent="0.2">
      <c r="V296" s="12"/>
    </row>
    <row r="297" spans="22:22" ht="12.75" customHeight="1" x14ac:dyDescent="0.2">
      <c r="V297" s="12"/>
    </row>
    <row r="298" spans="22:22" ht="12.75" customHeight="1" x14ac:dyDescent="0.2">
      <c r="V298" s="12"/>
    </row>
    <row r="299" spans="22:22" ht="12.75" customHeight="1" x14ac:dyDescent="0.2">
      <c r="V299" s="12"/>
    </row>
    <row r="300" spans="22:22" ht="12.75" customHeight="1" x14ac:dyDescent="0.2">
      <c r="V300" s="12"/>
    </row>
    <row r="301" spans="22:22" ht="12.75" customHeight="1" x14ac:dyDescent="0.2">
      <c r="V301" s="12"/>
    </row>
    <row r="302" spans="22:22" ht="12.75" customHeight="1" x14ac:dyDescent="0.2">
      <c r="V302" s="12"/>
    </row>
    <row r="303" spans="22:22" ht="12.75" customHeight="1" x14ac:dyDescent="0.2">
      <c r="V303" s="12"/>
    </row>
    <row r="304" spans="22:22" ht="12.75" customHeight="1" x14ac:dyDescent="0.2">
      <c r="V304" s="12"/>
    </row>
    <row r="305" spans="22:22" ht="12.75" customHeight="1" x14ac:dyDescent="0.2">
      <c r="V305" s="12"/>
    </row>
    <row r="306" spans="22:22" ht="12.75" customHeight="1" x14ac:dyDescent="0.2">
      <c r="V306" s="12"/>
    </row>
    <row r="307" spans="22:22" ht="12.75" customHeight="1" x14ac:dyDescent="0.2">
      <c r="V307" s="12"/>
    </row>
    <row r="308" spans="22:22" ht="12.75" customHeight="1" x14ac:dyDescent="0.2">
      <c r="V308" s="12"/>
    </row>
    <row r="309" spans="22:22" ht="12.75" customHeight="1" x14ac:dyDescent="0.2">
      <c r="V309" s="12"/>
    </row>
    <row r="310" spans="22:22" ht="12.75" customHeight="1" x14ac:dyDescent="0.2">
      <c r="V310" s="12"/>
    </row>
    <row r="311" spans="22:22" ht="12.75" customHeight="1" x14ac:dyDescent="0.2">
      <c r="V311" s="12"/>
    </row>
    <row r="312" spans="22:22" ht="12.75" customHeight="1" x14ac:dyDescent="0.2">
      <c r="V312" s="12"/>
    </row>
    <row r="313" spans="22:22" ht="12.75" customHeight="1" x14ac:dyDescent="0.2">
      <c r="V313" s="12"/>
    </row>
    <row r="314" spans="22:22" ht="12.75" customHeight="1" x14ac:dyDescent="0.2">
      <c r="V314" s="12"/>
    </row>
    <row r="315" spans="22:22" ht="12.75" customHeight="1" x14ac:dyDescent="0.2">
      <c r="V315" s="12"/>
    </row>
    <row r="316" spans="22:22" ht="12.75" customHeight="1" x14ac:dyDescent="0.2">
      <c r="V316" s="12"/>
    </row>
    <row r="317" spans="22:22" ht="12.75" customHeight="1" x14ac:dyDescent="0.2">
      <c r="V317" s="12"/>
    </row>
    <row r="318" spans="22:22" ht="12.75" customHeight="1" x14ac:dyDescent="0.2">
      <c r="V318" s="12"/>
    </row>
    <row r="319" spans="22:22" ht="12.75" customHeight="1" x14ac:dyDescent="0.2">
      <c r="V319" s="12"/>
    </row>
    <row r="320" spans="22:22" ht="12.75" customHeight="1" x14ac:dyDescent="0.2">
      <c r="V320" s="12"/>
    </row>
    <row r="321" spans="22:22" ht="12.75" customHeight="1" x14ac:dyDescent="0.2">
      <c r="V321" s="12"/>
    </row>
    <row r="322" spans="22:22" ht="12.75" customHeight="1" x14ac:dyDescent="0.2">
      <c r="V322" s="12"/>
    </row>
    <row r="323" spans="22:22" ht="12.75" customHeight="1" x14ac:dyDescent="0.2">
      <c r="V323" s="12"/>
    </row>
    <row r="324" spans="22:22" ht="12.75" customHeight="1" x14ac:dyDescent="0.2">
      <c r="V324" s="12"/>
    </row>
    <row r="325" spans="22:22" ht="12.75" customHeight="1" x14ac:dyDescent="0.2">
      <c r="V325" s="12"/>
    </row>
    <row r="326" spans="22:22" ht="12.75" customHeight="1" x14ac:dyDescent="0.2">
      <c r="V326" s="12"/>
    </row>
    <row r="327" spans="22:22" ht="12.75" customHeight="1" x14ac:dyDescent="0.2">
      <c r="V327" s="12"/>
    </row>
    <row r="328" spans="22:22" ht="12.75" customHeight="1" x14ac:dyDescent="0.2">
      <c r="V328" s="12"/>
    </row>
    <row r="329" spans="22:22" ht="12.75" customHeight="1" x14ac:dyDescent="0.2">
      <c r="V329" s="12"/>
    </row>
    <row r="330" spans="22:22" ht="12.75" customHeight="1" x14ac:dyDescent="0.2">
      <c r="V330" s="12"/>
    </row>
    <row r="331" spans="22:22" ht="12.75" customHeight="1" x14ac:dyDescent="0.2">
      <c r="V331" s="12"/>
    </row>
    <row r="332" spans="22:22" ht="12.75" customHeight="1" x14ac:dyDescent="0.2">
      <c r="V332" s="12"/>
    </row>
    <row r="333" spans="22:22" ht="12.75" customHeight="1" x14ac:dyDescent="0.2">
      <c r="V333" s="12"/>
    </row>
    <row r="334" spans="22:22" ht="12.75" customHeight="1" x14ac:dyDescent="0.2">
      <c r="V334" s="12"/>
    </row>
    <row r="335" spans="22:22" ht="12.75" customHeight="1" x14ac:dyDescent="0.2">
      <c r="V335" s="12"/>
    </row>
    <row r="336" spans="22:22" ht="12.75" customHeight="1" x14ac:dyDescent="0.2">
      <c r="V336" s="12"/>
    </row>
    <row r="337" spans="22:22" ht="12.75" customHeight="1" x14ac:dyDescent="0.2">
      <c r="V337" s="12"/>
    </row>
    <row r="338" spans="22:22" ht="12.75" customHeight="1" x14ac:dyDescent="0.2">
      <c r="V338" s="12"/>
    </row>
    <row r="339" spans="22:22" ht="12.75" customHeight="1" x14ac:dyDescent="0.2">
      <c r="V339" s="12"/>
    </row>
    <row r="340" spans="22:22" ht="12.75" customHeight="1" x14ac:dyDescent="0.2">
      <c r="V340" s="12"/>
    </row>
    <row r="341" spans="22:22" ht="12.75" customHeight="1" x14ac:dyDescent="0.2">
      <c r="V341" s="12"/>
    </row>
    <row r="342" spans="22:22" ht="12.75" customHeight="1" x14ac:dyDescent="0.2">
      <c r="V342" s="12"/>
    </row>
    <row r="343" spans="22:22" ht="12.75" customHeight="1" x14ac:dyDescent="0.2">
      <c r="V343" s="12"/>
    </row>
    <row r="344" spans="22:22" ht="12.75" customHeight="1" x14ac:dyDescent="0.2">
      <c r="V344" s="12"/>
    </row>
    <row r="345" spans="22:22" ht="12.75" customHeight="1" x14ac:dyDescent="0.2">
      <c r="V345" s="12"/>
    </row>
    <row r="346" spans="22:22" ht="12.75" customHeight="1" x14ac:dyDescent="0.2">
      <c r="V346" s="12"/>
    </row>
    <row r="347" spans="22:22" ht="12.75" customHeight="1" x14ac:dyDescent="0.2">
      <c r="V347" s="12"/>
    </row>
    <row r="348" spans="22:22" ht="12.75" customHeight="1" x14ac:dyDescent="0.2">
      <c r="V348" s="12"/>
    </row>
    <row r="349" spans="22:22" ht="12.75" customHeight="1" x14ac:dyDescent="0.2">
      <c r="V349" s="12"/>
    </row>
    <row r="350" spans="22:22" ht="12.75" customHeight="1" x14ac:dyDescent="0.2">
      <c r="V350" s="12"/>
    </row>
    <row r="351" spans="22:22" ht="12.75" customHeight="1" x14ac:dyDescent="0.2">
      <c r="V351" s="12"/>
    </row>
    <row r="352" spans="22:22" ht="12.75" customHeight="1" x14ac:dyDescent="0.2">
      <c r="V352" s="12"/>
    </row>
    <row r="353" spans="22:22" ht="12.75" customHeight="1" x14ac:dyDescent="0.2">
      <c r="V353" s="12"/>
    </row>
    <row r="354" spans="22:22" ht="12.75" customHeight="1" x14ac:dyDescent="0.2">
      <c r="V354" s="12"/>
    </row>
    <row r="355" spans="22:22" ht="12.75" customHeight="1" x14ac:dyDescent="0.2">
      <c r="V355" s="12"/>
    </row>
    <row r="356" spans="22:22" ht="12.75" customHeight="1" x14ac:dyDescent="0.2">
      <c r="V356" s="12"/>
    </row>
    <row r="357" spans="22:22" ht="12.75" customHeight="1" x14ac:dyDescent="0.2">
      <c r="V357" s="12"/>
    </row>
    <row r="358" spans="22:22" ht="12.75" customHeight="1" x14ac:dyDescent="0.2">
      <c r="V358" s="12"/>
    </row>
    <row r="359" spans="22:22" ht="12.75" customHeight="1" x14ac:dyDescent="0.2">
      <c r="V359" s="12"/>
    </row>
    <row r="360" spans="22:22" ht="12.75" customHeight="1" x14ac:dyDescent="0.2">
      <c r="V360" s="12"/>
    </row>
    <row r="361" spans="22:22" ht="12.75" customHeight="1" x14ac:dyDescent="0.2">
      <c r="V361" s="12"/>
    </row>
    <row r="362" spans="22:22" ht="12.75" customHeight="1" x14ac:dyDescent="0.2">
      <c r="V362" s="12"/>
    </row>
    <row r="363" spans="22:22" ht="12.75" customHeight="1" x14ac:dyDescent="0.2">
      <c r="V363" s="12"/>
    </row>
    <row r="364" spans="22:22" ht="12.75" customHeight="1" x14ac:dyDescent="0.2">
      <c r="V364" s="12"/>
    </row>
    <row r="365" spans="22:22" ht="12.75" customHeight="1" x14ac:dyDescent="0.2">
      <c r="V365" s="12"/>
    </row>
    <row r="366" spans="22:22" ht="12.75" customHeight="1" x14ac:dyDescent="0.2">
      <c r="V366" s="12"/>
    </row>
    <row r="367" spans="22:22" ht="12.75" customHeight="1" x14ac:dyDescent="0.2">
      <c r="V367" s="12"/>
    </row>
    <row r="368" spans="22:22" ht="12.75" customHeight="1" x14ac:dyDescent="0.2">
      <c r="V368" s="12"/>
    </row>
    <row r="369" spans="22:22" ht="12.75" customHeight="1" x14ac:dyDescent="0.2">
      <c r="V369" s="12"/>
    </row>
    <row r="370" spans="22:22" ht="12.75" customHeight="1" x14ac:dyDescent="0.2">
      <c r="V370" s="12"/>
    </row>
    <row r="371" spans="22:22" ht="12.75" customHeight="1" x14ac:dyDescent="0.2">
      <c r="V371" s="12"/>
    </row>
    <row r="372" spans="22:22" ht="12.75" customHeight="1" x14ac:dyDescent="0.2">
      <c r="V372" s="12"/>
    </row>
    <row r="373" spans="22:22" ht="12.75" customHeight="1" x14ac:dyDescent="0.2">
      <c r="V373" s="12"/>
    </row>
    <row r="374" spans="22:22" ht="12.75" customHeight="1" x14ac:dyDescent="0.2">
      <c r="V374" s="12"/>
    </row>
    <row r="375" spans="22:22" ht="12.75" customHeight="1" x14ac:dyDescent="0.2">
      <c r="V375" s="12"/>
    </row>
    <row r="376" spans="22:22" ht="12.75" customHeight="1" x14ac:dyDescent="0.2">
      <c r="V376" s="12"/>
    </row>
    <row r="377" spans="22:22" ht="12.75" customHeight="1" x14ac:dyDescent="0.2">
      <c r="V377" s="12"/>
    </row>
    <row r="378" spans="22:22" ht="12.75" customHeight="1" x14ac:dyDescent="0.2">
      <c r="V378" s="12"/>
    </row>
    <row r="379" spans="22:22" ht="12.75" customHeight="1" x14ac:dyDescent="0.2">
      <c r="V379" s="12"/>
    </row>
    <row r="380" spans="22:22" ht="12.75" customHeight="1" x14ac:dyDescent="0.2">
      <c r="V380" s="12"/>
    </row>
    <row r="381" spans="22:22" ht="12.75" customHeight="1" x14ac:dyDescent="0.2">
      <c r="V381" s="12"/>
    </row>
    <row r="382" spans="22:22" ht="12.75" customHeight="1" x14ac:dyDescent="0.2">
      <c r="V382" s="12"/>
    </row>
    <row r="383" spans="22:22" ht="12.75" customHeight="1" x14ac:dyDescent="0.2">
      <c r="V383" s="12"/>
    </row>
    <row r="384" spans="22:22" ht="12.75" customHeight="1" x14ac:dyDescent="0.2">
      <c r="V384" s="12"/>
    </row>
    <row r="385" spans="22:22" ht="12.75" customHeight="1" x14ac:dyDescent="0.2">
      <c r="V385" s="12"/>
    </row>
    <row r="386" spans="22:22" ht="12.75" customHeight="1" x14ac:dyDescent="0.2">
      <c r="V386" s="12"/>
    </row>
    <row r="387" spans="22:22" ht="12.75" customHeight="1" x14ac:dyDescent="0.2">
      <c r="V387" s="12"/>
    </row>
    <row r="388" spans="22:22" ht="12.75" customHeight="1" x14ac:dyDescent="0.2">
      <c r="V388" s="12"/>
    </row>
    <row r="389" spans="22:22" ht="12.75" customHeight="1" x14ac:dyDescent="0.2">
      <c r="V389" s="12"/>
    </row>
    <row r="390" spans="22:22" ht="12.75" customHeight="1" x14ac:dyDescent="0.2">
      <c r="V390" s="12"/>
    </row>
    <row r="391" spans="22:22" ht="12.75" customHeight="1" x14ac:dyDescent="0.2">
      <c r="V391" s="12"/>
    </row>
    <row r="392" spans="22:22" ht="12.75" customHeight="1" x14ac:dyDescent="0.2">
      <c r="V392" s="12"/>
    </row>
    <row r="393" spans="22:22" ht="12.75" customHeight="1" x14ac:dyDescent="0.2">
      <c r="V393" s="12"/>
    </row>
    <row r="394" spans="22:22" ht="12.75" customHeight="1" x14ac:dyDescent="0.2">
      <c r="V394" s="12"/>
    </row>
    <row r="395" spans="22:22" ht="12.75" customHeight="1" x14ac:dyDescent="0.2">
      <c r="V395" s="12"/>
    </row>
    <row r="396" spans="22:22" ht="12.75" customHeight="1" x14ac:dyDescent="0.2">
      <c r="V396" s="12"/>
    </row>
    <row r="397" spans="22:22" ht="12.75" customHeight="1" x14ac:dyDescent="0.2">
      <c r="V397" s="12"/>
    </row>
    <row r="398" spans="22:22" ht="12.75" customHeight="1" x14ac:dyDescent="0.2">
      <c r="V398" s="12"/>
    </row>
    <row r="399" spans="22:22" ht="12.75" customHeight="1" x14ac:dyDescent="0.2">
      <c r="V399" s="12"/>
    </row>
    <row r="400" spans="22:22" ht="12.75" customHeight="1" x14ac:dyDescent="0.2">
      <c r="V400" s="12"/>
    </row>
    <row r="401" spans="22:22" ht="12.75" customHeight="1" x14ac:dyDescent="0.2">
      <c r="V401" s="12"/>
    </row>
    <row r="402" spans="22:22" ht="12.75" customHeight="1" x14ac:dyDescent="0.2">
      <c r="V402" s="12"/>
    </row>
    <row r="403" spans="22:22" ht="12.75" customHeight="1" x14ac:dyDescent="0.2">
      <c r="V403" s="12"/>
    </row>
    <row r="404" spans="22:22" ht="12.75" customHeight="1" x14ac:dyDescent="0.2">
      <c r="V404" s="12"/>
    </row>
    <row r="405" spans="22:22" ht="12.75" customHeight="1" x14ac:dyDescent="0.2">
      <c r="V405" s="12"/>
    </row>
    <row r="406" spans="22:22" ht="12.75" customHeight="1" x14ac:dyDescent="0.2">
      <c r="V406" s="12"/>
    </row>
    <row r="407" spans="22:22" ht="12.75" customHeight="1" x14ac:dyDescent="0.2">
      <c r="V407" s="12"/>
    </row>
    <row r="408" spans="22:22" ht="12.75" customHeight="1" x14ac:dyDescent="0.2">
      <c r="V408" s="12"/>
    </row>
    <row r="409" spans="22:22" ht="12.75" customHeight="1" x14ac:dyDescent="0.2">
      <c r="V409" s="12"/>
    </row>
    <row r="410" spans="22:22" ht="12.75" customHeight="1" x14ac:dyDescent="0.2">
      <c r="V410" s="12"/>
    </row>
    <row r="411" spans="22:22" ht="12.75" customHeight="1" x14ac:dyDescent="0.2">
      <c r="V411" s="12"/>
    </row>
    <row r="412" spans="22:22" ht="12.75" customHeight="1" x14ac:dyDescent="0.2">
      <c r="V412" s="12"/>
    </row>
    <row r="413" spans="22:22" ht="12.75" customHeight="1" x14ac:dyDescent="0.2">
      <c r="V413" s="12"/>
    </row>
    <row r="414" spans="22:22" ht="12.75" customHeight="1" x14ac:dyDescent="0.2">
      <c r="V414" s="12"/>
    </row>
    <row r="415" spans="22:22" ht="12.75" customHeight="1" x14ac:dyDescent="0.2">
      <c r="V415" s="12"/>
    </row>
    <row r="416" spans="22:22" ht="12.75" customHeight="1" x14ac:dyDescent="0.2">
      <c r="V416" s="12"/>
    </row>
    <row r="417" spans="22:22" ht="12.75" customHeight="1" x14ac:dyDescent="0.2">
      <c r="V417" s="12"/>
    </row>
    <row r="418" spans="22:22" ht="12.75" customHeight="1" x14ac:dyDescent="0.2">
      <c r="V418" s="12"/>
    </row>
    <row r="419" spans="22:22" ht="12.75" customHeight="1" x14ac:dyDescent="0.2">
      <c r="V419" s="12"/>
    </row>
    <row r="420" spans="22:22" ht="12.75" customHeight="1" x14ac:dyDescent="0.2">
      <c r="V420" s="12"/>
    </row>
    <row r="421" spans="22:22" ht="12.75" customHeight="1" x14ac:dyDescent="0.2">
      <c r="V421" s="12"/>
    </row>
    <row r="422" spans="22:22" ht="12.75" customHeight="1" x14ac:dyDescent="0.2">
      <c r="V422" s="12"/>
    </row>
    <row r="423" spans="22:22" ht="12.75" customHeight="1" x14ac:dyDescent="0.2">
      <c r="V423" s="12"/>
    </row>
    <row r="424" spans="22:22" ht="12.75" customHeight="1" x14ac:dyDescent="0.2">
      <c r="V424" s="12"/>
    </row>
    <row r="425" spans="22:22" ht="12.75" customHeight="1" x14ac:dyDescent="0.2">
      <c r="V425" s="12"/>
    </row>
    <row r="426" spans="22:22" ht="12.75" customHeight="1" x14ac:dyDescent="0.2">
      <c r="V426" s="12"/>
    </row>
    <row r="427" spans="22:22" ht="12.75" customHeight="1" x14ac:dyDescent="0.2">
      <c r="V427" s="12"/>
    </row>
    <row r="428" spans="22:22" ht="12.75" customHeight="1" x14ac:dyDescent="0.2">
      <c r="V428" s="12"/>
    </row>
    <row r="429" spans="22:22" ht="12.75" customHeight="1" x14ac:dyDescent="0.2">
      <c r="V429" s="12"/>
    </row>
    <row r="430" spans="22:22" ht="12.75" customHeight="1" x14ac:dyDescent="0.2">
      <c r="V430" s="12"/>
    </row>
    <row r="431" spans="22:22" ht="12.75" customHeight="1" x14ac:dyDescent="0.2">
      <c r="V431" s="12"/>
    </row>
    <row r="432" spans="22:22" ht="12.75" customHeight="1" x14ac:dyDescent="0.2">
      <c r="V432" s="12"/>
    </row>
    <row r="433" spans="22:22" ht="12.75" customHeight="1" x14ac:dyDescent="0.2">
      <c r="V433" s="12"/>
    </row>
    <row r="434" spans="22:22" ht="12.75" customHeight="1" x14ac:dyDescent="0.2">
      <c r="V434" s="12"/>
    </row>
    <row r="435" spans="22:22" ht="12.75" customHeight="1" x14ac:dyDescent="0.2">
      <c r="V435" s="12"/>
    </row>
    <row r="436" spans="22:22" ht="12.75" customHeight="1" x14ac:dyDescent="0.2">
      <c r="V436" s="12"/>
    </row>
    <row r="437" spans="22:22" ht="12.75" customHeight="1" x14ac:dyDescent="0.2">
      <c r="V437" s="12"/>
    </row>
    <row r="438" spans="22:22" ht="12.75" customHeight="1" x14ac:dyDescent="0.2">
      <c r="V438" s="12"/>
    </row>
    <row r="439" spans="22:22" ht="12.75" customHeight="1" x14ac:dyDescent="0.2">
      <c r="V439" s="12"/>
    </row>
    <row r="440" spans="22:22" ht="12.75" customHeight="1" x14ac:dyDescent="0.2">
      <c r="V440" s="12"/>
    </row>
    <row r="441" spans="22:22" ht="12.75" customHeight="1" x14ac:dyDescent="0.2">
      <c r="V441" s="12"/>
    </row>
    <row r="442" spans="22:22" ht="12.75" customHeight="1" x14ac:dyDescent="0.2">
      <c r="V442" s="12"/>
    </row>
    <row r="443" spans="22:22" ht="12.75" customHeight="1" x14ac:dyDescent="0.2">
      <c r="V443" s="12"/>
    </row>
    <row r="444" spans="22:22" ht="12.75" customHeight="1" x14ac:dyDescent="0.2">
      <c r="V444" s="12"/>
    </row>
    <row r="445" spans="22:22" ht="12.75" customHeight="1" x14ac:dyDescent="0.2">
      <c r="V445" s="12"/>
    </row>
    <row r="446" spans="22:22" ht="12.75" customHeight="1" x14ac:dyDescent="0.2">
      <c r="V446" s="12"/>
    </row>
    <row r="447" spans="22:22" ht="12.75" customHeight="1" x14ac:dyDescent="0.2">
      <c r="V447" s="12"/>
    </row>
    <row r="448" spans="22:22" ht="12.75" customHeight="1" x14ac:dyDescent="0.2">
      <c r="V448" s="12"/>
    </row>
    <row r="449" spans="22:22" ht="12.75" customHeight="1" x14ac:dyDescent="0.2">
      <c r="V449" s="12"/>
    </row>
    <row r="450" spans="22:22" ht="12.75" customHeight="1" x14ac:dyDescent="0.2">
      <c r="V450" s="12"/>
    </row>
    <row r="451" spans="22:22" ht="12.75" customHeight="1" x14ac:dyDescent="0.2">
      <c r="V451" s="12"/>
    </row>
    <row r="452" spans="22:22" ht="12.75" customHeight="1" x14ac:dyDescent="0.2">
      <c r="V452" s="12"/>
    </row>
    <row r="453" spans="22:22" ht="12.75" customHeight="1" x14ac:dyDescent="0.2">
      <c r="V453" s="12"/>
    </row>
    <row r="454" spans="22:22" ht="12.75" customHeight="1" x14ac:dyDescent="0.2">
      <c r="V454" s="12"/>
    </row>
    <row r="455" spans="22:22" ht="12.75" customHeight="1" x14ac:dyDescent="0.2">
      <c r="V455" s="12"/>
    </row>
    <row r="456" spans="22:22" ht="12.75" customHeight="1" x14ac:dyDescent="0.2">
      <c r="V456" s="12"/>
    </row>
    <row r="457" spans="22:22" ht="12.75" customHeight="1" x14ac:dyDescent="0.2">
      <c r="V457" s="12"/>
    </row>
    <row r="458" spans="22:22" ht="12.75" customHeight="1" x14ac:dyDescent="0.2">
      <c r="V458" s="12"/>
    </row>
    <row r="459" spans="22:22" ht="12.75" customHeight="1" x14ac:dyDescent="0.2">
      <c r="V459" s="12"/>
    </row>
    <row r="460" spans="22:22" ht="12.75" customHeight="1" x14ac:dyDescent="0.2">
      <c r="V460" s="12"/>
    </row>
    <row r="461" spans="22:22" ht="12.75" customHeight="1" x14ac:dyDescent="0.2">
      <c r="V461" s="12"/>
    </row>
    <row r="462" spans="22:22" ht="12.75" customHeight="1" x14ac:dyDescent="0.2">
      <c r="V462" s="12"/>
    </row>
    <row r="463" spans="22:22" ht="12.75" customHeight="1" x14ac:dyDescent="0.2">
      <c r="V463" s="12"/>
    </row>
    <row r="464" spans="22:22" ht="12.75" customHeight="1" x14ac:dyDescent="0.2">
      <c r="V464" s="12"/>
    </row>
    <row r="465" spans="22:22" ht="12.75" customHeight="1" x14ac:dyDescent="0.2">
      <c r="V465" s="12"/>
    </row>
    <row r="466" spans="22:22" ht="12.75" customHeight="1" x14ac:dyDescent="0.2">
      <c r="V466" s="12"/>
    </row>
    <row r="467" spans="22:22" ht="12.75" customHeight="1" x14ac:dyDescent="0.2">
      <c r="V467" s="12"/>
    </row>
    <row r="468" spans="22:22" ht="12.75" customHeight="1" x14ac:dyDescent="0.2">
      <c r="V468" s="12"/>
    </row>
    <row r="469" spans="22:22" ht="12.75" customHeight="1" x14ac:dyDescent="0.2">
      <c r="V469" s="12"/>
    </row>
    <row r="470" spans="22:22" ht="12.75" customHeight="1" x14ac:dyDescent="0.2">
      <c r="V470" s="12"/>
    </row>
    <row r="471" spans="22:22" ht="12.75" customHeight="1" x14ac:dyDescent="0.2">
      <c r="V471" s="12"/>
    </row>
    <row r="472" spans="22:22" ht="12.75" customHeight="1" x14ac:dyDescent="0.2">
      <c r="V472" s="12"/>
    </row>
    <row r="473" spans="22:22" ht="12.75" customHeight="1" x14ac:dyDescent="0.2">
      <c r="V473" s="12"/>
    </row>
    <row r="474" spans="22:22" ht="12.75" customHeight="1" x14ac:dyDescent="0.2">
      <c r="V474" s="12"/>
    </row>
    <row r="475" spans="22:22" ht="12.75" customHeight="1" x14ac:dyDescent="0.2">
      <c r="V475" s="12"/>
    </row>
    <row r="476" spans="22:22" ht="12.75" customHeight="1" x14ac:dyDescent="0.2">
      <c r="V476" s="12"/>
    </row>
    <row r="477" spans="22:22" ht="12.75" customHeight="1" x14ac:dyDescent="0.2">
      <c r="V477" s="12"/>
    </row>
    <row r="478" spans="22:22" ht="12.75" customHeight="1" x14ac:dyDescent="0.2">
      <c r="V478" s="12"/>
    </row>
    <row r="479" spans="22:22" ht="12.75" customHeight="1" x14ac:dyDescent="0.2">
      <c r="V479" s="12"/>
    </row>
    <row r="480" spans="22:22" ht="12.75" customHeight="1" x14ac:dyDescent="0.2">
      <c r="V480" s="12"/>
    </row>
    <row r="481" spans="22:22" ht="12.75" customHeight="1" x14ac:dyDescent="0.2">
      <c r="V481" s="12"/>
    </row>
    <row r="482" spans="22:22" ht="12.75" customHeight="1" x14ac:dyDescent="0.2">
      <c r="V482" s="12"/>
    </row>
    <row r="483" spans="22:22" ht="12.75" customHeight="1" x14ac:dyDescent="0.2">
      <c r="V483" s="12"/>
    </row>
    <row r="484" spans="22:22" ht="12.75" customHeight="1" x14ac:dyDescent="0.2">
      <c r="V484" s="12"/>
    </row>
    <row r="485" spans="22:22" ht="12.75" customHeight="1" x14ac:dyDescent="0.2">
      <c r="V485" s="12"/>
    </row>
    <row r="486" spans="22:22" ht="12.75" customHeight="1" x14ac:dyDescent="0.2">
      <c r="V486" s="12"/>
    </row>
    <row r="487" spans="22:22" ht="12.75" customHeight="1" x14ac:dyDescent="0.2">
      <c r="V487" s="12"/>
    </row>
    <row r="488" spans="22:22" ht="12.75" customHeight="1" x14ac:dyDescent="0.2">
      <c r="V488" s="12"/>
    </row>
    <row r="489" spans="22:22" ht="12.75" customHeight="1" x14ac:dyDescent="0.2">
      <c r="V489" s="12"/>
    </row>
    <row r="490" spans="22:22" ht="12.75" customHeight="1" x14ac:dyDescent="0.2">
      <c r="V490" s="12"/>
    </row>
    <row r="491" spans="22:22" ht="12.75" customHeight="1" x14ac:dyDescent="0.2">
      <c r="V491" s="12"/>
    </row>
    <row r="492" spans="22:22" ht="12.75" customHeight="1" x14ac:dyDescent="0.2">
      <c r="V492" s="12"/>
    </row>
    <row r="493" spans="22:22" ht="12.75" customHeight="1" x14ac:dyDescent="0.2">
      <c r="V493" s="12"/>
    </row>
    <row r="494" spans="22:22" ht="12.75" customHeight="1" x14ac:dyDescent="0.2">
      <c r="V494" s="12"/>
    </row>
    <row r="495" spans="22:22" ht="12.75" customHeight="1" x14ac:dyDescent="0.2">
      <c r="V495" s="12"/>
    </row>
    <row r="496" spans="22:22" ht="12.75" customHeight="1" x14ac:dyDescent="0.2">
      <c r="V496" s="12"/>
    </row>
    <row r="497" spans="22:22" ht="12.75" customHeight="1" x14ac:dyDescent="0.2">
      <c r="V497" s="12"/>
    </row>
    <row r="498" spans="22:22" ht="12.75" customHeight="1" x14ac:dyDescent="0.2">
      <c r="V498" s="12"/>
    </row>
    <row r="499" spans="22:22" ht="12.75" customHeight="1" x14ac:dyDescent="0.2">
      <c r="V499" s="12"/>
    </row>
    <row r="500" spans="22:22" ht="12.75" customHeight="1" x14ac:dyDescent="0.2">
      <c r="V500" s="12"/>
    </row>
    <row r="501" spans="22:22" ht="12.75" customHeight="1" x14ac:dyDescent="0.2">
      <c r="V501" s="12"/>
    </row>
    <row r="502" spans="22:22" ht="12.75" customHeight="1" x14ac:dyDescent="0.2">
      <c r="V502" s="12"/>
    </row>
    <row r="503" spans="22:22" ht="12.75" customHeight="1" x14ac:dyDescent="0.2">
      <c r="V503" s="12"/>
    </row>
    <row r="504" spans="22:22" ht="12.75" customHeight="1" x14ac:dyDescent="0.2">
      <c r="V504" s="12"/>
    </row>
    <row r="505" spans="22:22" ht="12.75" customHeight="1" x14ac:dyDescent="0.2">
      <c r="V505" s="12"/>
    </row>
    <row r="506" spans="22:22" ht="12.75" customHeight="1" x14ac:dyDescent="0.2">
      <c r="V506" s="12"/>
    </row>
    <row r="507" spans="22:22" ht="12.75" customHeight="1" x14ac:dyDescent="0.2">
      <c r="V507" s="12"/>
    </row>
    <row r="508" spans="22:22" ht="12.75" customHeight="1" x14ac:dyDescent="0.2">
      <c r="V508" s="12"/>
    </row>
    <row r="509" spans="22:22" ht="12.75" customHeight="1" x14ac:dyDescent="0.2">
      <c r="V509" s="12"/>
    </row>
    <row r="510" spans="22:22" ht="12.75" customHeight="1" x14ac:dyDescent="0.2">
      <c r="V510" s="12"/>
    </row>
    <row r="511" spans="22:22" ht="12.75" customHeight="1" x14ac:dyDescent="0.2">
      <c r="V511" s="12"/>
    </row>
    <row r="512" spans="22:22" ht="12.75" customHeight="1" x14ac:dyDescent="0.2">
      <c r="V512" s="12"/>
    </row>
    <row r="513" spans="22:22" ht="12.75" customHeight="1" x14ac:dyDescent="0.2">
      <c r="V513" s="12"/>
    </row>
    <row r="514" spans="22:22" ht="12.75" customHeight="1" x14ac:dyDescent="0.2">
      <c r="V514" s="12"/>
    </row>
    <row r="515" spans="22:22" ht="12.75" customHeight="1" x14ac:dyDescent="0.2">
      <c r="V515" s="12"/>
    </row>
    <row r="516" spans="22:22" ht="12.75" customHeight="1" x14ac:dyDescent="0.2">
      <c r="V516" s="12"/>
    </row>
    <row r="517" spans="22:22" ht="12.75" customHeight="1" x14ac:dyDescent="0.2">
      <c r="V517" s="12"/>
    </row>
    <row r="518" spans="22:22" ht="12.75" customHeight="1" x14ac:dyDescent="0.2">
      <c r="V518" s="12"/>
    </row>
    <row r="519" spans="22:22" ht="12.75" customHeight="1" x14ac:dyDescent="0.2">
      <c r="V519" s="12"/>
    </row>
    <row r="520" spans="22:22" ht="12.75" customHeight="1" x14ac:dyDescent="0.2">
      <c r="V520" s="12"/>
    </row>
    <row r="521" spans="22:22" ht="12.75" customHeight="1" x14ac:dyDescent="0.2">
      <c r="V521" s="12"/>
    </row>
    <row r="522" spans="22:22" ht="12.75" customHeight="1" x14ac:dyDescent="0.2">
      <c r="V522" s="12"/>
    </row>
    <row r="523" spans="22:22" ht="12.75" customHeight="1" x14ac:dyDescent="0.2">
      <c r="V523" s="12"/>
    </row>
    <row r="524" spans="22:22" ht="12.75" customHeight="1" x14ac:dyDescent="0.2">
      <c r="V524" s="12"/>
    </row>
    <row r="525" spans="22:22" ht="12.75" customHeight="1" x14ac:dyDescent="0.2">
      <c r="V525" s="12"/>
    </row>
    <row r="526" spans="22:22" ht="12.75" customHeight="1" x14ac:dyDescent="0.2">
      <c r="V526" s="12"/>
    </row>
    <row r="527" spans="22:22" ht="12.75" customHeight="1" x14ac:dyDescent="0.2">
      <c r="V527" s="12"/>
    </row>
    <row r="528" spans="22:22" ht="12.75" customHeight="1" x14ac:dyDescent="0.2">
      <c r="V528" s="12"/>
    </row>
    <row r="529" spans="22:22" ht="12.75" customHeight="1" x14ac:dyDescent="0.2">
      <c r="V529" s="12"/>
    </row>
    <row r="530" spans="22:22" ht="12.75" customHeight="1" x14ac:dyDescent="0.2">
      <c r="V530" s="12"/>
    </row>
    <row r="531" spans="22:22" ht="12.75" customHeight="1" x14ac:dyDescent="0.2">
      <c r="V531" s="12"/>
    </row>
    <row r="532" spans="22:22" ht="12.75" customHeight="1" x14ac:dyDescent="0.2">
      <c r="V532" s="12"/>
    </row>
    <row r="533" spans="22:22" ht="12.75" customHeight="1" x14ac:dyDescent="0.2">
      <c r="V533" s="12"/>
    </row>
    <row r="534" spans="22:22" ht="12.75" customHeight="1" x14ac:dyDescent="0.2">
      <c r="V534" s="12"/>
    </row>
    <row r="535" spans="22:22" ht="12.75" customHeight="1" x14ac:dyDescent="0.2">
      <c r="V535" s="12"/>
    </row>
    <row r="536" spans="22:22" ht="12.75" customHeight="1" x14ac:dyDescent="0.2">
      <c r="V536" s="12"/>
    </row>
    <row r="537" spans="22:22" ht="12.75" customHeight="1" x14ac:dyDescent="0.2">
      <c r="V537" s="12"/>
    </row>
    <row r="538" spans="22:22" ht="12.75" customHeight="1" x14ac:dyDescent="0.2">
      <c r="V538" s="12"/>
    </row>
    <row r="539" spans="22:22" ht="12.75" customHeight="1" x14ac:dyDescent="0.2">
      <c r="V539" s="12"/>
    </row>
    <row r="540" spans="22:22" ht="12.75" customHeight="1" x14ac:dyDescent="0.2">
      <c r="V540" s="12"/>
    </row>
    <row r="541" spans="22:22" ht="12.75" customHeight="1" x14ac:dyDescent="0.2">
      <c r="V541" s="12"/>
    </row>
    <row r="542" spans="22:22" ht="12.75" customHeight="1" x14ac:dyDescent="0.2">
      <c r="V542" s="12"/>
    </row>
    <row r="543" spans="22:22" ht="12.75" customHeight="1" x14ac:dyDescent="0.2">
      <c r="V543" s="12"/>
    </row>
    <row r="544" spans="22:22" ht="12.75" customHeight="1" x14ac:dyDescent="0.2">
      <c r="V544" s="12"/>
    </row>
    <row r="545" spans="22:22" ht="12.75" customHeight="1" x14ac:dyDescent="0.2">
      <c r="V545" s="12"/>
    </row>
    <row r="546" spans="22:22" ht="12.75" customHeight="1" x14ac:dyDescent="0.2">
      <c r="V546" s="12"/>
    </row>
    <row r="547" spans="22:22" ht="12.75" customHeight="1" x14ac:dyDescent="0.2">
      <c r="V547" s="12"/>
    </row>
    <row r="548" spans="22:22" ht="12.75" customHeight="1" x14ac:dyDescent="0.2">
      <c r="V548" s="12"/>
    </row>
    <row r="549" spans="22:22" ht="12.75" customHeight="1" x14ac:dyDescent="0.2">
      <c r="V549" s="12"/>
    </row>
    <row r="550" spans="22:22" ht="12.75" customHeight="1" x14ac:dyDescent="0.2">
      <c r="V550" s="12"/>
    </row>
    <row r="551" spans="22:22" ht="12.75" customHeight="1" x14ac:dyDescent="0.2">
      <c r="V551" s="12"/>
    </row>
    <row r="552" spans="22:22" ht="12.75" customHeight="1" x14ac:dyDescent="0.2">
      <c r="V552" s="12"/>
    </row>
    <row r="553" spans="22:22" ht="12.75" customHeight="1" x14ac:dyDescent="0.2">
      <c r="V553" s="12"/>
    </row>
    <row r="554" spans="22:22" ht="12.75" customHeight="1" x14ac:dyDescent="0.2">
      <c r="V554" s="12"/>
    </row>
    <row r="555" spans="22:22" ht="12.75" customHeight="1" x14ac:dyDescent="0.2">
      <c r="V555" s="12"/>
    </row>
    <row r="556" spans="22:22" ht="12.75" customHeight="1" x14ac:dyDescent="0.2">
      <c r="V556" s="12"/>
    </row>
    <row r="557" spans="22:22" ht="12.75" customHeight="1" x14ac:dyDescent="0.2">
      <c r="V557" s="12"/>
    </row>
    <row r="558" spans="22:22" ht="12.75" customHeight="1" x14ac:dyDescent="0.2">
      <c r="V558" s="12"/>
    </row>
    <row r="559" spans="22:22" ht="12.75" customHeight="1" x14ac:dyDescent="0.2">
      <c r="V559" s="12"/>
    </row>
    <row r="560" spans="22:22" ht="12.75" customHeight="1" x14ac:dyDescent="0.2">
      <c r="V560" s="12"/>
    </row>
    <row r="561" spans="22:22" ht="12.75" customHeight="1" x14ac:dyDescent="0.2">
      <c r="V561" s="12"/>
    </row>
    <row r="562" spans="22:22" ht="12.75" customHeight="1" x14ac:dyDescent="0.2">
      <c r="V562" s="12"/>
    </row>
    <row r="563" spans="22:22" ht="12.75" customHeight="1" x14ac:dyDescent="0.2">
      <c r="V563" s="12"/>
    </row>
    <row r="564" spans="22:22" ht="12.75" customHeight="1" x14ac:dyDescent="0.2">
      <c r="V564" s="12"/>
    </row>
    <row r="565" spans="22:22" ht="12.75" customHeight="1" x14ac:dyDescent="0.2">
      <c r="V565" s="12"/>
    </row>
    <row r="566" spans="22:22" ht="12.75" customHeight="1" x14ac:dyDescent="0.2">
      <c r="V566" s="12"/>
    </row>
    <row r="567" spans="22:22" ht="12.75" customHeight="1" x14ac:dyDescent="0.2">
      <c r="V567" s="12"/>
    </row>
    <row r="568" spans="22:22" ht="12.75" customHeight="1" x14ac:dyDescent="0.2">
      <c r="V568" s="12"/>
    </row>
    <row r="569" spans="22:22" ht="12.75" customHeight="1" x14ac:dyDescent="0.2">
      <c r="V569" s="12"/>
    </row>
    <row r="570" spans="22:22" ht="12.75" customHeight="1" x14ac:dyDescent="0.2">
      <c r="V570" s="12"/>
    </row>
    <row r="571" spans="22:22" ht="12.75" customHeight="1" x14ac:dyDescent="0.2">
      <c r="V571" s="12"/>
    </row>
    <row r="572" spans="22:22" ht="12.75" customHeight="1" x14ac:dyDescent="0.2">
      <c r="V572" s="12"/>
    </row>
    <row r="573" spans="22:22" ht="12.75" customHeight="1" x14ac:dyDescent="0.2">
      <c r="V573" s="12"/>
    </row>
    <row r="574" spans="22:22" ht="12.75" customHeight="1" x14ac:dyDescent="0.2">
      <c r="V574" s="12"/>
    </row>
    <row r="575" spans="22:22" ht="12.75" customHeight="1" x14ac:dyDescent="0.2">
      <c r="V575" s="12"/>
    </row>
    <row r="576" spans="22:22" ht="12.75" customHeight="1" x14ac:dyDescent="0.2">
      <c r="V576" s="12"/>
    </row>
    <row r="577" spans="22:22" ht="12.75" customHeight="1" x14ac:dyDescent="0.2">
      <c r="V577" s="12"/>
    </row>
    <row r="578" spans="22:22" ht="12.75" customHeight="1" x14ac:dyDescent="0.2">
      <c r="V578" s="12"/>
    </row>
    <row r="579" spans="22:22" ht="12.75" customHeight="1" x14ac:dyDescent="0.2">
      <c r="V579" s="12"/>
    </row>
    <row r="580" spans="22:22" ht="12.75" customHeight="1" x14ac:dyDescent="0.2">
      <c r="V580" s="12"/>
    </row>
    <row r="581" spans="22:22" ht="12.75" customHeight="1" x14ac:dyDescent="0.2">
      <c r="V581" s="12"/>
    </row>
    <row r="582" spans="22:22" ht="12.75" customHeight="1" x14ac:dyDescent="0.2">
      <c r="V582" s="12"/>
    </row>
    <row r="583" spans="22:22" ht="12.75" customHeight="1" x14ac:dyDescent="0.2">
      <c r="V583" s="12"/>
    </row>
    <row r="584" spans="22:22" ht="12.75" customHeight="1" x14ac:dyDescent="0.2">
      <c r="V584" s="12"/>
    </row>
    <row r="585" spans="22:22" ht="12.75" customHeight="1" x14ac:dyDescent="0.2">
      <c r="V585" s="12"/>
    </row>
    <row r="586" spans="22:22" ht="12.75" customHeight="1" x14ac:dyDescent="0.2">
      <c r="V586" s="12"/>
    </row>
    <row r="587" spans="22:22" ht="12.75" customHeight="1" x14ac:dyDescent="0.2">
      <c r="V587" s="12"/>
    </row>
    <row r="588" spans="22:22" ht="12.75" customHeight="1" x14ac:dyDescent="0.2">
      <c r="V588" s="12"/>
    </row>
    <row r="589" spans="22:22" ht="12.75" customHeight="1" x14ac:dyDescent="0.2">
      <c r="V589" s="12"/>
    </row>
    <row r="590" spans="22:22" ht="12.75" customHeight="1" x14ac:dyDescent="0.2">
      <c r="V590" s="12"/>
    </row>
    <row r="591" spans="22:22" ht="12.75" customHeight="1" x14ac:dyDescent="0.2">
      <c r="V591" s="12"/>
    </row>
    <row r="592" spans="22:22" ht="12.75" customHeight="1" x14ac:dyDescent="0.2">
      <c r="V592" s="12"/>
    </row>
    <row r="593" spans="22:22" ht="12.75" customHeight="1" x14ac:dyDescent="0.2">
      <c r="V593" s="12"/>
    </row>
    <row r="594" spans="22:22" ht="12.75" customHeight="1" x14ac:dyDescent="0.2">
      <c r="V594" s="12"/>
    </row>
    <row r="595" spans="22:22" ht="12.75" customHeight="1" x14ac:dyDescent="0.2">
      <c r="V595" s="12"/>
    </row>
    <row r="596" spans="22:22" ht="12.75" customHeight="1" x14ac:dyDescent="0.2">
      <c r="V596" s="12"/>
    </row>
    <row r="597" spans="22:22" ht="12.75" customHeight="1" x14ac:dyDescent="0.2">
      <c r="V597" s="12"/>
    </row>
    <row r="598" spans="22:22" ht="12.75" customHeight="1" x14ac:dyDescent="0.2">
      <c r="V598" s="12"/>
    </row>
    <row r="599" spans="22:22" ht="12.75" customHeight="1" x14ac:dyDescent="0.2">
      <c r="V599" s="12"/>
    </row>
    <row r="600" spans="22:22" ht="12.75" customHeight="1" x14ac:dyDescent="0.2">
      <c r="V600" s="12"/>
    </row>
    <row r="601" spans="22:22" ht="12.75" customHeight="1" x14ac:dyDescent="0.2">
      <c r="V601" s="12"/>
    </row>
    <row r="602" spans="22:22" ht="12.75" customHeight="1" x14ac:dyDescent="0.2">
      <c r="V602" s="12"/>
    </row>
    <row r="603" spans="22:22" ht="12.75" customHeight="1" x14ac:dyDescent="0.2">
      <c r="V603" s="12"/>
    </row>
    <row r="604" spans="22:22" ht="12.75" customHeight="1" x14ac:dyDescent="0.2">
      <c r="V604" s="12"/>
    </row>
    <row r="605" spans="22:22" ht="12.75" customHeight="1" x14ac:dyDescent="0.2">
      <c r="V605" s="12"/>
    </row>
    <row r="606" spans="22:22" ht="12.75" customHeight="1" x14ac:dyDescent="0.2">
      <c r="V606" s="12"/>
    </row>
    <row r="607" spans="22:22" ht="12.75" customHeight="1" x14ac:dyDescent="0.2">
      <c r="V607" s="12"/>
    </row>
    <row r="608" spans="22:22" ht="12.75" customHeight="1" x14ac:dyDescent="0.2">
      <c r="V608" s="12"/>
    </row>
    <row r="609" spans="22:22" ht="12.75" customHeight="1" x14ac:dyDescent="0.2">
      <c r="V609" s="12"/>
    </row>
    <row r="610" spans="22:22" ht="12.75" customHeight="1" x14ac:dyDescent="0.2">
      <c r="V610" s="12"/>
    </row>
    <row r="611" spans="22:22" ht="12.75" customHeight="1" x14ac:dyDescent="0.2">
      <c r="V611" s="12"/>
    </row>
    <row r="612" spans="22:22" ht="12.75" customHeight="1" x14ac:dyDescent="0.2">
      <c r="V612" s="12"/>
    </row>
    <row r="613" spans="22:22" ht="12.75" customHeight="1" x14ac:dyDescent="0.2">
      <c r="V613" s="12"/>
    </row>
    <row r="614" spans="22:22" ht="12.75" customHeight="1" x14ac:dyDescent="0.2">
      <c r="V614" s="12"/>
    </row>
    <row r="615" spans="22:22" ht="12.75" customHeight="1" x14ac:dyDescent="0.2">
      <c r="V615" s="12"/>
    </row>
    <row r="616" spans="22:22" ht="12.75" customHeight="1" x14ac:dyDescent="0.2">
      <c r="V616" s="12"/>
    </row>
    <row r="617" spans="22:22" ht="12.75" customHeight="1" x14ac:dyDescent="0.2">
      <c r="V617" s="12"/>
    </row>
    <row r="618" spans="22:22" ht="12.75" customHeight="1" x14ac:dyDescent="0.2">
      <c r="V618" s="12"/>
    </row>
    <row r="619" spans="22:22" ht="12.75" customHeight="1" x14ac:dyDescent="0.2">
      <c r="V619" s="12"/>
    </row>
    <row r="620" spans="22:22" ht="12.75" customHeight="1" x14ac:dyDescent="0.2">
      <c r="V620" s="12"/>
    </row>
    <row r="621" spans="22:22" ht="12.75" customHeight="1" x14ac:dyDescent="0.2">
      <c r="V621" s="12"/>
    </row>
    <row r="622" spans="22:22" ht="12.75" customHeight="1" x14ac:dyDescent="0.2">
      <c r="V622" s="12"/>
    </row>
    <row r="623" spans="22:22" ht="12.75" customHeight="1" x14ac:dyDescent="0.2">
      <c r="V623" s="12"/>
    </row>
    <row r="624" spans="22:22" ht="12.75" customHeight="1" x14ac:dyDescent="0.2">
      <c r="V624" s="12"/>
    </row>
    <row r="625" spans="22:22" ht="12.75" customHeight="1" x14ac:dyDescent="0.2">
      <c r="V625" s="12"/>
    </row>
    <row r="626" spans="22:22" ht="12.75" customHeight="1" x14ac:dyDescent="0.2">
      <c r="V626" s="12"/>
    </row>
    <row r="627" spans="22:22" ht="12.75" customHeight="1" x14ac:dyDescent="0.2">
      <c r="V627" s="12"/>
    </row>
    <row r="628" spans="22:22" ht="12.75" customHeight="1" x14ac:dyDescent="0.2">
      <c r="V628" s="12"/>
    </row>
    <row r="629" spans="22:22" ht="12.75" customHeight="1" x14ac:dyDescent="0.2">
      <c r="V629" s="12"/>
    </row>
    <row r="630" spans="22:22" ht="12.75" customHeight="1" x14ac:dyDescent="0.2">
      <c r="V630" s="12"/>
    </row>
    <row r="631" spans="22:22" ht="12.75" customHeight="1" x14ac:dyDescent="0.2">
      <c r="V631" s="12"/>
    </row>
    <row r="632" spans="22:22" ht="12.75" customHeight="1" x14ac:dyDescent="0.2">
      <c r="V632" s="12"/>
    </row>
    <row r="633" spans="22:22" ht="12.75" customHeight="1" x14ac:dyDescent="0.2">
      <c r="V633" s="12"/>
    </row>
    <row r="634" spans="22:22" ht="12.75" customHeight="1" x14ac:dyDescent="0.2">
      <c r="V634" s="12"/>
    </row>
    <row r="635" spans="22:22" ht="12.75" customHeight="1" x14ac:dyDescent="0.2">
      <c r="V635" s="12"/>
    </row>
    <row r="636" spans="22:22" ht="12.75" customHeight="1" x14ac:dyDescent="0.2">
      <c r="V636" s="12"/>
    </row>
    <row r="637" spans="22:22" ht="12.75" customHeight="1" x14ac:dyDescent="0.2">
      <c r="V637" s="12"/>
    </row>
    <row r="638" spans="22:22" ht="12.75" customHeight="1" x14ac:dyDescent="0.2">
      <c r="V638" s="12"/>
    </row>
    <row r="639" spans="22:22" ht="12.75" customHeight="1" x14ac:dyDescent="0.2">
      <c r="V639" s="12"/>
    </row>
    <row r="640" spans="22:22" ht="12.75" customHeight="1" x14ac:dyDescent="0.2">
      <c r="V640" s="12"/>
    </row>
    <row r="641" spans="22:22" ht="12.75" customHeight="1" x14ac:dyDescent="0.2">
      <c r="V641" s="12"/>
    </row>
    <row r="642" spans="22:22" ht="12.75" customHeight="1" x14ac:dyDescent="0.2">
      <c r="V642" s="12"/>
    </row>
    <row r="643" spans="22:22" ht="12.75" customHeight="1" x14ac:dyDescent="0.2">
      <c r="V643" s="12"/>
    </row>
    <row r="644" spans="22:22" ht="12.75" customHeight="1" x14ac:dyDescent="0.2">
      <c r="V644" s="12"/>
    </row>
    <row r="645" spans="22:22" ht="12.75" customHeight="1" x14ac:dyDescent="0.2">
      <c r="V645" s="12"/>
    </row>
    <row r="646" spans="22:22" ht="12.75" customHeight="1" x14ac:dyDescent="0.2">
      <c r="V646" s="12"/>
    </row>
    <row r="647" spans="22:22" ht="12.75" customHeight="1" x14ac:dyDescent="0.2">
      <c r="V647" s="12"/>
    </row>
    <row r="648" spans="22:22" ht="12.75" customHeight="1" x14ac:dyDescent="0.2">
      <c r="V648" s="12"/>
    </row>
    <row r="649" spans="22:22" ht="12.75" customHeight="1" x14ac:dyDescent="0.2">
      <c r="V649" s="12"/>
    </row>
    <row r="650" spans="22:22" ht="12.75" customHeight="1" x14ac:dyDescent="0.2">
      <c r="V650" s="12"/>
    </row>
    <row r="651" spans="22:22" ht="12.75" customHeight="1" x14ac:dyDescent="0.2">
      <c r="V651" s="12"/>
    </row>
    <row r="652" spans="22:22" ht="12.75" customHeight="1" x14ac:dyDescent="0.2">
      <c r="V652" s="12"/>
    </row>
    <row r="653" spans="22:22" ht="12.75" customHeight="1" x14ac:dyDescent="0.2">
      <c r="V653" s="12"/>
    </row>
    <row r="654" spans="22:22" ht="12.75" customHeight="1" x14ac:dyDescent="0.2">
      <c r="V654" s="12"/>
    </row>
    <row r="655" spans="22:22" ht="12.75" customHeight="1" x14ac:dyDescent="0.2">
      <c r="V655" s="12"/>
    </row>
    <row r="656" spans="22:22" ht="12.75" customHeight="1" x14ac:dyDescent="0.2">
      <c r="V656" s="12"/>
    </row>
    <row r="657" spans="22:22" ht="12.75" customHeight="1" x14ac:dyDescent="0.2">
      <c r="V657" s="12"/>
    </row>
    <row r="658" spans="22:22" ht="12.75" customHeight="1" x14ac:dyDescent="0.2">
      <c r="V658" s="12"/>
    </row>
    <row r="659" spans="22:22" ht="12.75" customHeight="1" x14ac:dyDescent="0.2">
      <c r="V659" s="12"/>
    </row>
    <row r="660" spans="22:22" ht="12.75" customHeight="1" x14ac:dyDescent="0.2">
      <c r="V660" s="12"/>
    </row>
    <row r="661" spans="22:22" ht="12.75" customHeight="1" x14ac:dyDescent="0.2">
      <c r="V661" s="12"/>
    </row>
    <row r="662" spans="22:22" ht="12.75" customHeight="1" x14ac:dyDescent="0.2">
      <c r="V662" s="12"/>
    </row>
    <row r="663" spans="22:22" ht="12.75" customHeight="1" x14ac:dyDescent="0.2">
      <c r="V663" s="12"/>
    </row>
    <row r="664" spans="22:22" ht="12.75" customHeight="1" x14ac:dyDescent="0.2">
      <c r="V664" s="12"/>
    </row>
    <row r="665" spans="22:22" ht="12.75" customHeight="1" x14ac:dyDescent="0.2">
      <c r="V665" s="12"/>
    </row>
    <row r="666" spans="22:22" ht="12.75" customHeight="1" x14ac:dyDescent="0.2">
      <c r="V666" s="12"/>
    </row>
    <row r="667" spans="22:22" ht="12.75" customHeight="1" x14ac:dyDescent="0.2">
      <c r="V667" s="12"/>
    </row>
    <row r="668" spans="22:22" ht="12.75" customHeight="1" x14ac:dyDescent="0.2">
      <c r="V668" s="12"/>
    </row>
    <row r="669" spans="22:22" ht="12.75" customHeight="1" x14ac:dyDescent="0.2">
      <c r="V669" s="12"/>
    </row>
    <row r="670" spans="22:22" ht="12.75" customHeight="1" x14ac:dyDescent="0.2">
      <c r="V670" s="12"/>
    </row>
    <row r="671" spans="22:22" ht="12.75" customHeight="1" x14ac:dyDescent="0.2">
      <c r="V671" s="12"/>
    </row>
    <row r="672" spans="22:22" ht="12.75" customHeight="1" x14ac:dyDescent="0.2">
      <c r="V672" s="12"/>
    </row>
    <row r="673" spans="22:22" ht="12.75" customHeight="1" x14ac:dyDescent="0.2">
      <c r="V673" s="12"/>
    </row>
    <row r="674" spans="22:22" ht="12.75" customHeight="1" x14ac:dyDescent="0.2">
      <c r="V674" s="12"/>
    </row>
    <row r="675" spans="22:22" ht="12.75" customHeight="1" x14ac:dyDescent="0.2">
      <c r="V675" s="12"/>
    </row>
    <row r="676" spans="22:22" ht="12.75" customHeight="1" x14ac:dyDescent="0.2">
      <c r="V676" s="12"/>
    </row>
    <row r="677" spans="22:22" ht="12.75" customHeight="1" x14ac:dyDescent="0.2">
      <c r="V677" s="12"/>
    </row>
    <row r="678" spans="22:22" ht="12.75" customHeight="1" x14ac:dyDescent="0.2">
      <c r="V678" s="12"/>
    </row>
    <row r="679" spans="22:22" ht="12.75" customHeight="1" x14ac:dyDescent="0.2">
      <c r="V679" s="12"/>
    </row>
    <row r="680" spans="22:22" ht="12.75" customHeight="1" x14ac:dyDescent="0.2">
      <c r="V680" s="12"/>
    </row>
    <row r="681" spans="22:22" ht="12.75" customHeight="1" x14ac:dyDescent="0.2">
      <c r="V681" s="12"/>
    </row>
    <row r="682" spans="22:22" ht="12.75" customHeight="1" x14ac:dyDescent="0.2">
      <c r="V682" s="12"/>
    </row>
    <row r="683" spans="22:22" ht="12.75" customHeight="1" x14ac:dyDescent="0.2">
      <c r="V683" s="12"/>
    </row>
    <row r="684" spans="22:22" ht="12.75" customHeight="1" x14ac:dyDescent="0.2">
      <c r="V684" s="12"/>
    </row>
    <row r="685" spans="22:22" ht="12.75" customHeight="1" x14ac:dyDescent="0.2">
      <c r="V685" s="12"/>
    </row>
    <row r="686" spans="22:22" ht="12.75" customHeight="1" x14ac:dyDescent="0.2">
      <c r="V686" s="12"/>
    </row>
    <row r="687" spans="22:22" ht="12.75" customHeight="1" x14ac:dyDescent="0.2">
      <c r="V687" s="12"/>
    </row>
    <row r="688" spans="22:22" ht="12.75" customHeight="1" x14ac:dyDescent="0.2">
      <c r="V688" s="12"/>
    </row>
    <row r="689" spans="22:22" ht="12.75" customHeight="1" x14ac:dyDescent="0.2">
      <c r="V689" s="12"/>
    </row>
    <row r="690" spans="22:22" ht="12.75" customHeight="1" x14ac:dyDescent="0.2">
      <c r="V690" s="12"/>
    </row>
    <row r="691" spans="22:22" ht="12.75" customHeight="1" x14ac:dyDescent="0.2">
      <c r="V691" s="12"/>
    </row>
    <row r="692" spans="22:22" ht="12.75" customHeight="1" x14ac:dyDescent="0.2">
      <c r="V692" s="12"/>
    </row>
    <row r="693" spans="22:22" ht="12.75" customHeight="1" x14ac:dyDescent="0.2">
      <c r="V693" s="12"/>
    </row>
    <row r="694" spans="22:22" ht="12.75" customHeight="1" x14ac:dyDescent="0.2">
      <c r="V694" s="12"/>
    </row>
    <row r="695" spans="22:22" ht="12.75" customHeight="1" x14ac:dyDescent="0.2">
      <c r="V695" s="12"/>
    </row>
    <row r="696" spans="22:22" ht="12.75" customHeight="1" x14ac:dyDescent="0.2">
      <c r="V696" s="12"/>
    </row>
    <row r="697" spans="22:22" ht="12.75" customHeight="1" x14ac:dyDescent="0.2">
      <c r="V697" s="12"/>
    </row>
    <row r="698" spans="22:22" ht="12.75" customHeight="1" x14ac:dyDescent="0.2">
      <c r="V698" s="12"/>
    </row>
    <row r="699" spans="22:22" ht="12.75" customHeight="1" x14ac:dyDescent="0.2">
      <c r="V699" s="12"/>
    </row>
    <row r="700" spans="22:22" ht="12.75" customHeight="1" x14ac:dyDescent="0.2">
      <c r="V700" s="12"/>
    </row>
    <row r="701" spans="22:22" ht="12.75" customHeight="1" x14ac:dyDescent="0.2">
      <c r="V701" s="12"/>
    </row>
    <row r="702" spans="22:22" ht="12.75" customHeight="1" x14ac:dyDescent="0.2">
      <c r="V702" s="12"/>
    </row>
    <row r="703" spans="22:22" ht="12.75" customHeight="1" x14ac:dyDescent="0.2">
      <c r="V703" s="12"/>
    </row>
    <row r="704" spans="22:22" ht="12.75" customHeight="1" x14ac:dyDescent="0.2">
      <c r="V704" s="12"/>
    </row>
    <row r="705" spans="22:22" ht="12.75" customHeight="1" x14ac:dyDescent="0.2">
      <c r="V705" s="12"/>
    </row>
    <row r="706" spans="22:22" ht="12.75" customHeight="1" x14ac:dyDescent="0.2">
      <c r="V706" s="12"/>
    </row>
    <row r="707" spans="22:22" ht="12.75" customHeight="1" x14ac:dyDescent="0.2">
      <c r="V707" s="12"/>
    </row>
    <row r="708" spans="22:22" ht="12.75" customHeight="1" x14ac:dyDescent="0.2">
      <c r="V708" s="12"/>
    </row>
    <row r="709" spans="22:22" ht="12.75" customHeight="1" x14ac:dyDescent="0.2">
      <c r="V709" s="12"/>
    </row>
    <row r="710" spans="22:22" ht="12.75" customHeight="1" x14ac:dyDescent="0.2">
      <c r="V710" s="12"/>
    </row>
    <row r="711" spans="22:22" ht="12.75" customHeight="1" x14ac:dyDescent="0.2">
      <c r="V711" s="12"/>
    </row>
    <row r="712" spans="22:22" ht="12.75" customHeight="1" x14ac:dyDescent="0.2">
      <c r="V712" s="12"/>
    </row>
    <row r="713" spans="22:22" ht="12.75" customHeight="1" x14ac:dyDescent="0.2">
      <c r="V713" s="12"/>
    </row>
    <row r="714" spans="22:22" ht="12.75" customHeight="1" x14ac:dyDescent="0.2">
      <c r="V714" s="12"/>
    </row>
    <row r="715" spans="22:22" ht="12.75" customHeight="1" x14ac:dyDescent="0.2">
      <c r="V715" s="12"/>
    </row>
    <row r="716" spans="22:22" ht="12.75" customHeight="1" x14ac:dyDescent="0.2">
      <c r="V716" s="12"/>
    </row>
    <row r="717" spans="22:22" ht="12.75" customHeight="1" x14ac:dyDescent="0.2">
      <c r="V717" s="12"/>
    </row>
    <row r="718" spans="22:22" ht="12.75" customHeight="1" x14ac:dyDescent="0.2">
      <c r="V718" s="12"/>
    </row>
    <row r="719" spans="22:22" ht="12.75" customHeight="1" x14ac:dyDescent="0.2">
      <c r="V719" s="12"/>
    </row>
    <row r="720" spans="22:22" ht="12.75" customHeight="1" x14ac:dyDescent="0.2">
      <c r="V720" s="12"/>
    </row>
    <row r="721" spans="22:22" ht="12.75" customHeight="1" x14ac:dyDescent="0.2">
      <c r="V721" s="12"/>
    </row>
    <row r="722" spans="22:22" ht="12.75" customHeight="1" x14ac:dyDescent="0.2">
      <c r="V722" s="12"/>
    </row>
    <row r="723" spans="22:22" ht="12.75" customHeight="1" x14ac:dyDescent="0.2">
      <c r="V723" s="12"/>
    </row>
    <row r="724" spans="22:22" ht="12.75" customHeight="1" x14ac:dyDescent="0.2">
      <c r="V724" s="12"/>
    </row>
    <row r="725" spans="22:22" ht="12.75" customHeight="1" x14ac:dyDescent="0.2">
      <c r="V725" s="12"/>
    </row>
    <row r="726" spans="22:22" ht="12.75" customHeight="1" x14ac:dyDescent="0.2">
      <c r="V726" s="12"/>
    </row>
    <row r="727" spans="22:22" ht="12.75" customHeight="1" x14ac:dyDescent="0.2">
      <c r="V727" s="12"/>
    </row>
    <row r="728" spans="22:22" ht="12.75" customHeight="1" x14ac:dyDescent="0.2">
      <c r="V728" s="12"/>
    </row>
    <row r="729" spans="22:22" ht="12.75" customHeight="1" x14ac:dyDescent="0.2">
      <c r="V729" s="12"/>
    </row>
    <row r="730" spans="22:22" ht="12.75" customHeight="1" x14ac:dyDescent="0.2">
      <c r="V730" s="12"/>
    </row>
    <row r="731" spans="22:22" ht="12.75" customHeight="1" x14ac:dyDescent="0.2">
      <c r="V731" s="12"/>
    </row>
    <row r="732" spans="22:22" ht="12.75" customHeight="1" x14ac:dyDescent="0.2">
      <c r="V732" s="12"/>
    </row>
    <row r="733" spans="22:22" ht="12.75" customHeight="1" x14ac:dyDescent="0.2">
      <c r="V733" s="12"/>
    </row>
    <row r="734" spans="22:22" ht="12.75" customHeight="1" x14ac:dyDescent="0.2">
      <c r="V734" s="12"/>
    </row>
    <row r="735" spans="22:22" ht="12.75" customHeight="1" x14ac:dyDescent="0.2">
      <c r="V735" s="12"/>
    </row>
    <row r="736" spans="22:22" ht="12.75" customHeight="1" x14ac:dyDescent="0.2">
      <c r="V736" s="12"/>
    </row>
    <row r="737" spans="22:22" ht="12.75" customHeight="1" x14ac:dyDescent="0.2">
      <c r="V737" s="12"/>
    </row>
    <row r="738" spans="22:22" ht="12.75" customHeight="1" x14ac:dyDescent="0.2">
      <c r="V738" s="12"/>
    </row>
    <row r="739" spans="22:22" ht="12.75" customHeight="1" x14ac:dyDescent="0.2">
      <c r="V739" s="12"/>
    </row>
    <row r="740" spans="22:22" ht="12.75" customHeight="1" x14ac:dyDescent="0.2">
      <c r="V740" s="12"/>
    </row>
    <row r="741" spans="22:22" ht="12.75" customHeight="1" x14ac:dyDescent="0.2">
      <c r="V741" s="12"/>
    </row>
    <row r="742" spans="22:22" ht="12.75" customHeight="1" x14ac:dyDescent="0.2">
      <c r="V742" s="12"/>
    </row>
    <row r="743" spans="22:22" ht="12.75" customHeight="1" x14ac:dyDescent="0.2">
      <c r="V743" s="12"/>
    </row>
    <row r="744" spans="22:22" ht="12.75" customHeight="1" x14ac:dyDescent="0.2">
      <c r="V744" s="12"/>
    </row>
    <row r="745" spans="22:22" ht="12.75" customHeight="1" x14ac:dyDescent="0.2">
      <c r="V745" s="12"/>
    </row>
    <row r="746" spans="22:22" ht="12.75" customHeight="1" x14ac:dyDescent="0.2">
      <c r="V746" s="12"/>
    </row>
    <row r="747" spans="22:22" ht="12.75" customHeight="1" x14ac:dyDescent="0.2">
      <c r="V747" s="12"/>
    </row>
    <row r="748" spans="22:22" ht="12.75" customHeight="1" x14ac:dyDescent="0.2">
      <c r="V748" s="12"/>
    </row>
    <row r="749" spans="22:22" ht="12.75" customHeight="1" x14ac:dyDescent="0.2">
      <c r="V749" s="12"/>
    </row>
    <row r="750" spans="22:22" ht="12.75" customHeight="1" x14ac:dyDescent="0.2">
      <c r="V750" s="12"/>
    </row>
    <row r="751" spans="22:22" ht="12.75" customHeight="1" x14ac:dyDescent="0.2">
      <c r="V751" s="12"/>
    </row>
    <row r="752" spans="22:22" ht="12.75" customHeight="1" x14ac:dyDescent="0.2">
      <c r="V752" s="12"/>
    </row>
    <row r="753" spans="22:22" ht="12.75" customHeight="1" x14ac:dyDescent="0.2">
      <c r="V753" s="12"/>
    </row>
    <row r="754" spans="22:22" ht="12.75" customHeight="1" x14ac:dyDescent="0.2">
      <c r="V754" s="12"/>
    </row>
    <row r="755" spans="22:22" ht="12.75" customHeight="1" x14ac:dyDescent="0.2">
      <c r="V755" s="12"/>
    </row>
    <row r="756" spans="22:22" ht="12.75" customHeight="1" x14ac:dyDescent="0.2">
      <c r="V756" s="12"/>
    </row>
    <row r="757" spans="22:22" ht="12.75" customHeight="1" x14ac:dyDescent="0.2">
      <c r="V757" s="12"/>
    </row>
    <row r="758" spans="22:22" ht="12.75" customHeight="1" x14ac:dyDescent="0.2">
      <c r="V758" s="12"/>
    </row>
    <row r="759" spans="22:22" ht="12.75" customHeight="1" x14ac:dyDescent="0.2">
      <c r="V759" s="12"/>
    </row>
    <row r="760" spans="22:22" ht="12.75" customHeight="1" x14ac:dyDescent="0.2">
      <c r="V760" s="12"/>
    </row>
    <row r="761" spans="22:22" ht="12.75" customHeight="1" x14ac:dyDescent="0.2">
      <c r="V761" s="12"/>
    </row>
    <row r="762" spans="22:22" ht="12.75" customHeight="1" x14ac:dyDescent="0.2">
      <c r="V762" s="12"/>
    </row>
    <row r="763" spans="22:22" ht="12.75" customHeight="1" x14ac:dyDescent="0.2">
      <c r="V763" s="12"/>
    </row>
    <row r="764" spans="22:22" ht="12.75" customHeight="1" x14ac:dyDescent="0.2">
      <c r="V764" s="12"/>
    </row>
    <row r="765" spans="22:22" ht="12.75" customHeight="1" x14ac:dyDescent="0.2">
      <c r="V765" s="12"/>
    </row>
    <row r="766" spans="22:22" ht="12.75" customHeight="1" x14ac:dyDescent="0.2">
      <c r="V766" s="12"/>
    </row>
    <row r="767" spans="22:22" ht="12.75" customHeight="1" x14ac:dyDescent="0.2">
      <c r="V767" s="12"/>
    </row>
    <row r="768" spans="22:22" ht="12.75" customHeight="1" x14ac:dyDescent="0.2">
      <c r="V768" s="12"/>
    </row>
    <row r="769" spans="22:22" ht="12.75" customHeight="1" x14ac:dyDescent="0.2">
      <c r="V769" s="12"/>
    </row>
    <row r="770" spans="22:22" ht="12.75" customHeight="1" x14ac:dyDescent="0.2">
      <c r="V770" s="12"/>
    </row>
    <row r="771" spans="22:22" ht="12.75" customHeight="1" x14ac:dyDescent="0.2">
      <c r="V771" s="12"/>
    </row>
    <row r="772" spans="22:22" ht="12.75" customHeight="1" x14ac:dyDescent="0.2">
      <c r="V772" s="12"/>
    </row>
    <row r="773" spans="22:22" ht="12.75" customHeight="1" x14ac:dyDescent="0.2">
      <c r="V773" s="12"/>
    </row>
    <row r="774" spans="22:22" ht="12.75" customHeight="1" x14ac:dyDescent="0.2">
      <c r="V774" s="12"/>
    </row>
    <row r="775" spans="22:22" ht="12.75" customHeight="1" x14ac:dyDescent="0.2">
      <c r="V775" s="12"/>
    </row>
    <row r="776" spans="22:22" ht="12.75" customHeight="1" x14ac:dyDescent="0.2">
      <c r="V776" s="12"/>
    </row>
    <row r="777" spans="22:22" ht="12.75" customHeight="1" x14ac:dyDescent="0.2">
      <c r="V777" s="12"/>
    </row>
    <row r="778" spans="22:22" ht="12.75" customHeight="1" x14ac:dyDescent="0.2">
      <c r="V778" s="12"/>
    </row>
    <row r="779" spans="22:22" ht="12.75" customHeight="1" x14ac:dyDescent="0.2">
      <c r="V779" s="12"/>
    </row>
    <row r="780" spans="22:22" ht="12.75" customHeight="1" x14ac:dyDescent="0.2">
      <c r="V780" s="12"/>
    </row>
    <row r="781" spans="22:22" ht="12.75" customHeight="1" x14ac:dyDescent="0.2">
      <c r="V781" s="12"/>
    </row>
    <row r="782" spans="22:22" ht="12.75" customHeight="1" x14ac:dyDescent="0.2">
      <c r="V782" s="12"/>
    </row>
    <row r="783" spans="22:22" ht="12.75" customHeight="1" x14ac:dyDescent="0.2">
      <c r="V783" s="12"/>
    </row>
    <row r="784" spans="22:22" ht="12.75" customHeight="1" x14ac:dyDescent="0.2">
      <c r="V784" s="12"/>
    </row>
    <row r="785" spans="22:22" ht="12.75" customHeight="1" x14ac:dyDescent="0.2">
      <c r="V785" s="12"/>
    </row>
    <row r="786" spans="22:22" ht="12.75" customHeight="1" x14ac:dyDescent="0.2">
      <c r="V786" s="12"/>
    </row>
    <row r="787" spans="22:22" ht="12.75" customHeight="1" x14ac:dyDescent="0.2">
      <c r="V787" s="12"/>
    </row>
    <row r="788" spans="22:22" ht="12.75" customHeight="1" x14ac:dyDescent="0.2">
      <c r="V788" s="12"/>
    </row>
    <row r="789" spans="22:22" ht="12.75" customHeight="1" x14ac:dyDescent="0.2">
      <c r="V789" s="12"/>
    </row>
    <row r="790" spans="22:22" ht="12.75" customHeight="1" x14ac:dyDescent="0.2">
      <c r="V790" s="12"/>
    </row>
    <row r="791" spans="22:22" ht="12.75" customHeight="1" x14ac:dyDescent="0.2">
      <c r="V791" s="12"/>
    </row>
    <row r="792" spans="22:22" ht="12.75" customHeight="1" x14ac:dyDescent="0.2">
      <c r="V792" s="12"/>
    </row>
    <row r="793" spans="22:22" ht="12.75" customHeight="1" x14ac:dyDescent="0.2">
      <c r="V793" s="12"/>
    </row>
    <row r="794" spans="22:22" ht="12.75" customHeight="1" x14ac:dyDescent="0.2">
      <c r="V794" s="12"/>
    </row>
    <row r="795" spans="22:22" ht="12.75" customHeight="1" x14ac:dyDescent="0.2">
      <c r="V795" s="12"/>
    </row>
    <row r="796" spans="22:22" ht="12.75" customHeight="1" x14ac:dyDescent="0.2">
      <c r="V796" s="12"/>
    </row>
    <row r="797" spans="22:22" ht="12.75" customHeight="1" x14ac:dyDescent="0.2">
      <c r="V797" s="12"/>
    </row>
    <row r="798" spans="22:22" ht="12.75" customHeight="1" x14ac:dyDescent="0.2">
      <c r="V798" s="12"/>
    </row>
    <row r="799" spans="22:22" ht="12.75" customHeight="1" x14ac:dyDescent="0.2">
      <c r="V799" s="12"/>
    </row>
    <row r="800" spans="22:22" ht="12.75" customHeight="1" x14ac:dyDescent="0.2">
      <c r="V800" s="12"/>
    </row>
    <row r="801" spans="22:22" ht="12.75" customHeight="1" x14ac:dyDescent="0.2">
      <c r="V801" s="12"/>
    </row>
    <row r="802" spans="22:22" ht="12.75" customHeight="1" x14ac:dyDescent="0.2">
      <c r="V802" s="12"/>
    </row>
    <row r="803" spans="22:22" ht="12.75" customHeight="1" x14ac:dyDescent="0.2">
      <c r="V803" s="12"/>
    </row>
    <row r="804" spans="22:22" ht="12.75" customHeight="1" x14ac:dyDescent="0.2">
      <c r="V804" s="12"/>
    </row>
    <row r="805" spans="22:22" ht="12.75" customHeight="1" x14ac:dyDescent="0.2">
      <c r="V805" s="12"/>
    </row>
    <row r="806" spans="22:22" ht="12.75" customHeight="1" x14ac:dyDescent="0.2">
      <c r="V806" s="12"/>
    </row>
    <row r="807" spans="22:22" ht="12.75" customHeight="1" x14ac:dyDescent="0.2">
      <c r="V807" s="12"/>
    </row>
    <row r="808" spans="22:22" ht="12.75" customHeight="1" x14ac:dyDescent="0.2">
      <c r="V808" s="12"/>
    </row>
    <row r="809" spans="22:22" ht="12.75" customHeight="1" x14ac:dyDescent="0.2">
      <c r="V809" s="12"/>
    </row>
    <row r="810" spans="22:22" ht="12.75" customHeight="1" x14ac:dyDescent="0.2">
      <c r="V810" s="12"/>
    </row>
    <row r="811" spans="22:22" ht="12.75" customHeight="1" x14ac:dyDescent="0.2">
      <c r="V811" s="12"/>
    </row>
    <row r="812" spans="22:22" ht="12.75" customHeight="1" x14ac:dyDescent="0.2">
      <c r="V812" s="12"/>
    </row>
    <row r="813" spans="22:22" ht="12.75" customHeight="1" x14ac:dyDescent="0.2">
      <c r="V813" s="12"/>
    </row>
    <row r="814" spans="22:22" ht="12.75" customHeight="1" x14ac:dyDescent="0.2">
      <c r="V814" s="12"/>
    </row>
    <row r="815" spans="22:22" ht="12.75" customHeight="1" x14ac:dyDescent="0.2">
      <c r="V815" s="12"/>
    </row>
    <row r="816" spans="22:22" ht="12.75" customHeight="1" x14ac:dyDescent="0.2">
      <c r="V816" s="12"/>
    </row>
    <row r="817" spans="22:22" ht="12.75" customHeight="1" x14ac:dyDescent="0.2">
      <c r="V817" s="12"/>
    </row>
    <row r="818" spans="22:22" ht="12.75" customHeight="1" x14ac:dyDescent="0.2">
      <c r="V818" s="12"/>
    </row>
    <row r="819" spans="22:22" ht="12.75" customHeight="1" x14ac:dyDescent="0.2">
      <c r="V819" s="12"/>
    </row>
    <row r="820" spans="22:22" ht="12.75" customHeight="1" x14ac:dyDescent="0.2">
      <c r="V820" s="12"/>
    </row>
    <row r="821" spans="22:22" ht="12.75" customHeight="1" x14ac:dyDescent="0.2">
      <c r="V821" s="12"/>
    </row>
    <row r="822" spans="22:22" ht="12.75" customHeight="1" x14ac:dyDescent="0.2">
      <c r="V822" s="12"/>
    </row>
    <row r="823" spans="22:22" ht="12.75" customHeight="1" x14ac:dyDescent="0.2">
      <c r="V823" s="12"/>
    </row>
    <row r="824" spans="22:22" ht="12.75" customHeight="1" x14ac:dyDescent="0.2">
      <c r="V824" s="12"/>
    </row>
    <row r="825" spans="22:22" ht="12.75" customHeight="1" x14ac:dyDescent="0.2">
      <c r="V825" s="12"/>
    </row>
    <row r="826" spans="22:22" ht="12.75" customHeight="1" x14ac:dyDescent="0.2">
      <c r="V826" s="12"/>
    </row>
    <row r="827" spans="22:22" ht="12.75" customHeight="1" x14ac:dyDescent="0.2">
      <c r="V827" s="12"/>
    </row>
    <row r="828" spans="22:22" ht="12.75" customHeight="1" x14ac:dyDescent="0.2">
      <c r="V828" s="12"/>
    </row>
    <row r="829" spans="22:22" ht="12.75" customHeight="1" x14ac:dyDescent="0.2">
      <c r="V829" s="12"/>
    </row>
    <row r="830" spans="22:22" ht="12.75" customHeight="1" x14ac:dyDescent="0.2">
      <c r="V830" s="12"/>
    </row>
    <row r="831" spans="22:22" ht="12.75" customHeight="1" x14ac:dyDescent="0.2">
      <c r="V831" s="12"/>
    </row>
    <row r="832" spans="22:22" ht="12.75" customHeight="1" x14ac:dyDescent="0.2">
      <c r="V832" s="12"/>
    </row>
    <row r="833" spans="22:22" ht="12.75" customHeight="1" x14ac:dyDescent="0.2">
      <c r="V833" s="12"/>
    </row>
    <row r="834" spans="22:22" ht="12.75" customHeight="1" x14ac:dyDescent="0.2">
      <c r="V834" s="12"/>
    </row>
    <row r="835" spans="22:22" ht="12.75" customHeight="1" x14ac:dyDescent="0.2">
      <c r="V835" s="12"/>
    </row>
    <row r="836" spans="22:22" ht="12.75" customHeight="1" x14ac:dyDescent="0.2">
      <c r="V836" s="12"/>
    </row>
    <row r="837" spans="22:22" ht="12.75" customHeight="1" x14ac:dyDescent="0.2">
      <c r="V837" s="12"/>
    </row>
    <row r="838" spans="22:22" ht="12.75" customHeight="1" x14ac:dyDescent="0.2">
      <c r="V838" s="12"/>
    </row>
    <row r="839" spans="22:22" ht="12.75" customHeight="1" x14ac:dyDescent="0.2">
      <c r="V839" s="12"/>
    </row>
    <row r="840" spans="22:22" ht="12.75" customHeight="1" x14ac:dyDescent="0.2">
      <c r="V840" s="12"/>
    </row>
    <row r="841" spans="22:22" ht="12.75" customHeight="1" x14ac:dyDescent="0.2">
      <c r="V841" s="12"/>
    </row>
    <row r="842" spans="22:22" ht="12.75" customHeight="1" x14ac:dyDescent="0.2">
      <c r="V842" s="12"/>
    </row>
    <row r="843" spans="22:22" ht="12.75" customHeight="1" x14ac:dyDescent="0.2">
      <c r="V843" s="12"/>
    </row>
    <row r="844" spans="22:22" ht="12.75" customHeight="1" x14ac:dyDescent="0.2">
      <c r="V844" s="12"/>
    </row>
    <row r="845" spans="22:22" ht="12.75" customHeight="1" x14ac:dyDescent="0.2">
      <c r="V845" s="12"/>
    </row>
    <row r="846" spans="22:22" ht="12.75" customHeight="1" x14ac:dyDescent="0.2">
      <c r="V846" s="12"/>
    </row>
    <row r="847" spans="22:22" ht="12.75" customHeight="1" x14ac:dyDescent="0.2">
      <c r="V847" s="12"/>
    </row>
    <row r="848" spans="22:22" ht="12.75" customHeight="1" x14ac:dyDescent="0.2">
      <c r="V848" s="12"/>
    </row>
    <row r="849" spans="22:22" ht="12.75" customHeight="1" x14ac:dyDescent="0.2">
      <c r="V849" s="12"/>
    </row>
    <row r="850" spans="22:22" ht="12.75" customHeight="1" x14ac:dyDescent="0.2">
      <c r="V850" s="12"/>
    </row>
    <row r="851" spans="22:22" ht="12.75" customHeight="1" x14ac:dyDescent="0.2">
      <c r="V851" s="12"/>
    </row>
    <row r="852" spans="22:22" ht="12.75" customHeight="1" x14ac:dyDescent="0.2">
      <c r="V852" s="12"/>
    </row>
    <row r="853" spans="22:22" ht="12.75" customHeight="1" x14ac:dyDescent="0.2">
      <c r="V853" s="12"/>
    </row>
    <row r="854" spans="22:22" ht="12.75" customHeight="1" x14ac:dyDescent="0.2">
      <c r="V854" s="12"/>
    </row>
    <row r="855" spans="22:22" ht="12.75" customHeight="1" x14ac:dyDescent="0.2">
      <c r="V855" s="12"/>
    </row>
    <row r="856" spans="22:22" ht="12.75" customHeight="1" x14ac:dyDescent="0.2">
      <c r="V856" s="12"/>
    </row>
    <row r="857" spans="22:22" ht="12.75" customHeight="1" x14ac:dyDescent="0.2">
      <c r="V857" s="12"/>
    </row>
    <row r="858" spans="22:22" ht="12.75" customHeight="1" x14ac:dyDescent="0.2">
      <c r="V858" s="12"/>
    </row>
    <row r="859" spans="22:22" ht="12.75" customHeight="1" x14ac:dyDescent="0.2">
      <c r="V859" s="12"/>
    </row>
    <row r="860" spans="22:22" ht="12.75" customHeight="1" x14ac:dyDescent="0.2">
      <c r="V860" s="12"/>
    </row>
    <row r="861" spans="22:22" ht="12.75" customHeight="1" x14ac:dyDescent="0.2">
      <c r="V861" s="12"/>
    </row>
    <row r="862" spans="22:22" ht="12.75" customHeight="1" x14ac:dyDescent="0.2">
      <c r="V862" s="12"/>
    </row>
    <row r="863" spans="22:22" ht="12.75" customHeight="1" x14ac:dyDescent="0.2">
      <c r="V863" s="12"/>
    </row>
    <row r="864" spans="22:22" ht="12.75" customHeight="1" x14ac:dyDescent="0.2">
      <c r="V864" s="12"/>
    </row>
    <row r="865" spans="22:22" ht="12.75" customHeight="1" x14ac:dyDescent="0.2">
      <c r="V865" s="12"/>
    </row>
    <row r="866" spans="22:22" ht="12.75" customHeight="1" x14ac:dyDescent="0.2">
      <c r="V866" s="12"/>
    </row>
    <row r="867" spans="22:22" ht="12.75" customHeight="1" x14ac:dyDescent="0.2">
      <c r="V867" s="12"/>
    </row>
    <row r="868" spans="22:22" ht="12.75" customHeight="1" x14ac:dyDescent="0.2">
      <c r="V868" s="12"/>
    </row>
    <row r="869" spans="22:22" ht="12.75" customHeight="1" x14ac:dyDescent="0.2">
      <c r="V869" s="12"/>
    </row>
    <row r="870" spans="22:22" ht="12.75" customHeight="1" x14ac:dyDescent="0.2">
      <c r="V870" s="12"/>
    </row>
    <row r="871" spans="22:22" ht="12.75" customHeight="1" x14ac:dyDescent="0.2">
      <c r="V871" s="12"/>
    </row>
    <row r="872" spans="22:22" ht="12.75" customHeight="1" x14ac:dyDescent="0.2">
      <c r="V872" s="12"/>
    </row>
    <row r="873" spans="22:22" ht="12.75" customHeight="1" x14ac:dyDescent="0.2">
      <c r="V873" s="12"/>
    </row>
    <row r="874" spans="22:22" ht="12.75" customHeight="1" x14ac:dyDescent="0.2">
      <c r="V874" s="12"/>
    </row>
    <row r="875" spans="22:22" ht="12.75" customHeight="1" x14ac:dyDescent="0.2">
      <c r="V875" s="12"/>
    </row>
    <row r="876" spans="22:22" ht="12.75" customHeight="1" x14ac:dyDescent="0.2">
      <c r="V876" s="12"/>
    </row>
    <row r="877" spans="22:22" ht="12.75" customHeight="1" x14ac:dyDescent="0.2">
      <c r="V877" s="12"/>
    </row>
    <row r="878" spans="22:22" ht="12.75" customHeight="1" x14ac:dyDescent="0.2">
      <c r="V878" s="12"/>
    </row>
    <row r="879" spans="22:22" ht="12.75" customHeight="1" x14ac:dyDescent="0.2">
      <c r="V879" s="12"/>
    </row>
    <row r="880" spans="22:22" ht="12.75" customHeight="1" x14ac:dyDescent="0.2">
      <c r="V880" s="12"/>
    </row>
    <row r="881" spans="22:22" ht="12.75" customHeight="1" x14ac:dyDescent="0.2">
      <c r="V881" s="12"/>
    </row>
    <row r="882" spans="22:22" ht="12.75" customHeight="1" x14ac:dyDescent="0.2">
      <c r="V882" s="12"/>
    </row>
    <row r="883" spans="22:22" ht="12.75" customHeight="1" x14ac:dyDescent="0.2">
      <c r="V883" s="12"/>
    </row>
    <row r="884" spans="22:22" ht="12.75" customHeight="1" x14ac:dyDescent="0.2">
      <c r="V884" s="12"/>
    </row>
    <row r="885" spans="22:22" ht="12.75" customHeight="1" x14ac:dyDescent="0.2">
      <c r="V885" s="12"/>
    </row>
    <row r="886" spans="22:22" ht="12.75" customHeight="1" x14ac:dyDescent="0.2">
      <c r="V886" s="12"/>
    </row>
    <row r="887" spans="22:22" ht="12.75" customHeight="1" x14ac:dyDescent="0.2">
      <c r="V887" s="12"/>
    </row>
    <row r="888" spans="22:22" ht="12.75" customHeight="1" x14ac:dyDescent="0.2">
      <c r="V888" s="12"/>
    </row>
    <row r="889" spans="22:22" ht="12.75" customHeight="1" x14ac:dyDescent="0.2">
      <c r="V889" s="12"/>
    </row>
    <row r="890" spans="22:22" ht="12.75" customHeight="1" x14ac:dyDescent="0.2">
      <c r="V890" s="12"/>
    </row>
    <row r="891" spans="22:22" ht="12.75" customHeight="1" x14ac:dyDescent="0.2">
      <c r="V891" s="12"/>
    </row>
    <row r="892" spans="22:22" ht="12.75" customHeight="1" x14ac:dyDescent="0.2">
      <c r="V892" s="12"/>
    </row>
    <row r="893" spans="22:22" ht="12.75" customHeight="1" x14ac:dyDescent="0.2">
      <c r="V893" s="12"/>
    </row>
    <row r="894" spans="22:22" ht="12.75" customHeight="1" x14ac:dyDescent="0.2">
      <c r="V894" s="12"/>
    </row>
    <row r="895" spans="22:22" ht="12.75" customHeight="1" x14ac:dyDescent="0.2">
      <c r="V895" s="12"/>
    </row>
    <row r="896" spans="22:22" ht="12.75" customHeight="1" x14ac:dyDescent="0.2">
      <c r="V896" s="12"/>
    </row>
    <row r="897" spans="22:22" ht="12.75" customHeight="1" x14ac:dyDescent="0.2">
      <c r="V897" s="12"/>
    </row>
    <row r="898" spans="22:22" ht="12.75" customHeight="1" x14ac:dyDescent="0.2">
      <c r="V898" s="12"/>
    </row>
    <row r="899" spans="22:22" ht="12.75" customHeight="1" x14ac:dyDescent="0.2">
      <c r="V899" s="12"/>
    </row>
    <row r="900" spans="22:22" ht="12.75" customHeight="1" x14ac:dyDescent="0.2">
      <c r="V900" s="12"/>
    </row>
    <row r="901" spans="22:22" ht="12.75" customHeight="1" x14ac:dyDescent="0.2">
      <c r="V901" s="12"/>
    </row>
    <row r="902" spans="22:22" ht="12.75" customHeight="1" x14ac:dyDescent="0.2">
      <c r="V902" s="12"/>
    </row>
    <row r="903" spans="22:22" ht="12.75" customHeight="1" x14ac:dyDescent="0.2">
      <c r="V903" s="12"/>
    </row>
    <row r="904" spans="22:22" ht="12.75" customHeight="1" x14ac:dyDescent="0.2">
      <c r="V904" s="12"/>
    </row>
    <row r="905" spans="22:22" ht="12.75" customHeight="1" x14ac:dyDescent="0.2">
      <c r="V905" s="12"/>
    </row>
    <row r="906" spans="22:22" ht="12.75" customHeight="1" x14ac:dyDescent="0.2">
      <c r="V906" s="12"/>
    </row>
    <row r="907" spans="22:22" ht="12.75" customHeight="1" x14ac:dyDescent="0.2">
      <c r="V907" s="12"/>
    </row>
    <row r="908" spans="22:22" ht="12.75" customHeight="1" x14ac:dyDescent="0.2">
      <c r="V908" s="12"/>
    </row>
    <row r="909" spans="22:22" ht="12.75" customHeight="1" x14ac:dyDescent="0.2">
      <c r="V909" s="12"/>
    </row>
    <row r="910" spans="22:22" ht="12.75" customHeight="1" x14ac:dyDescent="0.2">
      <c r="V910" s="12"/>
    </row>
    <row r="911" spans="22:22" ht="12.75" customHeight="1" x14ac:dyDescent="0.2">
      <c r="V911" s="12"/>
    </row>
    <row r="912" spans="22:22" ht="12.75" customHeight="1" x14ac:dyDescent="0.2">
      <c r="V912" s="12"/>
    </row>
    <row r="913" spans="22:22" ht="12.75" customHeight="1" x14ac:dyDescent="0.2">
      <c r="V913" s="12"/>
    </row>
    <row r="914" spans="22:22" ht="12.75" customHeight="1" x14ac:dyDescent="0.2">
      <c r="V914" s="12"/>
    </row>
    <row r="915" spans="22:22" ht="12.75" customHeight="1" x14ac:dyDescent="0.2">
      <c r="V915" s="12"/>
    </row>
    <row r="916" spans="22:22" ht="12.75" customHeight="1" x14ac:dyDescent="0.2">
      <c r="V916" s="12"/>
    </row>
    <row r="917" spans="22:22" ht="12.75" customHeight="1" x14ac:dyDescent="0.2">
      <c r="V917" s="12"/>
    </row>
    <row r="918" spans="22:22" ht="12.75" customHeight="1" x14ac:dyDescent="0.2">
      <c r="V918" s="12"/>
    </row>
    <row r="919" spans="22:22" ht="12.75" customHeight="1" x14ac:dyDescent="0.2">
      <c r="V919" s="12"/>
    </row>
    <row r="920" spans="22:22" ht="12.75" customHeight="1" x14ac:dyDescent="0.2">
      <c r="V920" s="12"/>
    </row>
    <row r="921" spans="22:22" ht="12.75" customHeight="1" x14ac:dyDescent="0.2">
      <c r="V921" s="12"/>
    </row>
    <row r="922" spans="22:22" ht="12.75" customHeight="1" x14ac:dyDescent="0.2">
      <c r="V922" s="12"/>
    </row>
    <row r="923" spans="22:22" ht="12.75" customHeight="1" x14ac:dyDescent="0.2">
      <c r="V923" s="12"/>
    </row>
    <row r="924" spans="22:22" ht="12.75" customHeight="1" x14ac:dyDescent="0.2">
      <c r="V924" s="12"/>
    </row>
    <row r="925" spans="22:22" ht="12.75" customHeight="1" x14ac:dyDescent="0.2">
      <c r="V925" s="12"/>
    </row>
    <row r="926" spans="22:22" ht="12.75" customHeight="1" x14ac:dyDescent="0.2">
      <c r="V926" s="12"/>
    </row>
    <row r="927" spans="22:22" ht="12.75" customHeight="1" x14ac:dyDescent="0.2">
      <c r="V927" s="12"/>
    </row>
    <row r="928" spans="22:22" ht="12.75" customHeight="1" x14ac:dyDescent="0.2">
      <c r="V928" s="12"/>
    </row>
    <row r="929" spans="22:22" ht="12.75" customHeight="1" x14ac:dyDescent="0.2">
      <c r="V929" s="12"/>
    </row>
    <row r="930" spans="22:22" ht="12.75" customHeight="1" x14ac:dyDescent="0.2">
      <c r="V930" s="12"/>
    </row>
    <row r="931" spans="22:22" ht="12.75" customHeight="1" x14ac:dyDescent="0.2">
      <c r="V931" s="12"/>
    </row>
    <row r="932" spans="22:22" ht="12.75" customHeight="1" x14ac:dyDescent="0.2">
      <c r="V932" s="12"/>
    </row>
    <row r="933" spans="22:22" ht="12.75" customHeight="1" x14ac:dyDescent="0.2">
      <c r="V933" s="12"/>
    </row>
    <row r="934" spans="22:22" ht="12.75" customHeight="1" x14ac:dyDescent="0.2">
      <c r="V934" s="12"/>
    </row>
    <row r="935" spans="22:22" ht="12.75" customHeight="1" x14ac:dyDescent="0.2">
      <c r="V935" s="12"/>
    </row>
    <row r="936" spans="22:22" ht="12.75" customHeight="1" x14ac:dyDescent="0.2">
      <c r="V936" s="12"/>
    </row>
    <row r="937" spans="22:22" ht="12.75" customHeight="1" x14ac:dyDescent="0.2">
      <c r="V937" s="12"/>
    </row>
    <row r="938" spans="22:22" ht="12.75" customHeight="1" x14ac:dyDescent="0.2">
      <c r="V938" s="12"/>
    </row>
    <row r="939" spans="22:22" ht="12.75" customHeight="1" x14ac:dyDescent="0.2">
      <c r="V939" s="12"/>
    </row>
    <row r="940" spans="22:22" ht="12.75" customHeight="1" x14ac:dyDescent="0.2">
      <c r="V940" s="12"/>
    </row>
    <row r="941" spans="22:22" ht="12.75" customHeight="1" x14ac:dyDescent="0.2">
      <c r="V941" s="12"/>
    </row>
    <row r="942" spans="22:22" ht="12.75" customHeight="1" x14ac:dyDescent="0.2">
      <c r="V942" s="12"/>
    </row>
    <row r="943" spans="22:22" ht="12.75" customHeight="1" x14ac:dyDescent="0.2">
      <c r="V943" s="12"/>
    </row>
    <row r="944" spans="22:22" ht="12.75" customHeight="1" x14ac:dyDescent="0.2">
      <c r="V944" s="12"/>
    </row>
    <row r="945" spans="22:22" ht="12.75" customHeight="1" x14ac:dyDescent="0.2">
      <c r="V945" s="12"/>
    </row>
    <row r="946" spans="22:22" ht="12.75" customHeight="1" x14ac:dyDescent="0.2">
      <c r="V946" s="12"/>
    </row>
    <row r="947" spans="22:22" ht="12.75" customHeight="1" x14ac:dyDescent="0.2">
      <c r="V947" s="12"/>
    </row>
    <row r="948" spans="22:22" ht="12.75" customHeight="1" x14ac:dyDescent="0.2">
      <c r="V948" s="12"/>
    </row>
    <row r="949" spans="22:22" ht="12.75" customHeight="1" x14ac:dyDescent="0.2">
      <c r="V949" s="12"/>
    </row>
    <row r="950" spans="22:22" ht="12.75" customHeight="1" x14ac:dyDescent="0.2">
      <c r="V950" s="12"/>
    </row>
    <row r="951" spans="22:22" ht="12.75" customHeight="1" x14ac:dyDescent="0.2">
      <c r="V951" s="12"/>
    </row>
    <row r="952" spans="22:22" ht="12.75" customHeight="1" x14ac:dyDescent="0.2">
      <c r="V952" s="12"/>
    </row>
    <row r="953" spans="22:22" ht="12.75" customHeight="1" x14ac:dyDescent="0.2">
      <c r="V953" s="12"/>
    </row>
    <row r="954" spans="22:22" ht="12.75" customHeight="1" x14ac:dyDescent="0.2">
      <c r="V954" s="12"/>
    </row>
    <row r="955" spans="22:22" ht="12.75" customHeight="1" x14ac:dyDescent="0.2">
      <c r="V955" s="12"/>
    </row>
    <row r="956" spans="22:22" ht="12.75" customHeight="1" x14ac:dyDescent="0.2">
      <c r="V956" s="12"/>
    </row>
    <row r="957" spans="22:22" ht="12.75" customHeight="1" x14ac:dyDescent="0.2">
      <c r="V957" s="12"/>
    </row>
    <row r="958" spans="22:22" ht="12.75" customHeight="1" x14ac:dyDescent="0.2">
      <c r="V958" s="12"/>
    </row>
    <row r="959" spans="22:22" ht="12.75" customHeight="1" x14ac:dyDescent="0.2">
      <c r="V959" s="12"/>
    </row>
    <row r="960" spans="22:22" ht="12.75" customHeight="1" x14ac:dyDescent="0.2">
      <c r="V960" s="12"/>
    </row>
    <row r="961" spans="22:22" ht="12.75" customHeight="1" x14ac:dyDescent="0.2">
      <c r="V961" s="12"/>
    </row>
    <row r="962" spans="22:22" ht="12.75" customHeight="1" x14ac:dyDescent="0.2">
      <c r="V962" s="12"/>
    </row>
    <row r="963" spans="22:22" ht="12.75" customHeight="1" x14ac:dyDescent="0.2">
      <c r="V963" s="12"/>
    </row>
    <row r="964" spans="22:22" ht="12.75" customHeight="1" x14ac:dyDescent="0.2">
      <c r="V964" s="12"/>
    </row>
    <row r="965" spans="22:22" ht="12.75" customHeight="1" x14ac:dyDescent="0.2">
      <c r="V965" s="12"/>
    </row>
    <row r="966" spans="22:22" ht="12.75" customHeight="1" x14ac:dyDescent="0.2">
      <c r="V966" s="12"/>
    </row>
    <row r="967" spans="22:22" ht="12.75" customHeight="1" x14ac:dyDescent="0.2">
      <c r="V967" s="12"/>
    </row>
    <row r="968" spans="22:22" ht="12.75" customHeight="1" x14ac:dyDescent="0.2">
      <c r="V968" s="12"/>
    </row>
    <row r="969" spans="22:22" ht="12.75" customHeight="1" x14ac:dyDescent="0.2">
      <c r="V969" s="12"/>
    </row>
    <row r="970" spans="22:22" ht="12.75" customHeight="1" x14ac:dyDescent="0.2">
      <c r="V970" s="12"/>
    </row>
    <row r="971" spans="22:22" ht="12.75" customHeight="1" x14ac:dyDescent="0.2">
      <c r="V971" s="12"/>
    </row>
    <row r="972" spans="22:22" ht="12.75" customHeight="1" x14ac:dyDescent="0.2">
      <c r="V972" s="12"/>
    </row>
    <row r="973" spans="22:22" ht="12.75" customHeight="1" x14ac:dyDescent="0.2">
      <c r="V973" s="12"/>
    </row>
    <row r="974" spans="22:22" ht="12.75" customHeight="1" x14ac:dyDescent="0.2">
      <c r="V974" s="12"/>
    </row>
    <row r="975" spans="22:22" ht="12.75" customHeight="1" x14ac:dyDescent="0.2">
      <c r="V975" s="12"/>
    </row>
    <row r="976" spans="22:22" ht="12.75" customHeight="1" x14ac:dyDescent="0.2">
      <c r="V976" s="12"/>
    </row>
    <row r="977" spans="22:22" ht="12.75" customHeight="1" x14ac:dyDescent="0.2">
      <c r="V977" s="12"/>
    </row>
    <row r="978" spans="22:22" ht="12.75" customHeight="1" x14ac:dyDescent="0.2">
      <c r="V978" s="12"/>
    </row>
    <row r="979" spans="22:22" ht="12.75" customHeight="1" x14ac:dyDescent="0.2">
      <c r="V979" s="12"/>
    </row>
    <row r="980" spans="22:22" ht="12.75" customHeight="1" x14ac:dyDescent="0.2">
      <c r="V980" s="12"/>
    </row>
    <row r="981" spans="22:22" ht="12.75" customHeight="1" x14ac:dyDescent="0.2">
      <c r="V981" s="12"/>
    </row>
    <row r="982" spans="22:22" ht="12.75" customHeight="1" x14ac:dyDescent="0.2">
      <c r="V982" s="12"/>
    </row>
    <row r="983" spans="22:22" ht="12.75" customHeight="1" x14ac:dyDescent="0.2">
      <c r="V983" s="12"/>
    </row>
    <row r="984" spans="22:22" ht="12.75" customHeight="1" x14ac:dyDescent="0.2">
      <c r="V984" s="12"/>
    </row>
    <row r="985" spans="22:22" ht="12.75" customHeight="1" x14ac:dyDescent="0.2">
      <c r="V985" s="12"/>
    </row>
    <row r="986" spans="22:22" ht="12.75" customHeight="1" x14ac:dyDescent="0.2">
      <c r="V986" s="12"/>
    </row>
    <row r="987" spans="22:22" ht="12.75" customHeight="1" x14ac:dyDescent="0.2">
      <c r="V987" s="12"/>
    </row>
    <row r="988" spans="22:22" ht="12.75" customHeight="1" x14ac:dyDescent="0.2">
      <c r="V988" s="12"/>
    </row>
    <row r="989" spans="22:22" ht="12.75" customHeight="1" x14ac:dyDescent="0.2">
      <c r="V989" s="12"/>
    </row>
    <row r="990" spans="22:22" ht="12.75" customHeight="1" x14ac:dyDescent="0.2">
      <c r="V990" s="12"/>
    </row>
    <row r="991" spans="22:22" ht="12.75" customHeight="1" x14ac:dyDescent="0.2">
      <c r="V991" s="12"/>
    </row>
    <row r="992" spans="22:22" ht="12.75" customHeight="1" x14ac:dyDescent="0.2">
      <c r="V992" s="12"/>
    </row>
    <row r="993" spans="22:22" ht="12.75" customHeight="1" x14ac:dyDescent="0.2">
      <c r="V993" s="12"/>
    </row>
    <row r="994" spans="22:22" ht="12.75" customHeight="1" x14ac:dyDescent="0.2">
      <c r="V994" s="12"/>
    </row>
    <row r="995" spans="22:22" ht="12.75" customHeight="1" x14ac:dyDescent="0.2">
      <c r="V995" s="12"/>
    </row>
    <row r="996" spans="22:22" ht="12.75" customHeight="1" x14ac:dyDescent="0.2">
      <c r="V996" s="12"/>
    </row>
    <row r="997" spans="22:22" ht="12.75" customHeight="1" x14ac:dyDescent="0.2">
      <c r="V997" s="12"/>
    </row>
    <row r="998" spans="22:22" ht="12.75" customHeight="1" x14ac:dyDescent="0.2">
      <c r="V998" s="12"/>
    </row>
    <row r="999" spans="22:22" ht="12.75" customHeight="1" x14ac:dyDescent="0.2">
      <c r="V999" s="12"/>
    </row>
    <row r="1000" spans="22:22" ht="12.75" customHeight="1" x14ac:dyDescent="0.2">
      <c r="V1000" s="12"/>
    </row>
    <row r="1001" spans="22:22" ht="12.75" customHeight="1" x14ac:dyDescent="0.2">
      <c r="V1001" s="12"/>
    </row>
    <row r="1002" spans="22:22" ht="12.75" customHeight="1" x14ac:dyDescent="0.2">
      <c r="V1002" s="12"/>
    </row>
    <row r="1003" spans="22:22" ht="12.75" customHeight="1" x14ac:dyDescent="0.2">
      <c r="V1003" s="12"/>
    </row>
    <row r="1004" spans="22:22" ht="12.75" customHeight="1" x14ac:dyDescent="0.2">
      <c r="V1004" s="12"/>
    </row>
    <row r="1005" spans="22:22" ht="12.75" customHeight="1" x14ac:dyDescent="0.2">
      <c r="V1005" s="12"/>
    </row>
    <row r="1006" spans="22:22" ht="12.75" customHeight="1" x14ac:dyDescent="0.2">
      <c r="V1006" s="12"/>
    </row>
    <row r="1007" spans="22:22" ht="12.75" customHeight="1" x14ac:dyDescent="0.2">
      <c r="V1007" s="12"/>
    </row>
    <row r="1008" spans="22:22" ht="12.75" customHeight="1" x14ac:dyDescent="0.2">
      <c r="V1008" s="12"/>
    </row>
    <row r="1009" spans="22:22" ht="12.75" customHeight="1" x14ac:dyDescent="0.2">
      <c r="V1009" s="12"/>
    </row>
    <row r="1010" spans="22:22" ht="12.75" customHeight="1" x14ac:dyDescent="0.2">
      <c r="V1010" s="12"/>
    </row>
    <row r="1011" spans="22:22" ht="12.75" customHeight="1" x14ac:dyDescent="0.2">
      <c r="V1011" s="12"/>
    </row>
    <row r="1012" spans="22:22" ht="12.75" customHeight="1" x14ac:dyDescent="0.2">
      <c r="V1012" s="12"/>
    </row>
    <row r="1013" spans="22:22" ht="12.75" customHeight="1" x14ac:dyDescent="0.2">
      <c r="V1013" s="12"/>
    </row>
    <row r="1014" spans="22:22" ht="12.75" customHeight="1" x14ac:dyDescent="0.2">
      <c r="V1014" s="12"/>
    </row>
    <row r="1015" spans="22:22" ht="12.75" customHeight="1" x14ac:dyDescent="0.2">
      <c r="V1015" s="12"/>
    </row>
    <row r="1016" spans="22:22" ht="12.75" customHeight="1" x14ac:dyDescent="0.2">
      <c r="V1016" s="12"/>
    </row>
    <row r="1017" spans="22:22" ht="12.75" customHeight="1" x14ac:dyDescent="0.2">
      <c r="V1017" s="12"/>
    </row>
    <row r="1018" spans="22:22" ht="12.75" customHeight="1" x14ac:dyDescent="0.2">
      <c r="V1018" s="12"/>
    </row>
    <row r="1019" spans="22:22" ht="12.75" customHeight="1" x14ac:dyDescent="0.2">
      <c r="V1019" s="12"/>
    </row>
    <row r="1020" spans="22:22" ht="12.75" customHeight="1" x14ac:dyDescent="0.2">
      <c r="V1020" s="12"/>
    </row>
    <row r="1021" spans="22:22" ht="12.75" customHeight="1" x14ac:dyDescent="0.2">
      <c r="V1021" s="12"/>
    </row>
    <row r="1022" spans="22:22" ht="12.75" customHeight="1" x14ac:dyDescent="0.2">
      <c r="V1022" s="12"/>
    </row>
    <row r="1023" spans="22:22" ht="12.75" customHeight="1" x14ac:dyDescent="0.2">
      <c r="V1023" s="12"/>
    </row>
    <row r="1024" spans="22:22" ht="12.75" customHeight="1" x14ac:dyDescent="0.2">
      <c r="V1024" s="12"/>
    </row>
    <row r="1025" spans="22:22" ht="12.75" customHeight="1" x14ac:dyDescent="0.2">
      <c r="V1025" s="12"/>
    </row>
    <row r="1026" spans="22:22" ht="12.75" customHeight="1" x14ac:dyDescent="0.2">
      <c r="V1026" s="12"/>
    </row>
    <row r="1027" spans="22:22" ht="12.75" customHeight="1" x14ac:dyDescent="0.2">
      <c r="V1027" s="12"/>
    </row>
    <row r="1028" spans="22:22" ht="12.75" customHeight="1" x14ac:dyDescent="0.2">
      <c r="V1028" s="12"/>
    </row>
    <row r="1029" spans="22:22" ht="12.75" customHeight="1" x14ac:dyDescent="0.2">
      <c r="V1029" s="12"/>
    </row>
    <row r="1030" spans="22:22" ht="12.75" customHeight="1" x14ac:dyDescent="0.2">
      <c r="V1030" s="12"/>
    </row>
    <row r="1031" spans="22:22" ht="12.75" customHeight="1" x14ac:dyDescent="0.2">
      <c r="V1031" s="12"/>
    </row>
    <row r="1032" spans="22:22" ht="12.75" customHeight="1" x14ac:dyDescent="0.2">
      <c r="V1032" s="12"/>
    </row>
    <row r="1033" spans="22:22" ht="12.75" customHeight="1" x14ac:dyDescent="0.2">
      <c r="V1033" s="12"/>
    </row>
    <row r="1034" spans="22:22" ht="12.75" customHeight="1" x14ac:dyDescent="0.2">
      <c r="V1034" s="12"/>
    </row>
    <row r="1035" spans="22:22" ht="12.75" customHeight="1" x14ac:dyDescent="0.2">
      <c r="V1035" s="12"/>
    </row>
    <row r="1036" spans="22:22" ht="12.75" customHeight="1" x14ac:dyDescent="0.2">
      <c r="V1036" s="12"/>
    </row>
    <row r="1037" spans="22:22" ht="12.75" customHeight="1" x14ac:dyDescent="0.2">
      <c r="V1037" s="12"/>
    </row>
    <row r="1038" spans="22:22" ht="12.75" customHeight="1" x14ac:dyDescent="0.2">
      <c r="V1038" s="12"/>
    </row>
    <row r="1039" spans="22:22" ht="12.75" customHeight="1" x14ac:dyDescent="0.2">
      <c r="V1039" s="12"/>
    </row>
    <row r="1040" spans="22:22" ht="12.75" customHeight="1" x14ac:dyDescent="0.2">
      <c r="V1040" s="12"/>
    </row>
    <row r="1041" spans="22:22" ht="12.75" customHeight="1" x14ac:dyDescent="0.2">
      <c r="V1041" s="12"/>
    </row>
    <row r="1042" spans="22:22" ht="12.75" customHeight="1" x14ac:dyDescent="0.2">
      <c r="V1042" s="12"/>
    </row>
    <row r="1043" spans="22:22" ht="12.75" customHeight="1" x14ac:dyDescent="0.2">
      <c r="V1043" s="12"/>
    </row>
    <row r="1044" spans="22:22" ht="12.75" customHeight="1" x14ac:dyDescent="0.2">
      <c r="V1044" s="12"/>
    </row>
    <row r="1045" spans="22:22" ht="12.75" customHeight="1" x14ac:dyDescent="0.2">
      <c r="V1045" s="12"/>
    </row>
    <row r="1046" spans="22:22" ht="12.75" customHeight="1" x14ac:dyDescent="0.2">
      <c r="V1046" s="12"/>
    </row>
    <row r="1047" spans="22:22" ht="12.75" customHeight="1" x14ac:dyDescent="0.2">
      <c r="V1047" s="12"/>
    </row>
    <row r="1048" spans="22:22" ht="12.75" customHeight="1" x14ac:dyDescent="0.2">
      <c r="V1048" s="12"/>
    </row>
    <row r="1049" spans="22:22" ht="12.75" customHeight="1" x14ac:dyDescent="0.2">
      <c r="V1049" s="12"/>
    </row>
    <row r="1050" spans="22:22" ht="12.75" customHeight="1" x14ac:dyDescent="0.2">
      <c r="V1050" s="12"/>
    </row>
    <row r="1051" spans="22:22" ht="12.75" customHeight="1" x14ac:dyDescent="0.2">
      <c r="V1051" s="12"/>
    </row>
    <row r="1052" spans="22:22" ht="12.75" customHeight="1" x14ac:dyDescent="0.2">
      <c r="V1052" s="12"/>
    </row>
    <row r="1053" spans="22:22" ht="12.75" customHeight="1" x14ac:dyDescent="0.2">
      <c r="V1053" s="12"/>
    </row>
    <row r="1054" spans="22:22" ht="12.75" customHeight="1" x14ac:dyDescent="0.2">
      <c r="V1054" s="12"/>
    </row>
    <row r="1055" spans="22:22" ht="12.75" customHeight="1" x14ac:dyDescent="0.2">
      <c r="V1055" s="12"/>
    </row>
    <row r="1056" spans="22:22" ht="12.75" customHeight="1" x14ac:dyDescent="0.2">
      <c r="V1056" s="12"/>
    </row>
    <row r="1057" spans="22:22" ht="12.75" customHeight="1" x14ac:dyDescent="0.2">
      <c r="V1057" s="12"/>
    </row>
    <row r="1058" spans="22:22" ht="12.75" customHeight="1" x14ac:dyDescent="0.2">
      <c r="V1058" s="12"/>
    </row>
    <row r="1059" spans="22:22" ht="12.75" customHeight="1" x14ac:dyDescent="0.2">
      <c r="V1059" s="12"/>
    </row>
    <row r="1060" spans="22:22" ht="12.75" customHeight="1" x14ac:dyDescent="0.2">
      <c r="V1060" s="12"/>
    </row>
    <row r="1061" spans="22:22" ht="12.75" customHeight="1" x14ac:dyDescent="0.2">
      <c r="V1061" s="12"/>
    </row>
    <row r="1062" spans="22:22" ht="12.75" customHeight="1" x14ac:dyDescent="0.2">
      <c r="V1062" s="12"/>
    </row>
    <row r="1063" spans="22:22" ht="12.75" customHeight="1" x14ac:dyDescent="0.2">
      <c r="V1063" s="12"/>
    </row>
    <row r="1064" spans="22:22" ht="12.75" customHeight="1" x14ac:dyDescent="0.2">
      <c r="V1064" s="12"/>
    </row>
    <row r="1065" spans="22:22" ht="12.75" customHeight="1" x14ac:dyDescent="0.2">
      <c r="V1065" s="12"/>
    </row>
    <row r="1066" spans="22:22" ht="12.75" customHeight="1" x14ac:dyDescent="0.2">
      <c r="V1066" s="12"/>
    </row>
    <row r="1067" spans="22:22" ht="12.75" customHeight="1" x14ac:dyDescent="0.2">
      <c r="V1067" s="12"/>
    </row>
    <row r="1068" spans="22:22" ht="12.75" customHeight="1" x14ac:dyDescent="0.2">
      <c r="V1068" s="12"/>
    </row>
    <row r="1069" spans="22:22" ht="12.75" customHeight="1" x14ac:dyDescent="0.2">
      <c r="V1069" s="12"/>
    </row>
    <row r="1070" spans="22:22" ht="12.75" customHeight="1" x14ac:dyDescent="0.2">
      <c r="V1070" s="12"/>
    </row>
    <row r="1071" spans="22:22" ht="12.75" customHeight="1" x14ac:dyDescent="0.2">
      <c r="V1071" s="12"/>
    </row>
    <row r="1072" spans="22:22" ht="12.75" customHeight="1" x14ac:dyDescent="0.2">
      <c r="V1072" s="12"/>
    </row>
    <row r="1073" spans="22:22" ht="12.75" customHeight="1" x14ac:dyDescent="0.2">
      <c r="V1073" s="12"/>
    </row>
    <row r="1074" spans="22:22" ht="12.75" customHeight="1" x14ac:dyDescent="0.2">
      <c r="V1074" s="12"/>
    </row>
    <row r="1075" spans="22:22" ht="12.75" customHeight="1" x14ac:dyDescent="0.2">
      <c r="V1075" s="12"/>
    </row>
    <row r="1076" spans="22:22" ht="12.75" customHeight="1" x14ac:dyDescent="0.2">
      <c r="V1076" s="12"/>
    </row>
    <row r="1077" spans="22:22" ht="12.75" customHeight="1" x14ac:dyDescent="0.2">
      <c r="V1077" s="12"/>
    </row>
    <row r="1078" spans="22:22" ht="12.75" customHeight="1" x14ac:dyDescent="0.2">
      <c r="V1078" s="12"/>
    </row>
    <row r="1079" spans="22:22" ht="12.75" customHeight="1" x14ac:dyDescent="0.2">
      <c r="V1079" s="12"/>
    </row>
    <row r="1080" spans="22:22" ht="12.75" customHeight="1" x14ac:dyDescent="0.2">
      <c r="V1080" s="12"/>
    </row>
    <row r="1081" spans="22:22" ht="12.75" customHeight="1" x14ac:dyDescent="0.2">
      <c r="V1081" s="12"/>
    </row>
    <row r="1082" spans="22:22" ht="12.75" customHeight="1" x14ac:dyDescent="0.2">
      <c r="V1082" s="12"/>
    </row>
    <row r="1083" spans="22:22" ht="12.75" customHeight="1" x14ac:dyDescent="0.2">
      <c r="V1083" s="12"/>
    </row>
    <row r="1084" spans="22:22" ht="12.75" customHeight="1" x14ac:dyDescent="0.2">
      <c r="V1084" s="12"/>
    </row>
    <row r="1085" spans="22:22" ht="12.75" customHeight="1" x14ac:dyDescent="0.2">
      <c r="V1085" s="12"/>
    </row>
    <row r="1086" spans="22:22" ht="12.75" customHeight="1" x14ac:dyDescent="0.2">
      <c r="V1086" s="12"/>
    </row>
    <row r="1087" spans="22:22" ht="12.75" customHeight="1" x14ac:dyDescent="0.2">
      <c r="V1087" s="12"/>
    </row>
    <row r="1088" spans="22:22" ht="12.75" customHeight="1" x14ac:dyDescent="0.2">
      <c r="V1088" s="12"/>
    </row>
    <row r="1089" spans="22:22" ht="12.75" customHeight="1" x14ac:dyDescent="0.2">
      <c r="V1089" s="12"/>
    </row>
    <row r="1090" spans="22:22" ht="12.75" customHeight="1" x14ac:dyDescent="0.2">
      <c r="V1090" s="12"/>
    </row>
    <row r="1091" spans="22:22" ht="12.75" customHeight="1" x14ac:dyDescent="0.2">
      <c r="V1091" s="12"/>
    </row>
    <row r="1092" spans="22:22" ht="12.75" customHeight="1" x14ac:dyDescent="0.2">
      <c r="V1092" s="12"/>
    </row>
    <row r="1093" spans="22:22" ht="12.75" customHeight="1" x14ac:dyDescent="0.2">
      <c r="V1093" s="12"/>
    </row>
    <row r="1094" spans="22:22" ht="12.75" customHeight="1" x14ac:dyDescent="0.2">
      <c r="V1094" s="12"/>
    </row>
    <row r="1095" spans="22:22" ht="12.75" customHeight="1" x14ac:dyDescent="0.2">
      <c r="V1095" s="12"/>
    </row>
    <row r="1096" spans="22:22" ht="12.75" customHeight="1" x14ac:dyDescent="0.2">
      <c r="V1096" s="12"/>
    </row>
    <row r="1097" spans="22:22" ht="12.75" customHeight="1" x14ac:dyDescent="0.2">
      <c r="V1097" s="12"/>
    </row>
    <row r="1098" spans="22:22" ht="12.75" customHeight="1" x14ac:dyDescent="0.2">
      <c r="V1098" s="12"/>
    </row>
    <row r="1099" spans="22:22" ht="12.75" customHeight="1" x14ac:dyDescent="0.2">
      <c r="V1099" s="12"/>
    </row>
    <row r="1100" spans="22:22" ht="12.75" customHeight="1" x14ac:dyDescent="0.2">
      <c r="V1100" s="12"/>
    </row>
    <row r="1101" spans="22:22" ht="12.75" customHeight="1" x14ac:dyDescent="0.2">
      <c r="V1101" s="12"/>
    </row>
    <row r="1102" spans="22:22" ht="12.75" customHeight="1" x14ac:dyDescent="0.2">
      <c r="V1102" s="12"/>
    </row>
    <row r="1103" spans="22:22" ht="12.75" customHeight="1" x14ac:dyDescent="0.2">
      <c r="V1103" s="12"/>
    </row>
    <row r="1104" spans="22:22" ht="12.75" customHeight="1" x14ac:dyDescent="0.2">
      <c r="V1104" s="12"/>
    </row>
    <row r="1105" spans="22:22" ht="12.75" customHeight="1" x14ac:dyDescent="0.2">
      <c r="V1105" s="12"/>
    </row>
    <row r="1106" spans="22:22" ht="12.75" customHeight="1" x14ac:dyDescent="0.2">
      <c r="V1106" s="12"/>
    </row>
    <row r="1107" spans="22:22" ht="12.75" customHeight="1" x14ac:dyDescent="0.2">
      <c r="V1107" s="12"/>
    </row>
    <row r="1108" spans="22:22" ht="12.75" customHeight="1" x14ac:dyDescent="0.2">
      <c r="V1108" s="12"/>
    </row>
    <row r="1109" spans="22:22" ht="12.75" customHeight="1" x14ac:dyDescent="0.2">
      <c r="V1109" s="12"/>
    </row>
    <row r="1110" spans="22:22" ht="12.75" customHeight="1" x14ac:dyDescent="0.2">
      <c r="V1110" s="12"/>
    </row>
    <row r="1111" spans="22:22" ht="12.75" customHeight="1" x14ac:dyDescent="0.2">
      <c r="V1111" s="12"/>
    </row>
    <row r="1112" spans="22:22" ht="12.75" customHeight="1" x14ac:dyDescent="0.2">
      <c r="V1112" s="12"/>
    </row>
    <row r="1113" spans="22:22" ht="12.75" customHeight="1" x14ac:dyDescent="0.2">
      <c r="V1113" s="12"/>
    </row>
    <row r="1114" spans="22:22" ht="12.75" customHeight="1" x14ac:dyDescent="0.2">
      <c r="V1114" s="12"/>
    </row>
    <row r="1115" spans="22:22" ht="12.75" customHeight="1" x14ac:dyDescent="0.2">
      <c r="V1115" s="12"/>
    </row>
    <row r="1116" spans="22:22" ht="12.75" customHeight="1" x14ac:dyDescent="0.2">
      <c r="V1116" s="12"/>
    </row>
    <row r="1117" spans="22:22" ht="12.75" customHeight="1" x14ac:dyDescent="0.2">
      <c r="V1117" s="12"/>
    </row>
    <row r="1118" spans="22:22" ht="12.75" customHeight="1" x14ac:dyDescent="0.2">
      <c r="V1118" s="12"/>
    </row>
    <row r="1119" spans="22:22" ht="12.75" customHeight="1" x14ac:dyDescent="0.2">
      <c r="V1119" s="12"/>
    </row>
    <row r="1120" spans="22:22" ht="12.75" customHeight="1" x14ac:dyDescent="0.2">
      <c r="V1120" s="12"/>
    </row>
    <row r="1121" spans="22:22" ht="12.75" customHeight="1" x14ac:dyDescent="0.2">
      <c r="V1121" s="12"/>
    </row>
    <row r="1122" spans="22:22" ht="12.75" customHeight="1" x14ac:dyDescent="0.2">
      <c r="V1122" s="12"/>
    </row>
    <row r="1123" spans="22:22" ht="12.75" customHeight="1" x14ac:dyDescent="0.2">
      <c r="V1123" s="12"/>
    </row>
    <row r="1124" spans="22:22" ht="12.75" customHeight="1" x14ac:dyDescent="0.2">
      <c r="V1124" s="12"/>
    </row>
    <row r="1125" spans="22:22" ht="12.75" customHeight="1" x14ac:dyDescent="0.2">
      <c r="V1125" s="12"/>
    </row>
    <row r="1126" spans="22:22" ht="12.75" customHeight="1" x14ac:dyDescent="0.2">
      <c r="V1126" s="12"/>
    </row>
    <row r="1127" spans="22:22" ht="12.75" customHeight="1" x14ac:dyDescent="0.2">
      <c r="V1127" s="12"/>
    </row>
    <row r="1128" spans="22:22" ht="12.75" customHeight="1" x14ac:dyDescent="0.2">
      <c r="V1128" s="12"/>
    </row>
    <row r="1129" spans="22:22" ht="12.75" customHeight="1" x14ac:dyDescent="0.2">
      <c r="V1129" s="12"/>
    </row>
    <row r="1130" spans="22:22" ht="12.75" customHeight="1" x14ac:dyDescent="0.2">
      <c r="V1130" s="12"/>
    </row>
    <row r="1131" spans="22:22" ht="12.75" customHeight="1" x14ac:dyDescent="0.2">
      <c r="V1131" s="12"/>
    </row>
    <row r="1132" spans="22:22" ht="12.75" customHeight="1" x14ac:dyDescent="0.2">
      <c r="V1132" s="12"/>
    </row>
    <row r="1133" spans="22:22" ht="12.75" customHeight="1" x14ac:dyDescent="0.2">
      <c r="V1133" s="12"/>
    </row>
    <row r="1134" spans="22:22" ht="12.75" customHeight="1" x14ac:dyDescent="0.2">
      <c r="V1134" s="12"/>
    </row>
    <row r="1135" spans="22:22" ht="12.75" customHeight="1" x14ac:dyDescent="0.2">
      <c r="V1135" s="12"/>
    </row>
    <row r="1136" spans="22:22" ht="12.75" customHeight="1" x14ac:dyDescent="0.2">
      <c r="V1136" s="12"/>
    </row>
    <row r="1137" spans="22:22" ht="12.75" customHeight="1" x14ac:dyDescent="0.2">
      <c r="V1137" s="12"/>
    </row>
    <row r="1138" spans="22:22" ht="12.75" customHeight="1" x14ac:dyDescent="0.2">
      <c r="V1138" s="12"/>
    </row>
    <row r="1139" spans="22:22" ht="12.75" customHeight="1" x14ac:dyDescent="0.2">
      <c r="V1139" s="12"/>
    </row>
    <row r="1140" spans="22:22" ht="12.75" customHeight="1" x14ac:dyDescent="0.2">
      <c r="V1140" s="12"/>
    </row>
    <row r="1141" spans="22:22" ht="12.75" customHeight="1" x14ac:dyDescent="0.2">
      <c r="V1141" s="12"/>
    </row>
    <row r="1142" spans="22:22" ht="12.75" customHeight="1" x14ac:dyDescent="0.2">
      <c r="V1142" s="12"/>
    </row>
    <row r="1143" spans="22:22" ht="12.75" customHeight="1" x14ac:dyDescent="0.2">
      <c r="V1143" s="12"/>
    </row>
    <row r="1144" spans="22:22" ht="12.75" customHeight="1" x14ac:dyDescent="0.2">
      <c r="V1144" s="12"/>
    </row>
    <row r="1145" spans="22:22" ht="12.75" customHeight="1" x14ac:dyDescent="0.2">
      <c r="V1145" s="12"/>
    </row>
    <row r="1146" spans="22:22" ht="12.75" customHeight="1" x14ac:dyDescent="0.2">
      <c r="V1146" s="12"/>
    </row>
    <row r="1147" spans="22:22" ht="12.75" customHeight="1" x14ac:dyDescent="0.2">
      <c r="V1147" s="12"/>
    </row>
    <row r="1148" spans="22:22" ht="12.75" customHeight="1" x14ac:dyDescent="0.2">
      <c r="V1148" s="12"/>
    </row>
    <row r="1149" spans="22:22" ht="12.75" customHeight="1" x14ac:dyDescent="0.2">
      <c r="V1149" s="12"/>
    </row>
    <row r="1150" spans="22:22" ht="12.75" customHeight="1" x14ac:dyDescent="0.2">
      <c r="V1150" s="12"/>
    </row>
    <row r="1151" spans="22:22" ht="12.75" customHeight="1" x14ac:dyDescent="0.2">
      <c r="V1151" s="12"/>
    </row>
    <row r="1152" spans="22:22" ht="12.75" customHeight="1" x14ac:dyDescent="0.2">
      <c r="V1152" s="12"/>
    </row>
    <row r="1153" spans="22:22" ht="12.75" customHeight="1" x14ac:dyDescent="0.2">
      <c r="V1153" s="12"/>
    </row>
    <row r="1154" spans="22:22" ht="12.75" customHeight="1" x14ac:dyDescent="0.2">
      <c r="V1154" s="12"/>
    </row>
    <row r="1155" spans="22:22" ht="12.75" customHeight="1" x14ac:dyDescent="0.2">
      <c r="V1155" s="12"/>
    </row>
    <row r="1156" spans="22:22" ht="12.75" customHeight="1" x14ac:dyDescent="0.2">
      <c r="V1156" s="12"/>
    </row>
    <row r="1157" spans="22:22" ht="12.75" customHeight="1" x14ac:dyDescent="0.2">
      <c r="V1157" s="12"/>
    </row>
    <row r="1158" spans="22:22" ht="12.75" customHeight="1" x14ac:dyDescent="0.2">
      <c r="V1158" s="12"/>
    </row>
    <row r="1159" spans="22:22" ht="12.75" customHeight="1" x14ac:dyDescent="0.2">
      <c r="V1159" s="12"/>
    </row>
    <row r="1160" spans="22:22" ht="12.75" customHeight="1" x14ac:dyDescent="0.2">
      <c r="V1160" s="12"/>
    </row>
    <row r="1161" spans="22:22" ht="12.75" customHeight="1" x14ac:dyDescent="0.2">
      <c r="V1161" s="12"/>
    </row>
    <row r="1162" spans="22:22" ht="12.75" customHeight="1" x14ac:dyDescent="0.2">
      <c r="V1162" s="12"/>
    </row>
    <row r="1163" spans="22:22" ht="12.75" customHeight="1" x14ac:dyDescent="0.2">
      <c r="V1163" s="12"/>
    </row>
    <row r="1164" spans="22:22" ht="12.75" customHeight="1" x14ac:dyDescent="0.2">
      <c r="V1164" s="12"/>
    </row>
    <row r="1165" spans="22:22" ht="12.75" customHeight="1" x14ac:dyDescent="0.2">
      <c r="V1165" s="12"/>
    </row>
    <row r="1166" spans="22:22" ht="12.75" customHeight="1" x14ac:dyDescent="0.2">
      <c r="V1166" s="12"/>
    </row>
    <row r="1167" spans="22:22" ht="12.75" customHeight="1" x14ac:dyDescent="0.2">
      <c r="V1167" s="12"/>
    </row>
    <row r="1168" spans="22:22" ht="12.75" customHeight="1" x14ac:dyDescent="0.2">
      <c r="V1168" s="12"/>
    </row>
    <row r="1169" spans="22:22" ht="12.75" customHeight="1" x14ac:dyDescent="0.2">
      <c r="V1169" s="12"/>
    </row>
    <row r="1170" spans="22:22" ht="12.75" customHeight="1" x14ac:dyDescent="0.2">
      <c r="V1170" s="12"/>
    </row>
    <row r="1171" spans="22:22" ht="12.75" customHeight="1" x14ac:dyDescent="0.2">
      <c r="V1171" s="12"/>
    </row>
  </sheetData>
  <mergeCells count="29">
    <mergeCell ref="A118:G118"/>
    <mergeCell ref="A141:G141"/>
    <mergeCell ref="A147:AI147"/>
    <mergeCell ref="A145:AI145"/>
    <mergeCell ref="A146:AI146"/>
    <mergeCell ref="A138:G138"/>
    <mergeCell ref="A144:AI144"/>
    <mergeCell ref="A143:AI143"/>
    <mergeCell ref="C13:G13"/>
    <mergeCell ref="E15:G15"/>
    <mergeCell ref="E16:G16"/>
    <mergeCell ref="E86:G86"/>
    <mergeCell ref="A115:G115"/>
    <mergeCell ref="E17:G17"/>
    <mergeCell ref="A149:AI149"/>
    <mergeCell ref="A133:G133"/>
    <mergeCell ref="E10:G10"/>
    <mergeCell ref="H3:U3"/>
    <mergeCell ref="V3:AI3"/>
    <mergeCell ref="E8:G8"/>
    <mergeCell ref="C81:F81"/>
    <mergeCell ref="E58:F58"/>
    <mergeCell ref="E19:G19"/>
    <mergeCell ref="E20:G20"/>
    <mergeCell ref="E45:F45"/>
    <mergeCell ref="C53:G53"/>
    <mergeCell ref="C27:G27"/>
    <mergeCell ref="C24:G24"/>
    <mergeCell ref="E42:G42"/>
  </mergeCells>
  <pageMargins left="0.7" right="0.7" top="0.75" bottom="0.75" header="0.3" footer="0.3"/>
  <pageSetup paperSize="9" scale="45" orientation="portrait" verticalDpi="0" r:id="rId1"/>
  <rowBreaks count="1" manualBreakCount="1">
    <brk id="150" max="44" man="1"/>
  </rowBreaks>
  <colBreaks count="1" manualBreakCount="1">
    <brk id="4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289"/>
  <sheetViews>
    <sheetView view="pageBreakPreview" topLeftCell="A28" zoomScaleNormal="100" zoomScaleSheetLayoutView="100" workbookViewId="0">
      <selection activeCell="BN72" sqref="BN72"/>
    </sheetView>
  </sheetViews>
  <sheetFormatPr defaultRowHeight="12.75" x14ac:dyDescent="0.2"/>
  <cols>
    <col min="1" max="1" width="2.85546875" style="7" customWidth="1"/>
    <col min="2" max="2" width="3.28515625" style="7" customWidth="1"/>
    <col min="3" max="3" width="50.7109375" style="7" customWidth="1"/>
    <col min="4" max="4" width="8.7109375" style="7" customWidth="1"/>
    <col min="5" max="8" width="13.5703125" style="7" customWidth="1"/>
    <col min="9" max="9" width="16.85546875" style="7" customWidth="1"/>
    <col min="10" max="14" width="13.5703125" style="7" hidden="1" customWidth="1"/>
    <col min="15" max="15" width="12.7109375" style="7" hidden="1" customWidth="1"/>
    <col min="16" max="17" width="11.28515625" style="7" hidden="1" customWidth="1"/>
    <col min="18" max="18" width="12.7109375" style="7" hidden="1" customWidth="1"/>
    <col min="19" max="19" width="13.140625" style="7" hidden="1" customWidth="1"/>
    <col min="20" max="22" width="11.28515625" style="7" hidden="1" customWidth="1"/>
    <col min="23" max="24" width="12.7109375" style="7" hidden="1" customWidth="1"/>
    <col min="25" max="27" width="11.28515625" style="7" hidden="1" customWidth="1"/>
    <col min="28" max="28" width="12.7109375" style="7" hidden="1" customWidth="1"/>
    <col min="29" max="29" width="12.5703125" style="7" hidden="1" customWidth="1"/>
    <col min="30" max="30" width="12.28515625" style="7" hidden="1" customWidth="1"/>
    <col min="31" max="31" width="12.7109375" style="7" hidden="1" customWidth="1"/>
    <col min="32" max="32" width="11.28515625" style="7" hidden="1" customWidth="1"/>
    <col min="33" max="33" width="12.7109375" style="7" hidden="1" customWidth="1"/>
    <col min="34" max="64" width="15.42578125" style="7" hidden="1" customWidth="1"/>
    <col min="65" max="70" width="15.42578125" style="7" customWidth="1"/>
    <col min="71" max="71" width="13.140625" style="7" customWidth="1"/>
    <col min="72" max="72" width="11.28515625" style="7" customWidth="1"/>
    <col min="73" max="73" width="12.7109375" style="7" customWidth="1"/>
    <col min="74" max="74" width="14.7109375" style="7" customWidth="1"/>
    <col min="75" max="75" width="3.28515625" style="7" customWidth="1"/>
    <col min="76" max="76" width="7.85546875" style="7" hidden="1" customWidth="1"/>
    <col min="77" max="77" width="18.5703125" style="157" hidden="1" customWidth="1"/>
    <col min="78" max="78" width="14.85546875" style="333" hidden="1" customWidth="1"/>
    <col min="79" max="79" width="13.7109375" style="7" hidden="1" customWidth="1"/>
    <col min="80" max="80" width="15.140625" style="7" hidden="1" customWidth="1"/>
    <col min="81" max="16384" width="9.140625" style="7"/>
  </cols>
  <sheetData>
    <row r="1" spans="1:80" ht="15.75" x14ac:dyDescent="0.25">
      <c r="A1" s="1" t="s">
        <v>178</v>
      </c>
      <c r="B1" s="4"/>
      <c r="C1" s="39"/>
      <c r="D1" s="2"/>
      <c r="E1" s="257"/>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row>
    <row r="2" spans="1:80" ht="15" x14ac:dyDescent="0.25">
      <c r="A2" s="433"/>
      <c r="B2" s="2"/>
      <c r="D2" s="387"/>
      <c r="E2" s="775" t="s">
        <v>0</v>
      </c>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7"/>
      <c r="BW2" s="252"/>
      <c r="BY2" s="157">
        <v>1000</v>
      </c>
      <c r="BZ2" s="152"/>
    </row>
    <row r="3" spans="1:80" ht="15" x14ac:dyDescent="0.25">
      <c r="A3" s="5"/>
      <c r="B3" s="2"/>
      <c r="C3" s="7" t="s">
        <v>179</v>
      </c>
      <c r="D3" s="327"/>
      <c r="E3" s="778" t="s">
        <v>180</v>
      </c>
      <c r="F3" s="779"/>
      <c r="G3" s="779"/>
      <c r="H3" s="779"/>
      <c r="I3" s="780"/>
      <c r="J3" s="778" t="s">
        <v>3</v>
      </c>
      <c r="K3" s="779"/>
      <c r="L3" s="779"/>
      <c r="M3" s="779"/>
      <c r="N3" s="780"/>
      <c r="O3" s="781" t="s">
        <v>4</v>
      </c>
      <c r="P3" s="779"/>
      <c r="Q3" s="779"/>
      <c r="R3" s="779"/>
      <c r="S3" s="780"/>
      <c r="T3" s="778" t="s">
        <v>5</v>
      </c>
      <c r="U3" s="779"/>
      <c r="V3" s="779"/>
      <c r="W3" s="779"/>
      <c r="X3" s="780"/>
      <c r="Y3" s="778" t="s">
        <v>6</v>
      </c>
      <c r="Z3" s="779"/>
      <c r="AA3" s="779"/>
      <c r="AB3" s="779"/>
      <c r="AC3" s="780"/>
      <c r="AD3" s="778" t="s">
        <v>7</v>
      </c>
      <c r="AE3" s="779"/>
      <c r="AF3" s="779"/>
      <c r="AG3" s="779"/>
      <c r="AH3" s="780"/>
      <c r="AI3" s="778" t="s">
        <v>8</v>
      </c>
      <c r="AJ3" s="779"/>
      <c r="AK3" s="779"/>
      <c r="AL3" s="779"/>
      <c r="AM3" s="780"/>
      <c r="AN3" s="778" t="s">
        <v>9</v>
      </c>
      <c r="AO3" s="779"/>
      <c r="AP3" s="779"/>
      <c r="AQ3" s="779"/>
      <c r="AR3" s="780"/>
      <c r="AS3" s="778" t="s">
        <v>10</v>
      </c>
      <c r="AT3" s="779"/>
      <c r="AU3" s="779"/>
      <c r="AV3" s="779"/>
      <c r="AW3" s="780"/>
      <c r="AX3" s="778" t="s">
        <v>11</v>
      </c>
      <c r="AY3" s="779"/>
      <c r="AZ3" s="779"/>
      <c r="BA3" s="779"/>
      <c r="BB3" s="780"/>
      <c r="BC3" s="778" t="s">
        <v>12</v>
      </c>
      <c r="BD3" s="779"/>
      <c r="BE3" s="779"/>
      <c r="BF3" s="779"/>
      <c r="BG3" s="780"/>
      <c r="BH3" s="778" t="s">
        <v>13</v>
      </c>
      <c r="BI3" s="779"/>
      <c r="BJ3" s="779"/>
      <c r="BK3" s="779"/>
      <c r="BL3" s="780"/>
      <c r="BM3" s="778" t="s">
        <v>14</v>
      </c>
      <c r="BN3" s="779"/>
      <c r="BO3" s="779"/>
      <c r="BP3" s="779"/>
      <c r="BQ3" s="780"/>
      <c r="BR3" s="778" t="s">
        <v>15</v>
      </c>
      <c r="BS3" s="779"/>
      <c r="BT3" s="779"/>
      <c r="BU3" s="779"/>
      <c r="BV3" s="782"/>
      <c r="BW3" s="6"/>
      <c r="BX3" s="6"/>
    </row>
    <row r="4" spans="1:80" x14ac:dyDescent="0.2">
      <c r="A4" s="5"/>
      <c r="B4" s="2"/>
      <c r="D4" s="327"/>
      <c r="E4" s="144" t="s">
        <v>181</v>
      </c>
      <c r="F4" s="16" t="s">
        <v>182</v>
      </c>
      <c r="G4" s="16" t="s">
        <v>183</v>
      </c>
      <c r="H4" s="16" t="s">
        <v>184</v>
      </c>
      <c r="I4" s="319" t="s">
        <v>185</v>
      </c>
      <c r="J4" s="144" t="s">
        <v>181</v>
      </c>
      <c r="K4" s="16" t="s">
        <v>182</v>
      </c>
      <c r="L4" s="16" t="s">
        <v>183</v>
      </c>
      <c r="M4" s="16" t="s">
        <v>184</v>
      </c>
      <c r="N4" s="421" t="s">
        <v>185</v>
      </c>
      <c r="O4" s="16" t="s">
        <v>181</v>
      </c>
      <c r="P4" s="16" t="s">
        <v>182</v>
      </c>
      <c r="Q4" s="16" t="s">
        <v>183</v>
      </c>
      <c r="R4" s="16" t="s">
        <v>184</v>
      </c>
      <c r="S4" s="421" t="s">
        <v>185</v>
      </c>
      <c r="T4" s="144" t="s">
        <v>181</v>
      </c>
      <c r="U4" s="16" t="s">
        <v>182</v>
      </c>
      <c r="V4" s="16" t="s">
        <v>183</v>
      </c>
      <c r="W4" s="16" t="s">
        <v>184</v>
      </c>
      <c r="X4" s="421" t="s">
        <v>185</v>
      </c>
      <c r="Y4" s="144" t="s">
        <v>181</v>
      </c>
      <c r="Z4" s="16" t="s">
        <v>182</v>
      </c>
      <c r="AA4" s="16" t="s">
        <v>183</v>
      </c>
      <c r="AB4" s="16" t="s">
        <v>184</v>
      </c>
      <c r="AC4" s="421" t="s">
        <v>185</v>
      </c>
      <c r="AD4" s="144" t="s">
        <v>181</v>
      </c>
      <c r="AE4" s="16" t="s">
        <v>182</v>
      </c>
      <c r="AF4" s="16" t="s">
        <v>183</v>
      </c>
      <c r="AG4" s="16" t="s">
        <v>184</v>
      </c>
      <c r="AH4" s="421" t="s">
        <v>185</v>
      </c>
      <c r="AI4" s="144" t="s">
        <v>181</v>
      </c>
      <c r="AJ4" s="16" t="s">
        <v>182</v>
      </c>
      <c r="AK4" s="16" t="s">
        <v>183</v>
      </c>
      <c r="AL4" s="16" t="s">
        <v>184</v>
      </c>
      <c r="AM4" s="421" t="s">
        <v>185</v>
      </c>
      <c r="AN4" s="144" t="s">
        <v>181</v>
      </c>
      <c r="AO4" s="16" t="s">
        <v>182</v>
      </c>
      <c r="AP4" s="16" t="s">
        <v>183</v>
      </c>
      <c r="AQ4" s="16" t="s">
        <v>184</v>
      </c>
      <c r="AR4" s="421" t="s">
        <v>185</v>
      </c>
      <c r="AS4" s="144" t="s">
        <v>181</v>
      </c>
      <c r="AT4" s="16" t="s">
        <v>182</v>
      </c>
      <c r="AU4" s="16" t="s">
        <v>183</v>
      </c>
      <c r="AV4" s="16" t="s">
        <v>184</v>
      </c>
      <c r="AW4" s="421" t="s">
        <v>185</v>
      </c>
      <c r="AX4" s="144" t="s">
        <v>181</v>
      </c>
      <c r="AY4" s="16" t="s">
        <v>182</v>
      </c>
      <c r="AZ4" s="16" t="s">
        <v>183</v>
      </c>
      <c r="BA4" s="16" t="s">
        <v>184</v>
      </c>
      <c r="BB4" s="421" t="s">
        <v>185</v>
      </c>
      <c r="BC4" s="144" t="s">
        <v>181</v>
      </c>
      <c r="BD4" s="16" t="s">
        <v>182</v>
      </c>
      <c r="BE4" s="16" t="s">
        <v>183</v>
      </c>
      <c r="BF4" s="16" t="s">
        <v>184</v>
      </c>
      <c r="BG4" s="421" t="s">
        <v>185</v>
      </c>
      <c r="BH4" s="144" t="s">
        <v>181</v>
      </c>
      <c r="BI4" s="16" t="s">
        <v>182</v>
      </c>
      <c r="BJ4" s="16" t="s">
        <v>183</v>
      </c>
      <c r="BK4" s="16" t="s">
        <v>186</v>
      </c>
      <c r="BL4" s="421" t="s">
        <v>185</v>
      </c>
      <c r="BM4" s="144" t="s">
        <v>181</v>
      </c>
      <c r="BN4" s="16" t="s">
        <v>182</v>
      </c>
      <c r="BO4" s="16" t="s">
        <v>183</v>
      </c>
      <c r="BP4" s="16" t="s">
        <v>184</v>
      </c>
      <c r="BQ4" s="421" t="s">
        <v>185</v>
      </c>
      <c r="BR4" s="144" t="s">
        <v>181</v>
      </c>
      <c r="BS4" s="16" t="s">
        <v>182</v>
      </c>
      <c r="BT4" s="16" t="s">
        <v>183</v>
      </c>
      <c r="BU4" s="16" t="s">
        <v>184</v>
      </c>
      <c r="BV4" s="217" t="s">
        <v>185</v>
      </c>
      <c r="BW4" s="252"/>
      <c r="BX4" s="6"/>
    </row>
    <row r="5" spans="1:80" x14ac:dyDescent="0.2">
      <c r="A5" s="373" t="s">
        <v>17</v>
      </c>
      <c r="B5" s="8"/>
      <c r="C5" s="8"/>
      <c r="D5" s="474"/>
      <c r="E5" s="272" t="s">
        <v>187</v>
      </c>
      <c r="F5" s="10" t="s">
        <v>188</v>
      </c>
      <c r="G5" s="10" t="s">
        <v>189</v>
      </c>
      <c r="H5" s="10" t="s">
        <v>190</v>
      </c>
      <c r="I5" s="11"/>
      <c r="J5" s="272" t="s">
        <v>187</v>
      </c>
      <c r="K5" s="10" t="s">
        <v>188</v>
      </c>
      <c r="L5" s="10" t="s">
        <v>189</v>
      </c>
      <c r="M5" s="10" t="s">
        <v>190</v>
      </c>
      <c r="N5" s="11"/>
      <c r="O5" s="10" t="s">
        <v>187</v>
      </c>
      <c r="P5" s="10" t="s">
        <v>188</v>
      </c>
      <c r="Q5" s="10" t="s">
        <v>189</v>
      </c>
      <c r="R5" s="10" t="s">
        <v>190</v>
      </c>
      <c r="S5" s="11"/>
      <c r="T5" s="272" t="s">
        <v>187</v>
      </c>
      <c r="U5" s="10" t="s">
        <v>188</v>
      </c>
      <c r="V5" s="10" t="s">
        <v>189</v>
      </c>
      <c r="W5" s="10" t="s">
        <v>190</v>
      </c>
      <c r="X5" s="11"/>
      <c r="Y5" s="272" t="s">
        <v>187</v>
      </c>
      <c r="Z5" s="10" t="s">
        <v>188</v>
      </c>
      <c r="AA5" s="10" t="s">
        <v>189</v>
      </c>
      <c r="AB5" s="10" t="s">
        <v>190</v>
      </c>
      <c r="AC5" s="11"/>
      <c r="AD5" s="272" t="s">
        <v>187</v>
      </c>
      <c r="AE5" s="10" t="s">
        <v>188</v>
      </c>
      <c r="AF5" s="10" t="s">
        <v>189</v>
      </c>
      <c r="AG5" s="10" t="s">
        <v>190</v>
      </c>
      <c r="AH5" s="11"/>
      <c r="AI5" s="272" t="s">
        <v>187</v>
      </c>
      <c r="AJ5" s="10" t="s">
        <v>188</v>
      </c>
      <c r="AK5" s="10" t="s">
        <v>189</v>
      </c>
      <c r="AL5" s="10" t="s">
        <v>190</v>
      </c>
      <c r="AM5" s="11"/>
      <c r="AN5" s="272" t="s">
        <v>187</v>
      </c>
      <c r="AO5" s="10" t="s">
        <v>188</v>
      </c>
      <c r="AP5" s="10" t="s">
        <v>189</v>
      </c>
      <c r="AQ5" s="10" t="s">
        <v>190</v>
      </c>
      <c r="AR5" s="11"/>
      <c r="AS5" s="272" t="s">
        <v>187</v>
      </c>
      <c r="AT5" s="10" t="s">
        <v>188</v>
      </c>
      <c r="AU5" s="10" t="s">
        <v>189</v>
      </c>
      <c r="AV5" s="10" t="s">
        <v>190</v>
      </c>
      <c r="AW5" s="11"/>
      <c r="AX5" s="272" t="s">
        <v>187</v>
      </c>
      <c r="AY5" s="10" t="s">
        <v>188</v>
      </c>
      <c r="AZ5" s="10" t="s">
        <v>189</v>
      </c>
      <c r="BA5" s="10" t="s">
        <v>190</v>
      </c>
      <c r="BB5" s="11"/>
      <c r="BC5" s="272" t="s">
        <v>187</v>
      </c>
      <c r="BD5" s="10" t="s">
        <v>188</v>
      </c>
      <c r="BE5" s="10" t="s">
        <v>189</v>
      </c>
      <c r="BF5" s="10" t="s">
        <v>190</v>
      </c>
      <c r="BG5" s="11"/>
      <c r="BH5" s="272" t="s">
        <v>187</v>
      </c>
      <c r="BI5" s="10" t="s">
        <v>188</v>
      </c>
      <c r="BJ5" s="10" t="s">
        <v>189</v>
      </c>
      <c r="BK5" s="10" t="s">
        <v>190</v>
      </c>
      <c r="BL5" s="11"/>
      <c r="BM5" s="272" t="s">
        <v>187</v>
      </c>
      <c r="BN5" s="10" t="s">
        <v>188</v>
      </c>
      <c r="BO5" s="10" t="s">
        <v>189</v>
      </c>
      <c r="BP5" s="10" t="s">
        <v>190</v>
      </c>
      <c r="BQ5" s="11"/>
      <c r="BR5" s="272" t="s">
        <v>187</v>
      </c>
      <c r="BS5" s="10" t="s">
        <v>188</v>
      </c>
      <c r="BT5" s="10" t="s">
        <v>189</v>
      </c>
      <c r="BU5" s="10" t="s">
        <v>190</v>
      </c>
      <c r="BV5" s="272"/>
      <c r="BW5" s="252"/>
      <c r="BX5" s="171">
        <v>100</v>
      </c>
      <c r="BY5" s="157" t="s">
        <v>191</v>
      </c>
      <c r="BZ5" s="333" t="s">
        <v>192</v>
      </c>
    </row>
    <row r="6" spans="1:80" x14ac:dyDescent="0.2">
      <c r="A6" s="118"/>
      <c r="B6" s="2"/>
      <c r="D6" s="16"/>
      <c r="E6" s="89"/>
      <c r="F6" s="16"/>
      <c r="G6" s="16"/>
      <c r="H6" s="16"/>
      <c r="I6" s="289"/>
      <c r="J6" s="144"/>
      <c r="K6" s="16"/>
      <c r="L6" s="16"/>
      <c r="M6" s="16"/>
      <c r="N6" s="289"/>
      <c r="O6" s="16"/>
      <c r="P6" s="16"/>
      <c r="Q6" s="16"/>
      <c r="R6" s="16"/>
      <c r="S6" s="289"/>
      <c r="T6" s="144"/>
      <c r="U6" s="16"/>
      <c r="V6" s="16"/>
      <c r="W6" s="16"/>
      <c r="X6" s="289"/>
      <c r="Y6" s="144"/>
      <c r="Z6" s="16"/>
      <c r="AA6" s="16"/>
      <c r="AB6" s="16"/>
      <c r="AC6" s="289"/>
      <c r="AD6" s="144"/>
      <c r="AE6" s="16"/>
      <c r="AF6" s="16"/>
      <c r="AG6" s="16"/>
      <c r="AH6" s="289"/>
      <c r="AI6" s="144"/>
      <c r="AJ6" s="16"/>
      <c r="AK6" s="16"/>
      <c r="AL6" s="16"/>
      <c r="AM6" s="289"/>
      <c r="AN6" s="144"/>
      <c r="AO6" s="16"/>
      <c r="AP6" s="16"/>
      <c r="AQ6" s="16"/>
      <c r="AR6" s="289"/>
      <c r="AS6" s="144"/>
      <c r="AT6" s="16"/>
      <c r="AU6" s="16"/>
      <c r="AV6" s="16"/>
      <c r="AW6" s="289"/>
      <c r="AX6" s="144"/>
      <c r="AY6" s="16"/>
      <c r="AZ6" s="16"/>
      <c r="BA6" s="16"/>
      <c r="BB6" s="289"/>
      <c r="BC6" s="144"/>
      <c r="BD6" s="16"/>
      <c r="BE6" s="16"/>
      <c r="BF6" s="16"/>
      <c r="BG6" s="289"/>
      <c r="BH6" s="144"/>
      <c r="BI6" s="16"/>
      <c r="BJ6" s="16"/>
      <c r="BK6" s="16"/>
      <c r="BL6" s="289"/>
      <c r="BM6" s="144"/>
      <c r="BN6" s="16"/>
      <c r="BO6" s="16"/>
      <c r="BP6" s="16"/>
      <c r="BQ6" s="289"/>
      <c r="BR6" s="144"/>
      <c r="BS6" s="16"/>
      <c r="BT6" s="16"/>
      <c r="BU6" s="16"/>
      <c r="BV6" s="144"/>
      <c r="BW6" s="252"/>
      <c r="BX6" s="6"/>
    </row>
    <row r="7" spans="1:80" ht="13.5" customHeight="1" x14ac:dyDescent="0.25">
      <c r="A7" s="395">
        <v>1</v>
      </c>
      <c r="B7" s="185" t="s">
        <v>193</v>
      </c>
      <c r="D7" s="342"/>
      <c r="E7" s="325">
        <v>558651</v>
      </c>
      <c r="F7" s="33">
        <v>692</v>
      </c>
      <c r="G7" s="33">
        <v>13577</v>
      </c>
      <c r="H7" s="33">
        <v>0</v>
      </c>
      <c r="I7" s="284">
        <v>572920</v>
      </c>
      <c r="J7" s="113">
        <v>28919</v>
      </c>
      <c r="K7" s="15">
        <v>0</v>
      </c>
      <c r="L7" s="15">
        <v>956</v>
      </c>
      <c r="M7" s="15">
        <v>0</v>
      </c>
      <c r="N7" s="284">
        <v>29875</v>
      </c>
      <c r="O7" s="15">
        <v>29267</v>
      </c>
      <c r="P7" s="15">
        <v>0</v>
      </c>
      <c r="Q7" s="15">
        <v>1524</v>
      </c>
      <c r="R7" s="15">
        <v>0</v>
      </c>
      <c r="S7" s="284">
        <v>30791</v>
      </c>
      <c r="T7" s="113">
        <v>31665</v>
      </c>
      <c r="U7" s="15">
        <v>22</v>
      </c>
      <c r="V7" s="15">
        <v>1020</v>
      </c>
      <c r="W7" s="15">
        <v>0</v>
      </c>
      <c r="X7" s="284">
        <v>32707</v>
      </c>
      <c r="Y7" s="113">
        <v>41265</v>
      </c>
      <c r="Z7" s="15">
        <v>10</v>
      </c>
      <c r="AA7" s="15">
        <v>1229</v>
      </c>
      <c r="AB7" s="15">
        <v>0</v>
      </c>
      <c r="AC7" s="284">
        <v>42504</v>
      </c>
      <c r="AD7" s="113">
        <v>58277</v>
      </c>
      <c r="AE7" s="15">
        <v>320</v>
      </c>
      <c r="AF7" s="15">
        <v>1572</v>
      </c>
      <c r="AG7" s="15">
        <v>0</v>
      </c>
      <c r="AH7" s="284">
        <v>60169</v>
      </c>
      <c r="AI7" s="113">
        <v>33417</v>
      </c>
      <c r="AJ7" s="15">
        <v>137</v>
      </c>
      <c r="AK7" s="15">
        <v>1192</v>
      </c>
      <c r="AL7" s="15">
        <v>0</v>
      </c>
      <c r="AM7" s="284">
        <v>34746</v>
      </c>
      <c r="AN7" s="113">
        <v>31289</v>
      </c>
      <c r="AO7" s="15">
        <v>437</v>
      </c>
      <c r="AP7" s="15">
        <v>1460</v>
      </c>
      <c r="AQ7" s="15">
        <v>0</v>
      </c>
      <c r="AR7" s="284">
        <v>33186</v>
      </c>
      <c r="AS7" s="113">
        <v>31876</v>
      </c>
      <c r="AT7" s="15">
        <v>65</v>
      </c>
      <c r="AU7" s="15">
        <v>1223</v>
      </c>
      <c r="AV7" s="15">
        <v>0</v>
      </c>
      <c r="AW7" s="284">
        <v>33164</v>
      </c>
      <c r="AX7" s="113">
        <v>30576</v>
      </c>
      <c r="AY7" s="15">
        <v>163</v>
      </c>
      <c r="AZ7" s="15">
        <v>3548</v>
      </c>
      <c r="BA7" s="15">
        <v>0</v>
      </c>
      <c r="BB7" s="284">
        <v>34287</v>
      </c>
      <c r="BC7" s="113">
        <v>32285</v>
      </c>
      <c r="BD7" s="15">
        <v>2114</v>
      </c>
      <c r="BE7" s="15">
        <v>2749</v>
      </c>
      <c r="BF7" s="15">
        <v>0</v>
      </c>
      <c r="BG7" s="284">
        <v>37148</v>
      </c>
      <c r="BH7" s="113">
        <v>39424</v>
      </c>
      <c r="BI7" s="15">
        <v>68</v>
      </c>
      <c r="BJ7" s="15">
        <v>1149</v>
      </c>
      <c r="BK7" s="15">
        <v>0</v>
      </c>
      <c r="BL7" s="284">
        <v>40641</v>
      </c>
      <c r="BM7" s="113">
        <v>106129</v>
      </c>
      <c r="BN7" s="15">
        <v>214</v>
      </c>
      <c r="BO7" s="15">
        <v>2264</v>
      </c>
      <c r="BP7" s="15">
        <v>0</v>
      </c>
      <c r="BQ7" s="284">
        <v>108607</v>
      </c>
      <c r="BR7" s="113">
        <v>494389</v>
      </c>
      <c r="BS7" s="33">
        <v>3550</v>
      </c>
      <c r="BT7" s="15">
        <v>19886</v>
      </c>
      <c r="BU7" s="15">
        <v>0</v>
      </c>
      <c r="BV7" s="113">
        <v>517825</v>
      </c>
      <c r="BW7" s="444"/>
      <c r="BX7" s="238">
        <v>90.383474132514138</v>
      </c>
      <c r="BY7" s="157">
        <v>517825</v>
      </c>
      <c r="BZ7" s="333">
        <v>0</v>
      </c>
      <c r="CA7" s="377"/>
      <c r="CB7" s="12"/>
    </row>
    <row r="8" spans="1:80" ht="13.5" x14ac:dyDescent="0.25">
      <c r="A8" s="395">
        <v>2</v>
      </c>
      <c r="B8" s="185" t="s">
        <v>194</v>
      </c>
      <c r="D8" s="140" t="s">
        <v>73</v>
      </c>
      <c r="E8" s="325">
        <v>1547843</v>
      </c>
      <c r="F8" s="33">
        <v>454186</v>
      </c>
      <c r="G8" s="33">
        <v>13816</v>
      </c>
      <c r="H8" s="33">
        <v>0</v>
      </c>
      <c r="I8" s="284">
        <v>2015845</v>
      </c>
      <c r="J8" s="113">
        <v>140445</v>
      </c>
      <c r="K8" s="15">
        <v>120322</v>
      </c>
      <c r="L8" s="15">
        <v>1150</v>
      </c>
      <c r="M8" s="15">
        <v>0</v>
      </c>
      <c r="N8" s="284">
        <v>261917</v>
      </c>
      <c r="O8" s="15">
        <v>140443</v>
      </c>
      <c r="P8" s="15">
        <v>0</v>
      </c>
      <c r="Q8" s="15">
        <v>1152</v>
      </c>
      <c r="R8" s="15">
        <v>0</v>
      </c>
      <c r="S8" s="284">
        <v>141595</v>
      </c>
      <c r="T8" s="113">
        <v>140444</v>
      </c>
      <c r="U8" s="15">
        <v>0</v>
      </c>
      <c r="V8" s="15">
        <v>1151</v>
      </c>
      <c r="W8" s="15">
        <v>0</v>
      </c>
      <c r="X8" s="284">
        <v>141595</v>
      </c>
      <c r="Y8" s="113">
        <v>140444</v>
      </c>
      <c r="Z8" s="15">
        <v>120322</v>
      </c>
      <c r="AA8" s="15">
        <v>1151</v>
      </c>
      <c r="AB8" s="15">
        <v>0</v>
      </c>
      <c r="AC8" s="284">
        <v>261917</v>
      </c>
      <c r="AD8" s="113">
        <v>140444</v>
      </c>
      <c r="AE8" s="15">
        <v>0</v>
      </c>
      <c r="AF8" s="15">
        <v>1151</v>
      </c>
      <c r="AG8" s="15">
        <v>0</v>
      </c>
      <c r="AH8" s="284">
        <v>141595</v>
      </c>
      <c r="AI8" s="113">
        <v>140444</v>
      </c>
      <c r="AJ8" s="15">
        <v>0</v>
      </c>
      <c r="AK8" s="15">
        <v>1151</v>
      </c>
      <c r="AL8" s="15">
        <v>0</v>
      </c>
      <c r="AM8" s="284">
        <v>141595</v>
      </c>
      <c r="AN8" s="113">
        <v>127144</v>
      </c>
      <c r="AO8" s="15">
        <v>120322</v>
      </c>
      <c r="AP8" s="15">
        <v>1151</v>
      </c>
      <c r="AQ8" s="15">
        <v>0</v>
      </c>
      <c r="AR8" s="284">
        <v>248617</v>
      </c>
      <c r="AS8" s="113">
        <v>127144</v>
      </c>
      <c r="AT8" s="15">
        <v>0</v>
      </c>
      <c r="AU8" s="15">
        <v>1151</v>
      </c>
      <c r="AV8" s="15">
        <v>0</v>
      </c>
      <c r="AW8" s="284">
        <v>128295</v>
      </c>
      <c r="AX8" s="113">
        <v>127144</v>
      </c>
      <c r="AY8" s="15">
        <v>0</v>
      </c>
      <c r="AZ8" s="15">
        <v>1151</v>
      </c>
      <c r="BA8" s="15">
        <v>0</v>
      </c>
      <c r="BB8" s="284">
        <v>128295</v>
      </c>
      <c r="BC8" s="113">
        <v>107035</v>
      </c>
      <c r="BD8" s="15">
        <v>93220</v>
      </c>
      <c r="BE8" s="15">
        <v>1150</v>
      </c>
      <c r="BF8" s="15">
        <v>0</v>
      </c>
      <c r="BG8" s="284">
        <v>201405</v>
      </c>
      <c r="BH8" s="113">
        <v>107035</v>
      </c>
      <c r="BI8" s="15">
        <v>0</v>
      </c>
      <c r="BJ8" s="15">
        <v>1151</v>
      </c>
      <c r="BK8" s="15">
        <v>0</v>
      </c>
      <c r="BL8" s="284">
        <v>108186</v>
      </c>
      <c r="BM8" s="113">
        <v>109675</v>
      </c>
      <c r="BN8" s="15">
        <v>0</v>
      </c>
      <c r="BO8" s="15">
        <v>1156</v>
      </c>
      <c r="BP8" s="15">
        <v>0</v>
      </c>
      <c r="BQ8" s="284">
        <v>110831</v>
      </c>
      <c r="BR8" s="113">
        <v>1547841</v>
      </c>
      <c r="BS8" s="33">
        <v>454186</v>
      </c>
      <c r="BT8" s="15">
        <v>13816</v>
      </c>
      <c r="BU8" s="15">
        <v>0</v>
      </c>
      <c r="BV8" s="113">
        <v>2015843</v>
      </c>
      <c r="BW8" s="244"/>
      <c r="BX8" s="238">
        <v>99.999900786022735</v>
      </c>
      <c r="BZ8" s="333">
        <v>0</v>
      </c>
      <c r="CA8" s="377"/>
      <c r="CB8" s="12"/>
    </row>
    <row r="9" spans="1:80" ht="13.5" x14ac:dyDescent="0.25">
      <c r="A9" s="395">
        <v>3</v>
      </c>
      <c r="B9" s="185" t="s">
        <v>195</v>
      </c>
      <c r="D9" s="140"/>
      <c r="E9" s="325">
        <v>4824854</v>
      </c>
      <c r="F9" s="33">
        <v>102097615</v>
      </c>
      <c r="G9" s="33">
        <v>20318</v>
      </c>
      <c r="H9" s="33">
        <v>0</v>
      </c>
      <c r="I9" s="284">
        <v>106942787</v>
      </c>
      <c r="J9" s="113">
        <v>267863</v>
      </c>
      <c r="K9" s="15">
        <v>73</v>
      </c>
      <c r="L9" s="15">
        <v>13</v>
      </c>
      <c r="M9" s="15">
        <v>5</v>
      </c>
      <c r="N9" s="284">
        <v>267954</v>
      </c>
      <c r="O9" s="15">
        <v>58517</v>
      </c>
      <c r="P9" s="15">
        <v>260946</v>
      </c>
      <c r="Q9" s="15">
        <v>14</v>
      </c>
      <c r="R9" s="15">
        <v>0</v>
      </c>
      <c r="S9" s="284">
        <v>319477</v>
      </c>
      <c r="T9" s="113">
        <v>267666</v>
      </c>
      <c r="U9" s="15">
        <v>8799</v>
      </c>
      <c r="V9" s="15">
        <v>0</v>
      </c>
      <c r="W9" s="15">
        <v>0</v>
      </c>
      <c r="X9" s="284">
        <v>276465</v>
      </c>
      <c r="Y9" s="113">
        <v>268985</v>
      </c>
      <c r="Z9" s="15">
        <v>33569045</v>
      </c>
      <c r="AA9" s="15">
        <v>55</v>
      </c>
      <c r="AB9" s="15">
        <v>1</v>
      </c>
      <c r="AC9" s="284">
        <v>33838086</v>
      </c>
      <c r="AD9" s="113">
        <v>501753</v>
      </c>
      <c r="AE9" s="15">
        <v>3324135</v>
      </c>
      <c r="AF9" s="15">
        <v>1062</v>
      </c>
      <c r="AG9" s="15">
        <v>0</v>
      </c>
      <c r="AH9" s="284">
        <v>3826950</v>
      </c>
      <c r="AI9" s="113">
        <v>287532</v>
      </c>
      <c r="AJ9" s="15">
        <v>2393724</v>
      </c>
      <c r="AK9" s="15">
        <v>561</v>
      </c>
      <c r="AL9" s="15">
        <v>0</v>
      </c>
      <c r="AM9" s="284">
        <v>2681817</v>
      </c>
      <c r="AN9" s="113">
        <v>183401</v>
      </c>
      <c r="AO9" s="15">
        <v>558388</v>
      </c>
      <c r="AP9" s="15">
        <v>14792</v>
      </c>
      <c r="AQ9" s="15">
        <v>0</v>
      </c>
      <c r="AR9" s="284">
        <v>756581</v>
      </c>
      <c r="AS9" s="113">
        <v>526395</v>
      </c>
      <c r="AT9" s="15">
        <v>609460</v>
      </c>
      <c r="AU9" s="15">
        <v>4629</v>
      </c>
      <c r="AV9" s="15">
        <v>0</v>
      </c>
      <c r="AW9" s="284">
        <v>1140484</v>
      </c>
      <c r="AX9" s="113">
        <v>403355</v>
      </c>
      <c r="AY9" s="15">
        <v>33392063</v>
      </c>
      <c r="AZ9" s="15">
        <v>1598</v>
      </c>
      <c r="BA9" s="15">
        <v>0</v>
      </c>
      <c r="BB9" s="284">
        <v>33797016</v>
      </c>
      <c r="BC9" s="113">
        <v>404824</v>
      </c>
      <c r="BD9" s="15">
        <v>265804</v>
      </c>
      <c r="BE9" s="15">
        <v>4124</v>
      </c>
      <c r="BF9" s="15">
        <v>18</v>
      </c>
      <c r="BG9" s="284">
        <v>674770</v>
      </c>
      <c r="BH9" s="113">
        <v>381458</v>
      </c>
      <c r="BI9" s="15">
        <v>1230754</v>
      </c>
      <c r="BJ9" s="15">
        <v>13240</v>
      </c>
      <c r="BK9" s="15">
        <v>0</v>
      </c>
      <c r="BL9" s="284">
        <v>1625452</v>
      </c>
      <c r="BM9" s="113">
        <v>338236</v>
      </c>
      <c r="BN9" s="15">
        <v>23700686</v>
      </c>
      <c r="BO9" s="15">
        <v>2727</v>
      </c>
      <c r="BP9" s="15">
        <v>0</v>
      </c>
      <c r="BQ9" s="284">
        <v>24041649</v>
      </c>
      <c r="BR9" s="113">
        <v>3889985</v>
      </c>
      <c r="BS9" s="33">
        <v>99313877</v>
      </c>
      <c r="BT9" s="15">
        <v>42815</v>
      </c>
      <c r="BU9" s="15">
        <v>24</v>
      </c>
      <c r="BV9" s="113">
        <v>103246701</v>
      </c>
      <c r="BW9" s="244"/>
      <c r="BX9" s="238">
        <v>96.543866020622787</v>
      </c>
      <c r="BY9" s="157">
        <v>103246701</v>
      </c>
      <c r="BZ9" s="333">
        <v>0</v>
      </c>
      <c r="CA9" s="377"/>
      <c r="CB9" s="12"/>
    </row>
    <row r="10" spans="1:80" ht="13.5" x14ac:dyDescent="0.25">
      <c r="A10" s="395">
        <v>4</v>
      </c>
      <c r="B10" s="185" t="s">
        <v>196</v>
      </c>
      <c r="D10" s="140"/>
      <c r="E10" s="325">
        <v>506637</v>
      </c>
      <c r="F10" s="33">
        <v>213125</v>
      </c>
      <c r="G10" s="33">
        <v>5378</v>
      </c>
      <c r="H10" s="33">
        <v>0</v>
      </c>
      <c r="I10" s="284">
        <v>725140</v>
      </c>
      <c r="J10" s="113">
        <v>42202</v>
      </c>
      <c r="K10" s="15">
        <v>8262</v>
      </c>
      <c r="L10" s="15">
        <v>13</v>
      </c>
      <c r="M10" s="15">
        <v>0</v>
      </c>
      <c r="N10" s="284">
        <v>50477</v>
      </c>
      <c r="O10" s="15">
        <v>37029</v>
      </c>
      <c r="P10" s="15">
        <v>64819</v>
      </c>
      <c r="Q10" s="15">
        <v>130</v>
      </c>
      <c r="R10" s="15"/>
      <c r="S10" s="284">
        <v>101978</v>
      </c>
      <c r="T10" s="113">
        <v>52054</v>
      </c>
      <c r="U10" s="15">
        <v>0</v>
      </c>
      <c r="V10" s="15">
        <v>525</v>
      </c>
      <c r="W10" s="15">
        <v>0</v>
      </c>
      <c r="X10" s="284">
        <v>52579</v>
      </c>
      <c r="Y10" s="113">
        <v>36717</v>
      </c>
      <c r="Z10" s="15"/>
      <c r="AA10" s="15">
        <v>710</v>
      </c>
      <c r="AB10" s="15"/>
      <c r="AC10" s="284">
        <v>37427</v>
      </c>
      <c r="AD10" s="113">
        <v>43730</v>
      </c>
      <c r="AE10" s="15">
        <v>62278</v>
      </c>
      <c r="AF10" s="15">
        <v>1250</v>
      </c>
      <c r="AG10" s="15">
        <v>0</v>
      </c>
      <c r="AH10" s="284">
        <v>107258</v>
      </c>
      <c r="AI10" s="113">
        <v>37902</v>
      </c>
      <c r="AJ10" s="15">
        <v>675</v>
      </c>
      <c r="AK10" s="15">
        <v>366</v>
      </c>
      <c r="AL10" s="15">
        <v>0</v>
      </c>
      <c r="AM10" s="284">
        <v>38943</v>
      </c>
      <c r="AN10" s="113">
        <v>42685</v>
      </c>
      <c r="AO10" s="15">
        <v>53234</v>
      </c>
      <c r="AP10" s="15">
        <v>-135</v>
      </c>
      <c r="AQ10" s="15">
        <v>9</v>
      </c>
      <c r="AR10" s="284">
        <v>95793</v>
      </c>
      <c r="AS10" s="113">
        <v>37498</v>
      </c>
      <c r="AT10" s="15">
        <v>187</v>
      </c>
      <c r="AU10" s="15">
        <v>872</v>
      </c>
      <c r="AV10" s="15">
        <v>7</v>
      </c>
      <c r="AW10" s="284">
        <v>38564</v>
      </c>
      <c r="AX10" s="113">
        <v>35118</v>
      </c>
      <c r="AY10" s="15">
        <v>185</v>
      </c>
      <c r="AZ10" s="15">
        <v>1046</v>
      </c>
      <c r="BA10" s="15">
        <v>0</v>
      </c>
      <c r="BB10" s="284">
        <v>36349</v>
      </c>
      <c r="BC10" s="113">
        <v>35056</v>
      </c>
      <c r="BD10" s="15">
        <v>69</v>
      </c>
      <c r="BE10" s="15">
        <v>1857</v>
      </c>
      <c r="BF10" s="15">
        <v>0</v>
      </c>
      <c r="BG10" s="284">
        <v>36982</v>
      </c>
      <c r="BH10" s="113">
        <v>35746</v>
      </c>
      <c r="BI10" s="15">
        <v>24041</v>
      </c>
      <c r="BJ10" s="15">
        <v>788</v>
      </c>
      <c r="BK10" s="15">
        <v>0</v>
      </c>
      <c r="BL10" s="284">
        <v>60575</v>
      </c>
      <c r="BM10" s="113">
        <v>54458</v>
      </c>
      <c r="BN10" s="15">
        <v>2</v>
      </c>
      <c r="BO10" s="15">
        <v>707</v>
      </c>
      <c r="BP10" s="15">
        <v>16</v>
      </c>
      <c r="BQ10" s="284">
        <v>55183</v>
      </c>
      <c r="BR10" s="113">
        <v>490195</v>
      </c>
      <c r="BS10" s="33">
        <v>213752</v>
      </c>
      <c r="BT10" s="15">
        <v>8129</v>
      </c>
      <c r="BU10" s="15">
        <v>32</v>
      </c>
      <c r="BV10" s="113">
        <v>712108</v>
      </c>
      <c r="BW10" s="244"/>
      <c r="BX10" s="238">
        <v>98.20282979838376</v>
      </c>
      <c r="BY10" s="157">
        <v>712108</v>
      </c>
      <c r="BZ10" s="333">
        <v>0</v>
      </c>
      <c r="CA10" s="377"/>
      <c r="CB10" s="12"/>
    </row>
    <row r="11" spans="1:80" ht="13.5" x14ac:dyDescent="0.25">
      <c r="A11" s="395">
        <v>5</v>
      </c>
      <c r="B11" s="185" t="s">
        <v>197</v>
      </c>
      <c r="D11" s="140"/>
      <c r="E11" s="325">
        <v>6505143</v>
      </c>
      <c r="F11" s="33">
        <v>2269254</v>
      </c>
      <c r="G11" s="33">
        <v>13011</v>
      </c>
      <c r="H11" s="33">
        <v>0</v>
      </c>
      <c r="I11" s="284">
        <v>8787408</v>
      </c>
      <c r="J11" s="113">
        <v>394381</v>
      </c>
      <c r="K11" s="15">
        <v>459844</v>
      </c>
      <c r="L11" s="15">
        <v>75903</v>
      </c>
      <c r="M11" s="15">
        <v>0</v>
      </c>
      <c r="N11" s="284">
        <v>930128</v>
      </c>
      <c r="O11" s="15">
        <v>538070</v>
      </c>
      <c r="P11" s="15">
        <v>166364</v>
      </c>
      <c r="Q11" s="15">
        <v>14930</v>
      </c>
      <c r="R11" s="15">
        <v>0</v>
      </c>
      <c r="S11" s="284">
        <v>719364</v>
      </c>
      <c r="T11" s="113">
        <v>422472</v>
      </c>
      <c r="U11" s="15">
        <v>164893</v>
      </c>
      <c r="V11" s="15">
        <v>5038</v>
      </c>
      <c r="W11" s="15">
        <v>0</v>
      </c>
      <c r="X11" s="284">
        <v>592403</v>
      </c>
      <c r="Y11" s="113">
        <v>433396</v>
      </c>
      <c r="Z11" s="15">
        <v>207919</v>
      </c>
      <c r="AA11" s="15">
        <v>10620</v>
      </c>
      <c r="AB11" s="15">
        <v>0</v>
      </c>
      <c r="AC11" s="284">
        <v>651935</v>
      </c>
      <c r="AD11" s="113">
        <v>434166</v>
      </c>
      <c r="AE11" s="15">
        <v>100853</v>
      </c>
      <c r="AF11" s="15">
        <v>3675</v>
      </c>
      <c r="AG11" s="15">
        <v>0</v>
      </c>
      <c r="AH11" s="284">
        <v>538694</v>
      </c>
      <c r="AI11" s="113">
        <v>474137</v>
      </c>
      <c r="AJ11" s="15">
        <v>102820</v>
      </c>
      <c r="AK11" s="15">
        <v>64166</v>
      </c>
      <c r="AL11" s="15">
        <v>0</v>
      </c>
      <c r="AM11" s="284">
        <v>641123</v>
      </c>
      <c r="AN11" s="113">
        <v>463240</v>
      </c>
      <c r="AO11" s="15">
        <v>212274</v>
      </c>
      <c r="AP11" s="15">
        <v>12822</v>
      </c>
      <c r="AQ11" s="15">
        <v>0</v>
      </c>
      <c r="AR11" s="284">
        <v>688336</v>
      </c>
      <c r="AS11" s="113">
        <v>515084</v>
      </c>
      <c r="AT11" s="15">
        <v>101716</v>
      </c>
      <c r="AU11" s="15">
        <v>16821</v>
      </c>
      <c r="AV11" s="15">
        <v>0</v>
      </c>
      <c r="AW11" s="284">
        <v>633621</v>
      </c>
      <c r="AX11" s="113">
        <v>522298</v>
      </c>
      <c r="AY11" s="15">
        <v>124859</v>
      </c>
      <c r="AZ11" s="15">
        <v>7670</v>
      </c>
      <c r="BA11" s="15">
        <v>0</v>
      </c>
      <c r="BB11" s="284">
        <v>654827</v>
      </c>
      <c r="BC11" s="113">
        <v>426523</v>
      </c>
      <c r="BD11" s="15">
        <v>244179</v>
      </c>
      <c r="BE11" s="15">
        <v>4645</v>
      </c>
      <c r="BF11" s="15">
        <v>0</v>
      </c>
      <c r="BG11" s="284">
        <v>675347</v>
      </c>
      <c r="BH11" s="113">
        <v>542100</v>
      </c>
      <c r="BI11" s="15">
        <v>161520</v>
      </c>
      <c r="BJ11" s="15">
        <v>44324</v>
      </c>
      <c r="BK11" s="15">
        <v>0</v>
      </c>
      <c r="BL11" s="284">
        <v>747944</v>
      </c>
      <c r="BM11" s="113">
        <v>688407</v>
      </c>
      <c r="BN11" s="15">
        <v>244112</v>
      </c>
      <c r="BO11" s="15">
        <v>58258</v>
      </c>
      <c r="BP11" s="15">
        <v>1003</v>
      </c>
      <c r="BQ11" s="284">
        <v>991780</v>
      </c>
      <c r="BR11" s="113">
        <v>5854274</v>
      </c>
      <c r="BS11" s="33">
        <v>2291353</v>
      </c>
      <c r="BT11" s="15">
        <v>318872</v>
      </c>
      <c r="BU11" s="15">
        <v>1003</v>
      </c>
      <c r="BV11" s="113">
        <v>8465502</v>
      </c>
      <c r="BW11" s="244"/>
      <c r="BX11" s="238">
        <v>96.336735474214919</v>
      </c>
      <c r="BY11" s="157">
        <v>8465502</v>
      </c>
      <c r="BZ11" s="333">
        <v>0</v>
      </c>
      <c r="CA11" s="377"/>
      <c r="CB11" s="12"/>
    </row>
    <row r="12" spans="1:80" ht="13.5" x14ac:dyDescent="0.25">
      <c r="A12" s="395">
        <v>6</v>
      </c>
      <c r="B12" s="185" t="s">
        <v>198</v>
      </c>
      <c r="D12" s="342"/>
      <c r="E12" s="325">
        <v>5249060</v>
      </c>
      <c r="F12" s="33">
        <v>914879</v>
      </c>
      <c r="G12" s="33">
        <v>151029</v>
      </c>
      <c r="H12" s="33">
        <v>0</v>
      </c>
      <c r="I12" s="284">
        <v>6314968</v>
      </c>
      <c r="J12" s="113">
        <v>507360</v>
      </c>
      <c r="K12" s="15">
        <v>1819</v>
      </c>
      <c r="L12" s="15">
        <v>2339</v>
      </c>
      <c r="M12" s="15">
        <v>0</v>
      </c>
      <c r="N12" s="284">
        <v>511518</v>
      </c>
      <c r="O12" s="15">
        <v>410400</v>
      </c>
      <c r="P12" s="15">
        <v>531</v>
      </c>
      <c r="Q12" s="15">
        <v>9289</v>
      </c>
      <c r="R12" s="15">
        <v>0</v>
      </c>
      <c r="S12" s="284">
        <v>420220</v>
      </c>
      <c r="T12" s="113">
        <v>460311</v>
      </c>
      <c r="U12" s="15">
        <v>484367</v>
      </c>
      <c r="V12" s="15">
        <v>3611</v>
      </c>
      <c r="W12" s="15">
        <v>0</v>
      </c>
      <c r="X12" s="284">
        <v>948289</v>
      </c>
      <c r="Y12" s="113">
        <v>414377</v>
      </c>
      <c r="Z12" s="15">
        <v>1142</v>
      </c>
      <c r="AA12" s="15">
        <v>48378</v>
      </c>
      <c r="AB12" s="15">
        <v>0</v>
      </c>
      <c r="AC12" s="284">
        <v>463897</v>
      </c>
      <c r="AD12" s="113">
        <v>425690</v>
      </c>
      <c r="AE12" s="15">
        <v>4643</v>
      </c>
      <c r="AF12" s="15">
        <v>2918</v>
      </c>
      <c r="AG12" s="15">
        <v>0</v>
      </c>
      <c r="AH12" s="284">
        <v>433251</v>
      </c>
      <c r="AI12" s="113">
        <v>459991</v>
      </c>
      <c r="AJ12" s="15">
        <v>35246</v>
      </c>
      <c r="AK12" s="15">
        <v>2952</v>
      </c>
      <c r="AL12" s="15">
        <v>0</v>
      </c>
      <c r="AM12" s="284">
        <v>498189</v>
      </c>
      <c r="AN12" s="113">
        <v>490925</v>
      </c>
      <c r="AO12" s="15">
        <v>1585</v>
      </c>
      <c r="AP12" s="15">
        <v>3561</v>
      </c>
      <c r="AQ12" s="15">
        <v>815</v>
      </c>
      <c r="AR12" s="284">
        <v>496886</v>
      </c>
      <c r="AS12" s="113">
        <v>486129</v>
      </c>
      <c r="AT12" s="15">
        <v>111049</v>
      </c>
      <c r="AU12" s="15">
        <v>-41495</v>
      </c>
      <c r="AV12" s="15">
        <v>0</v>
      </c>
      <c r="AW12" s="284">
        <v>555683</v>
      </c>
      <c r="AX12" s="113">
        <v>367013</v>
      </c>
      <c r="AY12" s="15">
        <v>5760</v>
      </c>
      <c r="AZ12" s="15">
        <v>3628</v>
      </c>
      <c r="BA12" s="15">
        <v>0</v>
      </c>
      <c r="BB12" s="284">
        <v>376401</v>
      </c>
      <c r="BC12" s="113">
        <v>415064</v>
      </c>
      <c r="BD12" s="15">
        <v>5218</v>
      </c>
      <c r="BE12" s="15">
        <v>2756</v>
      </c>
      <c r="BF12" s="15">
        <v>3</v>
      </c>
      <c r="BG12" s="284">
        <v>423041</v>
      </c>
      <c r="BH12" s="113">
        <v>414281</v>
      </c>
      <c r="BI12" s="15">
        <v>146745</v>
      </c>
      <c r="BJ12" s="15">
        <v>1335</v>
      </c>
      <c r="BK12" s="15">
        <v>0</v>
      </c>
      <c r="BL12" s="284">
        <v>562361</v>
      </c>
      <c r="BM12" s="113">
        <v>326873</v>
      </c>
      <c r="BN12" s="15">
        <v>41221</v>
      </c>
      <c r="BO12" s="15">
        <v>4249</v>
      </c>
      <c r="BP12" s="15">
        <v>33477</v>
      </c>
      <c r="BQ12" s="284">
        <v>405820</v>
      </c>
      <c r="BR12" s="113">
        <v>5178414</v>
      </c>
      <c r="BS12" s="33">
        <v>839326</v>
      </c>
      <c r="BT12" s="15">
        <v>43521</v>
      </c>
      <c r="BU12" s="15">
        <v>34295</v>
      </c>
      <c r="BV12" s="113">
        <v>6095556</v>
      </c>
      <c r="BW12" s="244"/>
      <c r="BX12" s="238">
        <v>96.52552475325291</v>
      </c>
      <c r="BY12" s="157">
        <v>6095556</v>
      </c>
      <c r="BZ12" s="333">
        <v>0</v>
      </c>
      <c r="CA12" s="377"/>
      <c r="CB12" s="12"/>
    </row>
    <row r="13" spans="1:80" ht="13.5" x14ac:dyDescent="0.25">
      <c r="A13" s="395">
        <v>7</v>
      </c>
      <c r="B13" s="185" t="s">
        <v>199</v>
      </c>
      <c r="D13" s="342"/>
      <c r="E13" s="325">
        <v>87477</v>
      </c>
      <c r="F13" s="33">
        <v>136498</v>
      </c>
      <c r="G13" s="33">
        <v>3432</v>
      </c>
      <c r="H13" s="33">
        <v>0</v>
      </c>
      <c r="I13" s="284">
        <v>227407</v>
      </c>
      <c r="J13" s="113">
        <v>6216</v>
      </c>
      <c r="K13" s="15">
        <v>6559</v>
      </c>
      <c r="L13" s="15">
        <v>0</v>
      </c>
      <c r="M13" s="15">
        <v>0</v>
      </c>
      <c r="N13" s="284">
        <v>12775</v>
      </c>
      <c r="O13" s="15">
        <v>6631</v>
      </c>
      <c r="P13" s="15">
        <v>7496</v>
      </c>
      <c r="Q13" s="15">
        <v>25</v>
      </c>
      <c r="R13" s="15"/>
      <c r="S13" s="284">
        <v>14152</v>
      </c>
      <c r="T13" s="113">
        <v>7658</v>
      </c>
      <c r="U13" s="15">
        <v>8478</v>
      </c>
      <c r="V13" s="15">
        <v>0</v>
      </c>
      <c r="W13" s="15">
        <v>0</v>
      </c>
      <c r="X13" s="284">
        <v>16136</v>
      </c>
      <c r="Y13" s="113">
        <v>7883</v>
      </c>
      <c r="Z13" s="15">
        <v>7515</v>
      </c>
      <c r="AA13" s="15">
        <v>1322</v>
      </c>
      <c r="AB13" s="15"/>
      <c r="AC13" s="284">
        <v>16720</v>
      </c>
      <c r="AD13" s="113">
        <v>6502</v>
      </c>
      <c r="AE13" s="15">
        <v>56</v>
      </c>
      <c r="AF13" s="15">
        <v>-335</v>
      </c>
      <c r="AG13" s="15">
        <v>0</v>
      </c>
      <c r="AH13" s="284">
        <v>6223</v>
      </c>
      <c r="AI13" s="113">
        <v>8895</v>
      </c>
      <c r="AJ13" s="15">
        <v>25026</v>
      </c>
      <c r="AK13" s="15">
        <v>47</v>
      </c>
      <c r="AL13" s="15">
        <v>0</v>
      </c>
      <c r="AM13" s="284">
        <v>33968</v>
      </c>
      <c r="AN13" s="113">
        <v>7579</v>
      </c>
      <c r="AO13" s="15">
        <v>11861</v>
      </c>
      <c r="AP13" s="15">
        <v>220</v>
      </c>
      <c r="AQ13" s="15">
        <v>0</v>
      </c>
      <c r="AR13" s="284">
        <v>19660</v>
      </c>
      <c r="AS13" s="113">
        <v>10009</v>
      </c>
      <c r="AT13" s="15">
        <v>12150</v>
      </c>
      <c r="AU13" s="15">
        <v>0</v>
      </c>
      <c r="AV13" s="15">
        <v>0</v>
      </c>
      <c r="AW13" s="284">
        <v>22159</v>
      </c>
      <c r="AX13" s="113">
        <v>8952</v>
      </c>
      <c r="AY13" s="15">
        <v>13074</v>
      </c>
      <c r="AZ13" s="15">
        <v>0</v>
      </c>
      <c r="BA13" s="15">
        <v>0</v>
      </c>
      <c r="BB13" s="284">
        <v>22026</v>
      </c>
      <c r="BC13" s="113">
        <v>5599</v>
      </c>
      <c r="BD13" s="15">
        <v>6770</v>
      </c>
      <c r="BE13" s="15">
        <v>0</v>
      </c>
      <c r="BF13" s="15">
        <v>0</v>
      </c>
      <c r="BG13" s="284">
        <v>12369</v>
      </c>
      <c r="BH13" s="113">
        <v>7845</v>
      </c>
      <c r="BI13" s="15">
        <v>17774</v>
      </c>
      <c r="BJ13" s="15">
        <v>0</v>
      </c>
      <c r="BK13" s="15">
        <v>0</v>
      </c>
      <c r="BL13" s="284">
        <v>25619</v>
      </c>
      <c r="BM13" s="113">
        <v>10071</v>
      </c>
      <c r="BN13" s="15">
        <v>9125</v>
      </c>
      <c r="BO13" s="15">
        <v>510</v>
      </c>
      <c r="BP13" s="15"/>
      <c r="BQ13" s="284">
        <v>19706</v>
      </c>
      <c r="BR13" s="113">
        <v>93840</v>
      </c>
      <c r="BS13" s="33">
        <v>125884</v>
      </c>
      <c r="BT13" s="15">
        <v>1789</v>
      </c>
      <c r="BU13" s="15">
        <v>0</v>
      </c>
      <c r="BV13" s="113">
        <v>221513</v>
      </c>
      <c r="BW13" s="244"/>
      <c r="BX13" s="238">
        <v>97.408171252424069</v>
      </c>
      <c r="BY13" s="157">
        <v>221513</v>
      </c>
      <c r="BZ13" s="333">
        <v>0</v>
      </c>
      <c r="CA13" s="377"/>
      <c r="CB13" s="12"/>
    </row>
    <row r="14" spans="1:80" ht="13.5" x14ac:dyDescent="0.25">
      <c r="A14" s="395">
        <v>8</v>
      </c>
      <c r="B14" s="185" t="s">
        <v>200</v>
      </c>
      <c r="D14" s="342"/>
      <c r="E14" s="325">
        <v>2288169</v>
      </c>
      <c r="F14" s="33">
        <v>24187924</v>
      </c>
      <c r="G14" s="33">
        <v>68574</v>
      </c>
      <c r="H14" s="33">
        <v>7981006</v>
      </c>
      <c r="I14" s="284">
        <v>34525673</v>
      </c>
      <c r="J14" s="113">
        <v>97620</v>
      </c>
      <c r="K14" s="15">
        <v>1328011</v>
      </c>
      <c r="L14" s="15">
        <v>0</v>
      </c>
      <c r="M14" s="15">
        <v>0</v>
      </c>
      <c r="N14" s="284">
        <v>1425631</v>
      </c>
      <c r="O14" s="15">
        <v>142170</v>
      </c>
      <c r="P14" s="15">
        <v>2198989</v>
      </c>
      <c r="Q14" s="15">
        <v>0</v>
      </c>
      <c r="R14" s="15">
        <v>0</v>
      </c>
      <c r="S14" s="284">
        <v>2341159</v>
      </c>
      <c r="T14" s="113">
        <v>187894</v>
      </c>
      <c r="U14" s="15">
        <v>1714217</v>
      </c>
      <c r="V14" s="15">
        <v>20517</v>
      </c>
      <c r="W14" s="15">
        <v>403307</v>
      </c>
      <c r="X14" s="284">
        <v>2325935</v>
      </c>
      <c r="Y14" s="113">
        <v>198302</v>
      </c>
      <c r="Z14" s="15">
        <v>2076439</v>
      </c>
      <c r="AA14" s="15">
        <v>627</v>
      </c>
      <c r="AB14" s="15">
        <v>27028</v>
      </c>
      <c r="AC14" s="284">
        <v>2302396</v>
      </c>
      <c r="AD14" s="113">
        <v>160989</v>
      </c>
      <c r="AE14" s="15">
        <v>2216846</v>
      </c>
      <c r="AF14" s="15">
        <v>2786</v>
      </c>
      <c r="AG14" s="15">
        <v>0</v>
      </c>
      <c r="AH14" s="284">
        <v>2380621</v>
      </c>
      <c r="AI14" s="113">
        <v>90905</v>
      </c>
      <c r="AJ14" s="15">
        <v>2094557</v>
      </c>
      <c r="AK14" s="15">
        <v>3662</v>
      </c>
      <c r="AL14" s="15">
        <v>2925634</v>
      </c>
      <c r="AM14" s="284">
        <v>5114758</v>
      </c>
      <c r="AN14" s="113">
        <v>233688</v>
      </c>
      <c r="AO14" s="15">
        <v>1576166</v>
      </c>
      <c r="AP14" s="15">
        <v>104</v>
      </c>
      <c r="AQ14" s="15">
        <v>0</v>
      </c>
      <c r="AR14" s="284">
        <v>1809958</v>
      </c>
      <c r="AS14" s="113">
        <v>152725</v>
      </c>
      <c r="AT14" s="15">
        <v>2165921</v>
      </c>
      <c r="AU14" s="15">
        <v>1792</v>
      </c>
      <c r="AV14" s="15">
        <v>95</v>
      </c>
      <c r="AW14" s="284">
        <v>2320533</v>
      </c>
      <c r="AX14" s="113">
        <v>142686</v>
      </c>
      <c r="AY14" s="15">
        <v>1797684</v>
      </c>
      <c r="AZ14" s="15">
        <v>926</v>
      </c>
      <c r="BA14" s="15">
        <v>5115550</v>
      </c>
      <c r="BB14" s="284">
        <v>7056846</v>
      </c>
      <c r="BC14" s="113">
        <v>120707</v>
      </c>
      <c r="BD14" s="15">
        <v>1716791</v>
      </c>
      <c r="BE14" s="15">
        <v>417</v>
      </c>
      <c r="BF14" s="15">
        <v>0</v>
      </c>
      <c r="BG14" s="284">
        <v>1837915</v>
      </c>
      <c r="BH14" s="113">
        <v>162342</v>
      </c>
      <c r="BI14" s="15">
        <v>1835904</v>
      </c>
      <c r="BJ14" s="15">
        <v>754</v>
      </c>
      <c r="BK14" s="15">
        <v>141678</v>
      </c>
      <c r="BL14" s="284">
        <v>2140678</v>
      </c>
      <c r="BM14" s="113">
        <v>190766</v>
      </c>
      <c r="BN14" s="15">
        <v>2884637</v>
      </c>
      <c r="BO14" s="15">
        <v>14040</v>
      </c>
      <c r="BP14" s="15">
        <v>0</v>
      </c>
      <c r="BQ14" s="284">
        <v>3089443</v>
      </c>
      <c r="BR14" s="113">
        <v>1880794</v>
      </c>
      <c r="BS14" s="33">
        <v>23606162</v>
      </c>
      <c r="BT14" s="15">
        <v>45625</v>
      </c>
      <c r="BU14" s="15">
        <v>8613292</v>
      </c>
      <c r="BV14" s="113">
        <v>34145873</v>
      </c>
      <c r="BW14" s="244"/>
      <c r="BX14" s="238">
        <v>98.89994903213038</v>
      </c>
      <c r="BY14" s="157">
        <v>34225875</v>
      </c>
      <c r="BZ14" s="333">
        <v>-80002</v>
      </c>
      <c r="CA14" s="377"/>
      <c r="CB14" s="12"/>
    </row>
    <row r="15" spans="1:80" ht="13.5" x14ac:dyDescent="0.25">
      <c r="A15" s="395">
        <v>9</v>
      </c>
      <c r="B15" s="185" t="s">
        <v>201</v>
      </c>
      <c r="D15" s="213"/>
      <c r="E15" s="325">
        <v>396387</v>
      </c>
      <c r="F15" s="33">
        <v>236</v>
      </c>
      <c r="G15" s="33">
        <v>3347</v>
      </c>
      <c r="H15" s="33">
        <v>4</v>
      </c>
      <c r="I15" s="284">
        <v>399974</v>
      </c>
      <c r="J15" s="113">
        <v>25273</v>
      </c>
      <c r="K15" s="15">
        <v>0</v>
      </c>
      <c r="L15" s="15">
        <v>0</v>
      </c>
      <c r="M15" s="15">
        <v>0</v>
      </c>
      <c r="N15" s="284">
        <v>25273</v>
      </c>
      <c r="O15" s="15">
        <v>26963</v>
      </c>
      <c r="P15" s="15">
        <v>65</v>
      </c>
      <c r="Q15" s="15">
        <v>145</v>
      </c>
      <c r="R15" s="15">
        <v>0</v>
      </c>
      <c r="S15" s="284">
        <v>27173</v>
      </c>
      <c r="T15" s="113">
        <v>27187</v>
      </c>
      <c r="U15" s="15">
        <v>74</v>
      </c>
      <c r="V15" s="15">
        <v>1852</v>
      </c>
      <c r="W15" s="15">
        <v>4</v>
      </c>
      <c r="X15" s="284">
        <v>29117</v>
      </c>
      <c r="Y15" s="113">
        <v>29249</v>
      </c>
      <c r="Z15" s="15">
        <v>29</v>
      </c>
      <c r="AA15" s="15">
        <v>287</v>
      </c>
      <c r="AB15" s="15">
        <v>0</v>
      </c>
      <c r="AC15" s="284">
        <v>29565</v>
      </c>
      <c r="AD15" s="113">
        <v>27878</v>
      </c>
      <c r="AE15" s="15">
        <v>66</v>
      </c>
      <c r="AF15" s="15">
        <v>172</v>
      </c>
      <c r="AG15" s="15">
        <v>0</v>
      </c>
      <c r="AH15" s="284">
        <v>28116</v>
      </c>
      <c r="AI15" s="113">
        <v>30272</v>
      </c>
      <c r="AJ15" s="15">
        <v>78</v>
      </c>
      <c r="AK15" s="15">
        <v>371</v>
      </c>
      <c r="AL15" s="15">
        <v>0</v>
      </c>
      <c r="AM15" s="284">
        <v>30721</v>
      </c>
      <c r="AN15" s="113">
        <v>27709</v>
      </c>
      <c r="AO15" s="15">
        <v>0</v>
      </c>
      <c r="AP15" s="15">
        <v>19</v>
      </c>
      <c r="AQ15" s="15">
        <v>0</v>
      </c>
      <c r="AR15" s="284">
        <v>27728</v>
      </c>
      <c r="AS15" s="113">
        <v>38151</v>
      </c>
      <c r="AT15" s="15">
        <v>8</v>
      </c>
      <c r="AU15" s="15">
        <v>103</v>
      </c>
      <c r="AV15" s="15">
        <v>0</v>
      </c>
      <c r="AW15" s="284">
        <v>38262</v>
      </c>
      <c r="AX15" s="113">
        <v>36313</v>
      </c>
      <c r="AY15" s="15">
        <v>13</v>
      </c>
      <c r="AZ15" s="15">
        <v>67</v>
      </c>
      <c r="BA15" s="15">
        <v>0</v>
      </c>
      <c r="BB15" s="284">
        <v>36393</v>
      </c>
      <c r="BC15" s="113">
        <v>27624</v>
      </c>
      <c r="BD15" s="15">
        <v>0</v>
      </c>
      <c r="BE15" s="15">
        <v>62</v>
      </c>
      <c r="BF15" s="15">
        <v>0</v>
      </c>
      <c r="BG15" s="284">
        <v>27686</v>
      </c>
      <c r="BH15" s="113">
        <v>31450</v>
      </c>
      <c r="BI15" s="15">
        <v>148</v>
      </c>
      <c r="BJ15" s="15">
        <v>24</v>
      </c>
      <c r="BK15" s="15">
        <v>0</v>
      </c>
      <c r="BL15" s="284">
        <v>31622</v>
      </c>
      <c r="BM15" s="113">
        <v>54663</v>
      </c>
      <c r="BN15" s="15">
        <v>219</v>
      </c>
      <c r="BO15" s="15">
        <v>590</v>
      </c>
      <c r="BP15" s="15">
        <v>0</v>
      </c>
      <c r="BQ15" s="284">
        <v>55472</v>
      </c>
      <c r="BR15" s="113">
        <v>382732</v>
      </c>
      <c r="BS15" s="33">
        <v>700</v>
      </c>
      <c r="BT15" s="15">
        <v>3692</v>
      </c>
      <c r="BU15" s="15">
        <v>4</v>
      </c>
      <c r="BV15" s="113">
        <v>387128</v>
      </c>
      <c r="BW15" s="244"/>
      <c r="BX15" s="238">
        <v>96.78829123893054</v>
      </c>
      <c r="BY15" s="157">
        <v>387128</v>
      </c>
      <c r="BZ15" s="333">
        <v>0</v>
      </c>
      <c r="CA15" s="377"/>
      <c r="CB15" s="12"/>
    </row>
    <row r="16" spans="1:80" ht="13.5" x14ac:dyDescent="0.25">
      <c r="A16" s="395">
        <v>10</v>
      </c>
      <c r="B16" s="368" t="s">
        <v>202</v>
      </c>
      <c r="D16" s="213"/>
      <c r="E16" s="325">
        <v>261874</v>
      </c>
      <c r="F16" s="33">
        <v>168</v>
      </c>
      <c r="G16" s="33">
        <v>3516</v>
      </c>
      <c r="H16" s="33">
        <v>77341348</v>
      </c>
      <c r="I16" s="284">
        <v>77606906</v>
      </c>
      <c r="J16" s="113">
        <v>13997</v>
      </c>
      <c r="K16" s="15">
        <v>2</v>
      </c>
      <c r="L16" s="15">
        <v>14</v>
      </c>
      <c r="M16" s="15">
        <v>0</v>
      </c>
      <c r="N16" s="284">
        <v>14013</v>
      </c>
      <c r="O16" s="15">
        <v>15331</v>
      </c>
      <c r="P16" s="15">
        <v>149</v>
      </c>
      <c r="Q16" s="15">
        <v>308</v>
      </c>
      <c r="R16" s="15">
        <v>1000000</v>
      </c>
      <c r="S16" s="284">
        <v>1015788</v>
      </c>
      <c r="T16" s="113">
        <v>24169</v>
      </c>
      <c r="U16" s="15">
        <v>0</v>
      </c>
      <c r="V16" s="15">
        <v>339</v>
      </c>
      <c r="W16" s="15">
        <v>72000</v>
      </c>
      <c r="X16" s="284">
        <v>96508</v>
      </c>
      <c r="Y16" s="113">
        <v>36884</v>
      </c>
      <c r="Z16" s="15">
        <v>0</v>
      </c>
      <c r="AA16" s="15">
        <v>1260</v>
      </c>
      <c r="AB16" s="15">
        <v>3779311</v>
      </c>
      <c r="AC16" s="284">
        <v>3817455</v>
      </c>
      <c r="AD16" s="113">
        <v>6775</v>
      </c>
      <c r="AE16" s="15">
        <v>0</v>
      </c>
      <c r="AF16" s="15">
        <v>23</v>
      </c>
      <c r="AG16" s="15">
        <v>5000000</v>
      </c>
      <c r="AH16" s="284">
        <v>5006798</v>
      </c>
      <c r="AI16" s="113">
        <v>15744</v>
      </c>
      <c r="AJ16" s="15">
        <v>0</v>
      </c>
      <c r="AK16" s="15">
        <v>834</v>
      </c>
      <c r="AL16" s="15">
        <v>89606</v>
      </c>
      <c r="AM16" s="284">
        <v>106184</v>
      </c>
      <c r="AN16" s="113">
        <v>16005</v>
      </c>
      <c r="AO16" s="15">
        <v>124</v>
      </c>
      <c r="AP16" s="15">
        <v>44</v>
      </c>
      <c r="AQ16" s="15">
        <v>2000000</v>
      </c>
      <c r="AR16" s="284">
        <v>2016173</v>
      </c>
      <c r="AS16" s="113">
        <v>15502</v>
      </c>
      <c r="AT16" s="15">
        <v>36</v>
      </c>
      <c r="AU16" s="15">
        <v>348</v>
      </c>
      <c r="AV16" s="15">
        <v>3771000</v>
      </c>
      <c r="AW16" s="284">
        <v>3786886</v>
      </c>
      <c r="AX16" s="113">
        <v>16744</v>
      </c>
      <c r="AY16" s="15">
        <v>0</v>
      </c>
      <c r="AZ16" s="15">
        <v>107</v>
      </c>
      <c r="BA16" s="15">
        <v>11572123</v>
      </c>
      <c r="BB16" s="284">
        <v>11588974</v>
      </c>
      <c r="BC16" s="113">
        <v>14604</v>
      </c>
      <c r="BD16" s="15">
        <v>484</v>
      </c>
      <c r="BE16" s="15">
        <v>0</v>
      </c>
      <c r="BF16" s="15">
        <v>30300008</v>
      </c>
      <c r="BG16" s="284">
        <v>30315096</v>
      </c>
      <c r="BH16" s="113">
        <v>15469</v>
      </c>
      <c r="BI16" s="15">
        <v>0</v>
      </c>
      <c r="BJ16" s="15">
        <v>0</v>
      </c>
      <c r="BK16" s="15">
        <v>13000000</v>
      </c>
      <c r="BL16" s="284">
        <v>13015469</v>
      </c>
      <c r="BM16" s="113">
        <v>21708</v>
      </c>
      <c r="BN16" s="15">
        <v>384</v>
      </c>
      <c r="BO16" s="15">
        <v>1957</v>
      </c>
      <c r="BP16" s="15">
        <v>4000006</v>
      </c>
      <c r="BQ16" s="284">
        <v>4024055</v>
      </c>
      <c r="BR16" s="113">
        <v>212932</v>
      </c>
      <c r="BS16" s="33">
        <v>1179</v>
      </c>
      <c r="BT16" s="15">
        <v>5234</v>
      </c>
      <c r="BU16" s="15">
        <v>74584054</v>
      </c>
      <c r="BV16" s="113">
        <v>74803399</v>
      </c>
      <c r="BW16" s="244"/>
      <c r="BX16" s="238">
        <v>96.387554736430275</v>
      </c>
      <c r="BY16" s="157">
        <v>74803399</v>
      </c>
      <c r="BZ16" s="333">
        <v>0</v>
      </c>
      <c r="CA16" s="377"/>
      <c r="CB16" s="12"/>
    </row>
    <row r="17" spans="1:80" ht="13.5" x14ac:dyDescent="0.25">
      <c r="A17" s="395">
        <v>11</v>
      </c>
      <c r="B17" s="185" t="s">
        <v>203</v>
      </c>
      <c r="D17" s="140"/>
      <c r="E17" s="325">
        <v>426306</v>
      </c>
      <c r="F17" s="33">
        <v>37799</v>
      </c>
      <c r="G17" s="33">
        <v>4790</v>
      </c>
      <c r="H17" s="33">
        <v>0</v>
      </c>
      <c r="I17" s="284">
        <v>468895</v>
      </c>
      <c r="J17" s="113">
        <v>23789</v>
      </c>
      <c r="K17" s="15">
        <v>2431</v>
      </c>
      <c r="L17" s="15">
        <v>0</v>
      </c>
      <c r="M17" s="15">
        <v>0</v>
      </c>
      <c r="N17" s="284">
        <v>26220</v>
      </c>
      <c r="O17" s="15">
        <v>37006</v>
      </c>
      <c r="P17" s="15">
        <v>2880</v>
      </c>
      <c r="Q17" s="15">
        <v>79</v>
      </c>
      <c r="R17" s="15">
        <v>0</v>
      </c>
      <c r="S17" s="284">
        <v>39965</v>
      </c>
      <c r="T17" s="113">
        <v>27759</v>
      </c>
      <c r="U17" s="15">
        <v>2885</v>
      </c>
      <c r="V17" s="15">
        <v>29</v>
      </c>
      <c r="W17" s="15">
        <v>0</v>
      </c>
      <c r="X17" s="284">
        <v>30673</v>
      </c>
      <c r="Y17" s="113">
        <v>30348</v>
      </c>
      <c r="Z17" s="15">
        <v>5627</v>
      </c>
      <c r="AA17" s="15">
        <v>0</v>
      </c>
      <c r="AB17" s="15">
        <v>0</v>
      </c>
      <c r="AC17" s="284">
        <v>35975</v>
      </c>
      <c r="AD17" s="113">
        <v>40785</v>
      </c>
      <c r="AE17" s="15">
        <v>2560</v>
      </c>
      <c r="AF17" s="15">
        <v>310</v>
      </c>
      <c r="AG17" s="15">
        <v>0</v>
      </c>
      <c r="AH17" s="284">
        <v>43655</v>
      </c>
      <c r="AI17" s="113">
        <v>26108</v>
      </c>
      <c r="AJ17" s="15">
        <v>4134</v>
      </c>
      <c r="AK17" s="15">
        <v>201</v>
      </c>
      <c r="AL17" s="15">
        <v>0</v>
      </c>
      <c r="AM17" s="284">
        <v>30443</v>
      </c>
      <c r="AN17" s="113">
        <v>40149</v>
      </c>
      <c r="AO17" s="15">
        <v>2188</v>
      </c>
      <c r="AP17" s="15">
        <v>30</v>
      </c>
      <c r="AQ17" s="15">
        <v>0</v>
      </c>
      <c r="AR17" s="284">
        <v>42367</v>
      </c>
      <c r="AS17" s="113">
        <v>27972</v>
      </c>
      <c r="AT17" s="15">
        <v>6026</v>
      </c>
      <c r="AU17" s="15">
        <v>160</v>
      </c>
      <c r="AV17" s="15">
        <v>0</v>
      </c>
      <c r="AW17" s="284">
        <v>34158</v>
      </c>
      <c r="AX17" s="113">
        <v>27308</v>
      </c>
      <c r="AY17" s="15">
        <v>3246</v>
      </c>
      <c r="AZ17" s="15">
        <v>-10</v>
      </c>
      <c r="BA17" s="15">
        <v>0</v>
      </c>
      <c r="BB17" s="284">
        <v>30544</v>
      </c>
      <c r="BC17" s="113">
        <v>36817</v>
      </c>
      <c r="BD17" s="15">
        <v>2236</v>
      </c>
      <c r="BE17" s="15">
        <v>416</v>
      </c>
      <c r="BF17" s="15">
        <v>0</v>
      </c>
      <c r="BG17" s="284">
        <v>39469</v>
      </c>
      <c r="BH17" s="113">
        <v>31753</v>
      </c>
      <c r="BI17" s="15">
        <v>2262</v>
      </c>
      <c r="BJ17" s="15">
        <v>1140</v>
      </c>
      <c r="BK17" s="15">
        <v>0</v>
      </c>
      <c r="BL17" s="284">
        <v>35155</v>
      </c>
      <c r="BM17" s="113">
        <v>35418</v>
      </c>
      <c r="BN17" s="15">
        <v>4659</v>
      </c>
      <c r="BO17" s="15">
        <v>1289</v>
      </c>
      <c r="BP17" s="15">
        <v>776</v>
      </c>
      <c r="BQ17" s="284">
        <v>42142</v>
      </c>
      <c r="BR17" s="113">
        <v>385212</v>
      </c>
      <c r="BS17" s="33">
        <v>41134</v>
      </c>
      <c r="BT17" s="15">
        <v>3644</v>
      </c>
      <c r="BU17" s="15">
        <v>776</v>
      </c>
      <c r="BV17" s="113">
        <v>430766</v>
      </c>
      <c r="BW17" s="244"/>
      <c r="BX17" s="238">
        <v>91.868328730312754</v>
      </c>
      <c r="BY17" s="157">
        <v>430766</v>
      </c>
      <c r="BZ17" s="333">
        <v>0</v>
      </c>
      <c r="CA17" s="377"/>
      <c r="CB17" s="12"/>
    </row>
    <row r="18" spans="1:80" ht="13.5" x14ac:dyDescent="0.25">
      <c r="A18" s="395">
        <v>12</v>
      </c>
      <c r="B18" s="7" t="s">
        <v>204</v>
      </c>
      <c r="D18" s="342"/>
      <c r="E18" s="325">
        <v>272248</v>
      </c>
      <c r="F18" s="33">
        <v>498</v>
      </c>
      <c r="G18" s="33">
        <v>1034</v>
      </c>
      <c r="H18" s="33">
        <v>0</v>
      </c>
      <c r="I18" s="284">
        <v>273780</v>
      </c>
      <c r="J18" s="113">
        <v>17330</v>
      </c>
      <c r="K18" s="15">
        <v>0</v>
      </c>
      <c r="L18" s="15">
        <v>8</v>
      </c>
      <c r="M18" s="15">
        <v>0</v>
      </c>
      <c r="N18" s="284">
        <v>17338</v>
      </c>
      <c r="O18" s="15">
        <v>21158</v>
      </c>
      <c r="P18" s="15">
        <v>127</v>
      </c>
      <c r="Q18" s="15">
        <v>22</v>
      </c>
      <c r="R18" s="15">
        <v>0</v>
      </c>
      <c r="S18" s="284">
        <v>21307</v>
      </c>
      <c r="T18" s="113">
        <v>19149</v>
      </c>
      <c r="U18" s="15">
        <v>0</v>
      </c>
      <c r="V18" s="15">
        <v>244</v>
      </c>
      <c r="W18" s="15">
        <v>0</v>
      </c>
      <c r="X18" s="284">
        <v>19393</v>
      </c>
      <c r="Y18" s="113">
        <v>21544</v>
      </c>
      <c r="Z18" s="15">
        <v>13</v>
      </c>
      <c r="AA18" s="15">
        <v>39</v>
      </c>
      <c r="AB18" s="15">
        <v>0</v>
      </c>
      <c r="AC18" s="284">
        <v>21596</v>
      </c>
      <c r="AD18" s="113">
        <v>22178</v>
      </c>
      <c r="AE18" s="15">
        <v>104</v>
      </c>
      <c r="AF18" s="15">
        <v>265</v>
      </c>
      <c r="AG18" s="15">
        <v>0</v>
      </c>
      <c r="AH18" s="284">
        <v>22547</v>
      </c>
      <c r="AI18" s="113">
        <v>20797</v>
      </c>
      <c r="AJ18" s="15">
        <v>95</v>
      </c>
      <c r="AK18" s="15">
        <v>355</v>
      </c>
      <c r="AL18" s="15">
        <v>0</v>
      </c>
      <c r="AM18" s="284">
        <v>21247</v>
      </c>
      <c r="AN18" s="113">
        <v>23648</v>
      </c>
      <c r="AO18" s="15">
        <v>455</v>
      </c>
      <c r="AP18" s="15">
        <v>110</v>
      </c>
      <c r="AQ18" s="15">
        <v>0</v>
      </c>
      <c r="AR18" s="284">
        <v>24213</v>
      </c>
      <c r="AS18" s="113">
        <v>19325</v>
      </c>
      <c r="AT18" s="15">
        <v>247</v>
      </c>
      <c r="AU18" s="15">
        <v>2864</v>
      </c>
      <c r="AV18" s="15">
        <v>0</v>
      </c>
      <c r="AW18" s="284">
        <v>22436</v>
      </c>
      <c r="AX18" s="113">
        <v>20891</v>
      </c>
      <c r="AY18" s="15">
        <v>0</v>
      </c>
      <c r="AZ18" s="15">
        <v>70</v>
      </c>
      <c r="BA18" s="15">
        <v>0</v>
      </c>
      <c r="BB18" s="284">
        <v>20961</v>
      </c>
      <c r="BC18" s="113">
        <v>17556</v>
      </c>
      <c r="BD18" s="15">
        <v>581</v>
      </c>
      <c r="BE18" s="15">
        <v>29</v>
      </c>
      <c r="BF18" s="15">
        <v>0</v>
      </c>
      <c r="BG18" s="284">
        <v>18166</v>
      </c>
      <c r="BH18" s="113">
        <v>20880</v>
      </c>
      <c r="BI18" s="15">
        <v>0</v>
      </c>
      <c r="BJ18" s="15">
        <v>33</v>
      </c>
      <c r="BK18" s="15">
        <v>0</v>
      </c>
      <c r="BL18" s="284">
        <v>20913</v>
      </c>
      <c r="BM18" s="113">
        <v>30168</v>
      </c>
      <c r="BN18" s="15">
        <v>355</v>
      </c>
      <c r="BO18" s="15">
        <v>257</v>
      </c>
      <c r="BP18" s="15">
        <v>0</v>
      </c>
      <c r="BQ18" s="284">
        <v>30780</v>
      </c>
      <c r="BR18" s="113">
        <v>254624</v>
      </c>
      <c r="BS18" s="33">
        <v>1977</v>
      </c>
      <c r="BT18" s="15">
        <v>4296</v>
      </c>
      <c r="BU18" s="15">
        <v>0</v>
      </c>
      <c r="BV18" s="113">
        <v>260897</v>
      </c>
      <c r="BW18" s="244"/>
      <c r="BX18" s="238">
        <v>95.294396961063626</v>
      </c>
      <c r="BY18" s="157">
        <v>260897</v>
      </c>
      <c r="BZ18" s="333">
        <v>0</v>
      </c>
      <c r="CA18" s="377"/>
      <c r="CB18" s="12"/>
    </row>
    <row r="19" spans="1:80" ht="13.5" x14ac:dyDescent="0.25">
      <c r="A19" s="395">
        <v>13</v>
      </c>
      <c r="B19" s="7" t="s">
        <v>205</v>
      </c>
      <c r="D19" s="342"/>
      <c r="E19" s="325">
        <v>924895</v>
      </c>
      <c r="F19" s="33">
        <v>6788737</v>
      </c>
      <c r="G19" s="33">
        <v>10747</v>
      </c>
      <c r="H19" s="33">
        <v>0</v>
      </c>
      <c r="I19" s="284">
        <v>7724379</v>
      </c>
      <c r="J19" s="113">
        <v>53437</v>
      </c>
      <c r="K19" s="15">
        <v>1418670</v>
      </c>
      <c r="L19" s="15">
        <v>2</v>
      </c>
      <c r="M19" s="15">
        <v>0</v>
      </c>
      <c r="N19" s="284">
        <v>1472109</v>
      </c>
      <c r="O19" s="15">
        <v>44492</v>
      </c>
      <c r="P19" s="15">
        <v>138060</v>
      </c>
      <c r="Q19" s="15">
        <v>16</v>
      </c>
      <c r="R19" s="15"/>
      <c r="S19" s="284">
        <v>182568</v>
      </c>
      <c r="T19" s="113">
        <v>49357</v>
      </c>
      <c r="U19" s="15">
        <v>143523</v>
      </c>
      <c r="V19" s="15">
        <v>66</v>
      </c>
      <c r="W19" s="15"/>
      <c r="X19" s="284">
        <v>192946</v>
      </c>
      <c r="Y19" s="113">
        <v>52009</v>
      </c>
      <c r="Z19" s="15">
        <v>1101032</v>
      </c>
      <c r="AA19" s="15">
        <v>121</v>
      </c>
      <c r="AB19" s="15"/>
      <c r="AC19" s="284">
        <v>1153162</v>
      </c>
      <c r="AD19" s="113">
        <v>71641</v>
      </c>
      <c r="AE19" s="15">
        <v>304539</v>
      </c>
      <c r="AF19" s="15">
        <v>712</v>
      </c>
      <c r="AG19" s="15">
        <v>0</v>
      </c>
      <c r="AH19" s="284">
        <v>376892</v>
      </c>
      <c r="AI19" s="113">
        <v>60660</v>
      </c>
      <c r="AJ19" s="15">
        <v>203771</v>
      </c>
      <c r="AK19" s="15">
        <v>225</v>
      </c>
      <c r="AL19" s="15">
        <v>0</v>
      </c>
      <c r="AM19" s="284">
        <v>264656</v>
      </c>
      <c r="AN19" s="113">
        <v>56838</v>
      </c>
      <c r="AO19" s="15">
        <v>1307639</v>
      </c>
      <c r="AP19" s="15">
        <v>448</v>
      </c>
      <c r="AQ19" s="15">
        <v>0</v>
      </c>
      <c r="AR19" s="284">
        <v>1364925</v>
      </c>
      <c r="AS19" s="113">
        <v>59973</v>
      </c>
      <c r="AT19" s="15">
        <v>221375</v>
      </c>
      <c r="AU19" s="15">
        <v>-296</v>
      </c>
      <c r="AV19" s="15">
        <v>0</v>
      </c>
      <c r="AW19" s="284">
        <v>281052</v>
      </c>
      <c r="AX19" s="113">
        <v>63569</v>
      </c>
      <c r="AY19" s="15">
        <v>231114</v>
      </c>
      <c r="AZ19" s="15">
        <v>86</v>
      </c>
      <c r="BA19" s="15">
        <v>0</v>
      </c>
      <c r="BB19" s="284">
        <v>294769</v>
      </c>
      <c r="BC19" s="113">
        <v>45399</v>
      </c>
      <c r="BD19" s="15">
        <v>106613</v>
      </c>
      <c r="BE19" s="15">
        <v>13</v>
      </c>
      <c r="BF19" s="15"/>
      <c r="BG19" s="284">
        <v>152025</v>
      </c>
      <c r="BH19" s="113">
        <v>58646</v>
      </c>
      <c r="BI19" s="15">
        <v>1425480</v>
      </c>
      <c r="BJ19" s="15">
        <v>153</v>
      </c>
      <c r="BK19" s="15">
        <v>30</v>
      </c>
      <c r="BL19" s="284">
        <v>1484309</v>
      </c>
      <c r="BM19" s="113">
        <v>100971</v>
      </c>
      <c r="BN19" s="15">
        <v>205224</v>
      </c>
      <c r="BO19" s="15">
        <v>879</v>
      </c>
      <c r="BP19" s="15">
        <v>140</v>
      </c>
      <c r="BQ19" s="284">
        <v>307214</v>
      </c>
      <c r="BR19" s="113">
        <v>716992</v>
      </c>
      <c r="BS19" s="33">
        <v>6807040</v>
      </c>
      <c r="BT19" s="15">
        <v>2425</v>
      </c>
      <c r="BU19" s="15">
        <v>170</v>
      </c>
      <c r="BV19" s="113">
        <v>7526627</v>
      </c>
      <c r="BW19" s="244"/>
      <c r="BX19" s="238">
        <v>97.439897757476686</v>
      </c>
      <c r="BY19" s="157">
        <v>7526627</v>
      </c>
      <c r="BZ19" s="333">
        <v>0</v>
      </c>
      <c r="CA19" s="377"/>
      <c r="CB19" s="12"/>
    </row>
    <row r="20" spans="1:80" ht="13.5" x14ac:dyDescent="0.25">
      <c r="A20" s="395">
        <v>14</v>
      </c>
      <c r="B20" s="185" t="s">
        <v>206</v>
      </c>
      <c r="D20" s="140"/>
      <c r="E20" s="325">
        <v>2810535</v>
      </c>
      <c r="F20" s="33">
        <v>6490</v>
      </c>
      <c r="G20" s="33">
        <v>314548</v>
      </c>
      <c r="H20" s="33">
        <v>0</v>
      </c>
      <c r="I20" s="284">
        <v>3131573</v>
      </c>
      <c r="J20" s="113">
        <v>135367</v>
      </c>
      <c r="K20" s="15">
        <v>0</v>
      </c>
      <c r="L20" s="15">
        <v>21881</v>
      </c>
      <c r="M20" s="15">
        <v>0</v>
      </c>
      <c r="N20" s="284">
        <v>157248</v>
      </c>
      <c r="O20" s="15">
        <v>140643</v>
      </c>
      <c r="P20" s="15">
        <v>5487</v>
      </c>
      <c r="Q20" s="15">
        <v>21894</v>
      </c>
      <c r="R20" s="15">
        <v>0</v>
      </c>
      <c r="S20" s="284">
        <v>168024</v>
      </c>
      <c r="T20" s="113">
        <v>137614</v>
      </c>
      <c r="U20" s="15">
        <v>53</v>
      </c>
      <c r="V20" s="15">
        <v>24192</v>
      </c>
      <c r="W20" s="15">
        <v>0</v>
      </c>
      <c r="X20" s="284">
        <v>161859</v>
      </c>
      <c r="Y20" s="113">
        <v>155245</v>
      </c>
      <c r="Z20" s="15">
        <v>6</v>
      </c>
      <c r="AA20" s="15">
        <v>22088</v>
      </c>
      <c r="AB20" s="15">
        <v>0</v>
      </c>
      <c r="AC20" s="284">
        <v>177339</v>
      </c>
      <c r="AD20" s="113">
        <v>178565</v>
      </c>
      <c r="AE20" s="15">
        <v>752</v>
      </c>
      <c r="AF20" s="15">
        <v>25970</v>
      </c>
      <c r="AG20" s="15">
        <v>0</v>
      </c>
      <c r="AH20" s="284">
        <v>205287</v>
      </c>
      <c r="AI20" s="113">
        <v>208686</v>
      </c>
      <c r="AJ20" s="15">
        <v>111</v>
      </c>
      <c r="AK20" s="15">
        <v>24989</v>
      </c>
      <c r="AL20" s="15">
        <v>0</v>
      </c>
      <c r="AM20" s="284">
        <v>233786</v>
      </c>
      <c r="AN20" s="113">
        <v>142374</v>
      </c>
      <c r="AO20" s="15">
        <v>332</v>
      </c>
      <c r="AP20" s="15">
        <v>36851</v>
      </c>
      <c r="AQ20" s="15">
        <v>0</v>
      </c>
      <c r="AR20" s="284">
        <v>179557</v>
      </c>
      <c r="AS20" s="113">
        <v>166932</v>
      </c>
      <c r="AT20" s="15">
        <v>336</v>
      </c>
      <c r="AU20" s="15">
        <v>22607</v>
      </c>
      <c r="AV20" s="15">
        <v>0</v>
      </c>
      <c r="AW20" s="284">
        <v>189875</v>
      </c>
      <c r="AX20" s="113">
        <v>154379</v>
      </c>
      <c r="AY20" s="15">
        <v>367</v>
      </c>
      <c r="AZ20" s="15">
        <v>22067</v>
      </c>
      <c r="BA20" s="15">
        <v>0</v>
      </c>
      <c r="BB20" s="284">
        <v>176813</v>
      </c>
      <c r="BC20" s="113">
        <v>141133</v>
      </c>
      <c r="BD20" s="15">
        <v>483</v>
      </c>
      <c r="BE20" s="15">
        <v>25521</v>
      </c>
      <c r="BF20" s="15">
        <v>0</v>
      </c>
      <c r="BG20" s="284">
        <v>167137</v>
      </c>
      <c r="BH20" s="113">
        <v>156246</v>
      </c>
      <c r="BI20" s="15">
        <v>913</v>
      </c>
      <c r="BJ20" s="15">
        <v>24265</v>
      </c>
      <c r="BK20" s="15">
        <v>0</v>
      </c>
      <c r="BL20" s="284">
        <v>181424</v>
      </c>
      <c r="BM20" s="113">
        <v>651180</v>
      </c>
      <c r="BN20" s="15">
        <v>532</v>
      </c>
      <c r="BO20" s="15">
        <v>36148</v>
      </c>
      <c r="BP20" s="15">
        <v>3767</v>
      </c>
      <c r="BQ20" s="284">
        <v>691627</v>
      </c>
      <c r="BR20" s="113">
        <v>2368364</v>
      </c>
      <c r="BS20" s="33">
        <v>9372</v>
      </c>
      <c r="BT20" s="15">
        <v>308473</v>
      </c>
      <c r="BU20" s="15">
        <v>3767</v>
      </c>
      <c r="BV20" s="113">
        <v>2689976</v>
      </c>
      <c r="BW20" s="244"/>
      <c r="BX20" s="238">
        <v>85.898556412384451</v>
      </c>
      <c r="BY20" s="157">
        <v>2689976</v>
      </c>
      <c r="BZ20" s="333">
        <v>0</v>
      </c>
      <c r="CA20" s="377"/>
      <c r="CB20" s="12"/>
    </row>
    <row r="21" spans="1:80" ht="13.5" x14ac:dyDescent="0.25">
      <c r="A21" s="395">
        <v>15</v>
      </c>
      <c r="B21" s="185" t="s">
        <v>207</v>
      </c>
      <c r="D21" s="140"/>
      <c r="E21" s="325">
        <v>112772</v>
      </c>
      <c r="F21" s="33">
        <v>46058</v>
      </c>
      <c r="G21" s="33">
        <v>2855</v>
      </c>
      <c r="H21" s="33">
        <v>0</v>
      </c>
      <c r="I21" s="284">
        <v>161685</v>
      </c>
      <c r="J21" s="113">
        <v>7125</v>
      </c>
      <c r="K21" s="15">
        <v>11929</v>
      </c>
      <c r="L21" s="15">
        <v>63</v>
      </c>
      <c r="M21" s="15">
        <v>0</v>
      </c>
      <c r="N21" s="284">
        <v>19117</v>
      </c>
      <c r="O21" s="15">
        <v>6020</v>
      </c>
      <c r="P21" s="15">
        <v>9</v>
      </c>
      <c r="Q21" s="15">
        <v>51</v>
      </c>
      <c r="R21" s="15"/>
      <c r="S21" s="284">
        <v>6080</v>
      </c>
      <c r="T21" s="113">
        <v>5988</v>
      </c>
      <c r="U21" s="15">
        <v>0</v>
      </c>
      <c r="V21" s="15">
        <v>50</v>
      </c>
      <c r="W21" s="15">
        <v>0</v>
      </c>
      <c r="X21" s="284">
        <v>6038</v>
      </c>
      <c r="Y21" s="113">
        <v>6671</v>
      </c>
      <c r="Z21" s="15">
        <v>11912</v>
      </c>
      <c r="AA21" s="15">
        <v>62</v>
      </c>
      <c r="AB21" s="15"/>
      <c r="AC21" s="284">
        <v>18645</v>
      </c>
      <c r="AD21" s="113">
        <v>6661</v>
      </c>
      <c r="AE21" s="15">
        <v>0</v>
      </c>
      <c r="AF21" s="15">
        <v>49</v>
      </c>
      <c r="AG21" s="15">
        <v>0</v>
      </c>
      <c r="AH21" s="284">
        <v>6710</v>
      </c>
      <c r="AI21" s="113">
        <v>7707</v>
      </c>
      <c r="AJ21" s="15">
        <v>2</v>
      </c>
      <c r="AK21" s="15">
        <v>49</v>
      </c>
      <c r="AL21" s="15">
        <v>0</v>
      </c>
      <c r="AM21" s="284">
        <v>7758</v>
      </c>
      <c r="AN21" s="113">
        <v>7614</v>
      </c>
      <c r="AO21" s="15">
        <v>10</v>
      </c>
      <c r="AP21" s="15">
        <v>0</v>
      </c>
      <c r="AQ21" s="15">
        <v>0</v>
      </c>
      <c r="AR21" s="284">
        <v>7624</v>
      </c>
      <c r="AS21" s="113">
        <v>6786</v>
      </c>
      <c r="AT21" s="15">
        <v>11915</v>
      </c>
      <c r="AU21" s="15">
        <v>98</v>
      </c>
      <c r="AV21" s="15">
        <v>0</v>
      </c>
      <c r="AW21" s="284">
        <v>18799</v>
      </c>
      <c r="AX21" s="113">
        <v>7998</v>
      </c>
      <c r="AY21" s="15">
        <v>1087</v>
      </c>
      <c r="AZ21" s="15">
        <v>429</v>
      </c>
      <c r="BA21" s="15">
        <v>0</v>
      </c>
      <c r="BB21" s="284">
        <v>9514</v>
      </c>
      <c r="BC21" s="113">
        <v>7050</v>
      </c>
      <c r="BD21" s="15">
        <v>10300</v>
      </c>
      <c r="BE21" s="15">
        <v>54</v>
      </c>
      <c r="BF21" s="15"/>
      <c r="BG21" s="284">
        <v>17404</v>
      </c>
      <c r="BH21" s="113">
        <v>6320</v>
      </c>
      <c r="BI21" s="15">
        <v>0</v>
      </c>
      <c r="BJ21" s="15">
        <v>51</v>
      </c>
      <c r="BK21" s="15">
        <v>0</v>
      </c>
      <c r="BL21" s="284">
        <v>6371</v>
      </c>
      <c r="BM21" s="113">
        <v>12492</v>
      </c>
      <c r="BN21" s="15">
        <v>490</v>
      </c>
      <c r="BO21" s="15">
        <v>470</v>
      </c>
      <c r="BP21" s="15">
        <v>0</v>
      </c>
      <c r="BQ21" s="284">
        <v>13452</v>
      </c>
      <c r="BR21" s="113">
        <v>88432</v>
      </c>
      <c r="BS21" s="33">
        <v>47654</v>
      </c>
      <c r="BT21" s="15">
        <v>1426</v>
      </c>
      <c r="BU21" s="15">
        <v>0</v>
      </c>
      <c r="BV21" s="113">
        <v>137512</v>
      </c>
      <c r="BW21" s="244"/>
      <c r="BX21" s="238">
        <v>85.049324303429501</v>
      </c>
      <c r="BY21" s="157">
        <v>137512</v>
      </c>
      <c r="BZ21" s="333">
        <v>0</v>
      </c>
      <c r="CA21" s="377"/>
      <c r="CB21" s="12"/>
    </row>
    <row r="22" spans="1:80" ht="13.5" x14ac:dyDescent="0.25">
      <c r="A22" s="395">
        <v>16</v>
      </c>
      <c r="B22" s="185" t="s">
        <v>208</v>
      </c>
      <c r="D22" s="342"/>
      <c r="E22" s="325">
        <v>2347809</v>
      </c>
      <c r="F22" s="33">
        <v>18794943</v>
      </c>
      <c r="G22" s="33">
        <v>2252220</v>
      </c>
      <c r="H22" s="33">
        <v>0</v>
      </c>
      <c r="I22" s="284">
        <v>23394972</v>
      </c>
      <c r="J22" s="113">
        <v>57684</v>
      </c>
      <c r="K22" s="15">
        <v>3109719</v>
      </c>
      <c r="L22" s="15">
        <v>8522</v>
      </c>
      <c r="M22" s="15">
        <v>0</v>
      </c>
      <c r="N22" s="284">
        <v>3175925</v>
      </c>
      <c r="O22" s="15">
        <v>65633</v>
      </c>
      <c r="P22" s="15">
        <v>3568074</v>
      </c>
      <c r="Q22" s="15">
        <v>4480</v>
      </c>
      <c r="R22" s="15">
        <v>0</v>
      </c>
      <c r="S22" s="284">
        <v>3638187</v>
      </c>
      <c r="T22" s="113">
        <v>68020</v>
      </c>
      <c r="U22" s="15">
        <v>722524</v>
      </c>
      <c r="V22" s="15">
        <v>16584</v>
      </c>
      <c r="W22" s="15">
        <v>0</v>
      </c>
      <c r="X22" s="284">
        <v>807128</v>
      </c>
      <c r="Y22" s="113">
        <v>102392</v>
      </c>
      <c r="Z22" s="15">
        <v>1439251</v>
      </c>
      <c r="AA22" s="15">
        <v>2348</v>
      </c>
      <c r="AB22" s="15">
        <v>0</v>
      </c>
      <c r="AC22" s="284">
        <v>1543991</v>
      </c>
      <c r="AD22" s="113">
        <v>104252</v>
      </c>
      <c r="AE22" s="15">
        <v>2486319</v>
      </c>
      <c r="AF22" s="15">
        <v>16033</v>
      </c>
      <c r="AG22" s="15">
        <v>0</v>
      </c>
      <c r="AH22" s="284">
        <v>2606604</v>
      </c>
      <c r="AI22" s="113">
        <v>497990</v>
      </c>
      <c r="AJ22" s="15">
        <v>568575</v>
      </c>
      <c r="AK22" s="15">
        <v>12138</v>
      </c>
      <c r="AL22" s="15">
        <v>181</v>
      </c>
      <c r="AM22" s="284">
        <v>1078884</v>
      </c>
      <c r="AN22" s="113">
        <v>162767</v>
      </c>
      <c r="AO22" s="15">
        <v>1275278</v>
      </c>
      <c r="AP22" s="15">
        <v>324702</v>
      </c>
      <c r="AQ22" s="15">
        <v>1</v>
      </c>
      <c r="AR22" s="284">
        <v>1762748</v>
      </c>
      <c r="AS22" s="113">
        <v>190512</v>
      </c>
      <c r="AT22" s="15">
        <v>1992545</v>
      </c>
      <c r="AU22" s="15">
        <v>151348</v>
      </c>
      <c r="AV22" s="15">
        <v>211</v>
      </c>
      <c r="AW22" s="284">
        <v>2334616</v>
      </c>
      <c r="AX22" s="113">
        <v>656287</v>
      </c>
      <c r="AY22" s="15">
        <v>729858</v>
      </c>
      <c r="AZ22" s="15">
        <v>69042</v>
      </c>
      <c r="BA22" s="15">
        <v>9</v>
      </c>
      <c r="BB22" s="284">
        <v>1455196</v>
      </c>
      <c r="BC22" s="113">
        <v>67001</v>
      </c>
      <c r="BD22" s="15">
        <v>2753472</v>
      </c>
      <c r="BE22" s="15">
        <v>69735</v>
      </c>
      <c r="BF22" s="15">
        <v>0</v>
      </c>
      <c r="BG22" s="284">
        <v>2890208</v>
      </c>
      <c r="BH22" s="113">
        <v>201140</v>
      </c>
      <c r="BI22" s="15">
        <v>120576</v>
      </c>
      <c r="BJ22" s="15">
        <v>170552</v>
      </c>
      <c r="BK22" s="15">
        <v>0</v>
      </c>
      <c r="BL22" s="284">
        <v>492268</v>
      </c>
      <c r="BM22" s="113">
        <v>188068</v>
      </c>
      <c r="BN22" s="15">
        <v>651389</v>
      </c>
      <c r="BO22" s="15">
        <v>156889</v>
      </c>
      <c r="BP22" s="15">
        <v>422</v>
      </c>
      <c r="BQ22" s="284">
        <v>996768</v>
      </c>
      <c r="BR22" s="113">
        <v>2361746</v>
      </c>
      <c r="BS22" s="33">
        <v>19417580</v>
      </c>
      <c r="BT22" s="15">
        <v>1002373</v>
      </c>
      <c r="BU22" s="15">
        <v>824</v>
      </c>
      <c r="BV22" s="113">
        <v>22782523</v>
      </c>
      <c r="BW22" s="244"/>
      <c r="BX22" s="238">
        <v>97.38213407564669</v>
      </c>
      <c r="BY22" s="157">
        <v>22782523</v>
      </c>
      <c r="BZ22" s="333">
        <v>0</v>
      </c>
      <c r="CA22" s="377"/>
      <c r="CB22" s="12"/>
    </row>
    <row r="23" spans="1:80" ht="13.5" x14ac:dyDescent="0.25">
      <c r="A23" s="395">
        <v>17</v>
      </c>
      <c r="B23" s="185" t="s">
        <v>209</v>
      </c>
      <c r="D23" s="342"/>
      <c r="E23" s="325">
        <v>10079650</v>
      </c>
      <c r="F23" s="33">
        <v>83992019</v>
      </c>
      <c r="G23" s="33">
        <v>23275</v>
      </c>
      <c r="H23" s="33">
        <v>0</v>
      </c>
      <c r="I23" s="284">
        <v>94094944</v>
      </c>
      <c r="J23" s="113">
        <v>700086</v>
      </c>
      <c r="K23" s="15">
        <v>18750650</v>
      </c>
      <c r="L23" s="15">
        <v>12</v>
      </c>
      <c r="M23" s="15">
        <v>0</v>
      </c>
      <c r="N23" s="284">
        <v>19450748</v>
      </c>
      <c r="O23" s="15">
        <v>714467</v>
      </c>
      <c r="P23" s="15">
        <v>10026372</v>
      </c>
      <c r="Q23" s="15">
        <v>5494</v>
      </c>
      <c r="R23" s="15">
        <v>0</v>
      </c>
      <c r="S23" s="284">
        <v>10746333</v>
      </c>
      <c r="T23" s="113">
        <v>713268</v>
      </c>
      <c r="U23" s="15">
        <v>7889601</v>
      </c>
      <c r="V23" s="15">
        <v>685</v>
      </c>
      <c r="W23" s="15">
        <v>0</v>
      </c>
      <c r="X23" s="284">
        <v>8603554</v>
      </c>
      <c r="Y23" s="113">
        <v>732364</v>
      </c>
      <c r="Z23" s="15">
        <v>197468</v>
      </c>
      <c r="AA23" s="15">
        <v>1171</v>
      </c>
      <c r="AB23" s="15">
        <v>0</v>
      </c>
      <c r="AC23" s="284">
        <v>931003</v>
      </c>
      <c r="AD23" s="113">
        <v>739254</v>
      </c>
      <c r="AE23" s="15">
        <v>20754593</v>
      </c>
      <c r="AF23" s="15">
        <v>-3945</v>
      </c>
      <c r="AG23" s="15">
        <v>0</v>
      </c>
      <c r="AH23" s="284">
        <v>21489902</v>
      </c>
      <c r="AI23" s="113">
        <v>843420</v>
      </c>
      <c r="AJ23" s="15">
        <v>11829174</v>
      </c>
      <c r="AK23" s="15">
        <v>-551</v>
      </c>
      <c r="AL23" s="15">
        <v>2</v>
      </c>
      <c r="AM23" s="284">
        <v>12672045</v>
      </c>
      <c r="AN23" s="113">
        <v>723492</v>
      </c>
      <c r="AO23" s="15">
        <v>5551232</v>
      </c>
      <c r="AP23" s="15">
        <v>1021</v>
      </c>
      <c r="AQ23" s="15">
        <v>0</v>
      </c>
      <c r="AR23" s="284">
        <v>6275745</v>
      </c>
      <c r="AS23" s="113">
        <v>754890</v>
      </c>
      <c r="AT23" s="15">
        <v>5384260</v>
      </c>
      <c r="AU23" s="15">
        <v>529</v>
      </c>
      <c r="AV23" s="15">
        <v>0</v>
      </c>
      <c r="AW23" s="284">
        <v>6139679</v>
      </c>
      <c r="AX23" s="113">
        <v>882226</v>
      </c>
      <c r="AY23" s="15">
        <v>221355</v>
      </c>
      <c r="AZ23" s="15">
        <v>231</v>
      </c>
      <c r="BA23" s="15">
        <v>0</v>
      </c>
      <c r="BB23" s="284">
        <v>1103812</v>
      </c>
      <c r="BC23" s="113">
        <v>711134</v>
      </c>
      <c r="BD23" s="15">
        <v>1808230</v>
      </c>
      <c r="BE23" s="15">
        <v>190</v>
      </c>
      <c r="BF23" s="15">
        <v>0</v>
      </c>
      <c r="BG23" s="284">
        <v>2519554</v>
      </c>
      <c r="BH23" s="113">
        <v>843172</v>
      </c>
      <c r="BI23" s="15">
        <v>157262</v>
      </c>
      <c r="BJ23" s="15">
        <v>312</v>
      </c>
      <c r="BK23" s="15">
        <v>0</v>
      </c>
      <c r="BL23" s="284">
        <v>1000746</v>
      </c>
      <c r="BM23" s="113">
        <v>1261993</v>
      </c>
      <c r="BN23" s="15">
        <v>1495190</v>
      </c>
      <c r="BO23" s="15">
        <v>996</v>
      </c>
      <c r="BP23" s="15">
        <v>6179</v>
      </c>
      <c r="BQ23" s="284">
        <v>2764358</v>
      </c>
      <c r="BR23" s="113">
        <v>9619766</v>
      </c>
      <c r="BS23" s="33">
        <v>84065387</v>
      </c>
      <c r="BT23" s="15">
        <v>6145</v>
      </c>
      <c r="BU23" s="15">
        <v>6181</v>
      </c>
      <c r="BV23" s="113">
        <v>93697479</v>
      </c>
      <c r="BW23" s="244"/>
      <c r="BX23" s="238">
        <v>99.577591544132275</v>
      </c>
      <c r="BY23" s="157">
        <v>93697479</v>
      </c>
      <c r="BZ23" s="333">
        <v>0</v>
      </c>
      <c r="CA23" s="377"/>
      <c r="CB23" s="12"/>
    </row>
    <row r="24" spans="1:80" ht="13.5" x14ac:dyDescent="0.25">
      <c r="A24" s="395">
        <v>18</v>
      </c>
      <c r="B24" s="185" t="s">
        <v>210</v>
      </c>
      <c r="D24" s="213"/>
      <c r="E24" s="325">
        <v>3090429</v>
      </c>
      <c r="F24" s="33">
        <v>54166534</v>
      </c>
      <c r="G24" s="33">
        <v>795633</v>
      </c>
      <c r="H24" s="33">
        <v>0</v>
      </c>
      <c r="I24" s="284">
        <v>58052596</v>
      </c>
      <c r="J24" s="113">
        <v>160993</v>
      </c>
      <c r="K24" s="15">
        <v>5064136</v>
      </c>
      <c r="L24" s="15">
        <v>41738</v>
      </c>
      <c r="M24" s="15">
        <v>0</v>
      </c>
      <c r="N24" s="284">
        <v>5266867</v>
      </c>
      <c r="O24" s="15">
        <v>214485</v>
      </c>
      <c r="P24" s="15">
        <v>3604496</v>
      </c>
      <c r="Q24" s="15">
        <v>406945</v>
      </c>
      <c r="R24" s="15">
        <v>0</v>
      </c>
      <c r="S24" s="284">
        <v>4225926</v>
      </c>
      <c r="T24" s="113">
        <v>151588</v>
      </c>
      <c r="U24" s="15">
        <v>3760201</v>
      </c>
      <c r="V24" s="15">
        <v>-330458</v>
      </c>
      <c r="W24" s="15">
        <v>0</v>
      </c>
      <c r="X24" s="284">
        <v>3581331</v>
      </c>
      <c r="Y24" s="113">
        <v>253655</v>
      </c>
      <c r="Z24" s="15">
        <v>5610378</v>
      </c>
      <c r="AA24" s="15">
        <v>217497</v>
      </c>
      <c r="AB24" s="15">
        <v>0</v>
      </c>
      <c r="AC24" s="284">
        <v>6081530</v>
      </c>
      <c r="AD24" s="113">
        <v>161946</v>
      </c>
      <c r="AE24" s="15">
        <v>4026359</v>
      </c>
      <c r="AF24" s="15">
        <v>49127</v>
      </c>
      <c r="AG24" s="15">
        <v>0</v>
      </c>
      <c r="AH24" s="284">
        <v>4237432</v>
      </c>
      <c r="AI24" s="113">
        <v>199306</v>
      </c>
      <c r="AJ24" s="15">
        <v>3846099</v>
      </c>
      <c r="AK24" s="15">
        <v>14444</v>
      </c>
      <c r="AL24" s="15">
        <v>0</v>
      </c>
      <c r="AM24" s="284">
        <v>4059849</v>
      </c>
      <c r="AN24" s="113">
        <v>160032</v>
      </c>
      <c r="AO24" s="15">
        <v>5995795</v>
      </c>
      <c r="AP24" s="15">
        <v>38207</v>
      </c>
      <c r="AQ24" s="15">
        <v>0</v>
      </c>
      <c r="AR24" s="284">
        <v>6194034</v>
      </c>
      <c r="AS24" s="113">
        <v>273288</v>
      </c>
      <c r="AT24" s="15">
        <v>3960471</v>
      </c>
      <c r="AU24" s="15">
        <v>127610</v>
      </c>
      <c r="AV24" s="15">
        <v>0</v>
      </c>
      <c r="AW24" s="284">
        <v>4361369</v>
      </c>
      <c r="AX24" s="113">
        <v>140230</v>
      </c>
      <c r="AY24" s="15">
        <v>4081249</v>
      </c>
      <c r="AZ24" s="15">
        <v>65124</v>
      </c>
      <c r="BA24" s="15">
        <v>0</v>
      </c>
      <c r="BB24" s="284">
        <v>4286603</v>
      </c>
      <c r="BC24" s="113">
        <v>194221</v>
      </c>
      <c r="BD24" s="15">
        <v>6328023</v>
      </c>
      <c r="BE24" s="15">
        <v>5768</v>
      </c>
      <c r="BF24" s="15">
        <v>0</v>
      </c>
      <c r="BG24" s="284">
        <v>6528012</v>
      </c>
      <c r="BH24" s="113">
        <v>319940</v>
      </c>
      <c r="BI24" s="15">
        <v>3902628</v>
      </c>
      <c r="BJ24" s="15">
        <v>18493</v>
      </c>
      <c r="BK24" s="15">
        <v>0</v>
      </c>
      <c r="BL24" s="284">
        <v>4241061</v>
      </c>
      <c r="BM24" s="113">
        <v>774847</v>
      </c>
      <c r="BN24" s="15">
        <v>4224673</v>
      </c>
      <c r="BO24" s="15">
        <v>139960</v>
      </c>
      <c r="BP24" s="15">
        <v>0</v>
      </c>
      <c r="BQ24" s="284">
        <v>5139480</v>
      </c>
      <c r="BR24" s="113">
        <v>3004531</v>
      </c>
      <c r="BS24" s="33">
        <v>54404508</v>
      </c>
      <c r="BT24" s="15">
        <v>794455</v>
      </c>
      <c r="BU24" s="15">
        <v>0</v>
      </c>
      <c r="BV24" s="113">
        <v>58203494</v>
      </c>
      <c r="BW24" s="244"/>
      <c r="BX24" s="238">
        <v>100.25993325087477</v>
      </c>
      <c r="BY24" s="157">
        <v>58203494</v>
      </c>
      <c r="BZ24" s="333">
        <v>0</v>
      </c>
      <c r="CA24" s="377"/>
      <c r="CB24" s="12"/>
    </row>
    <row r="25" spans="1:80" ht="13.5" x14ac:dyDescent="0.25">
      <c r="A25" s="469">
        <v>19</v>
      </c>
      <c r="B25" s="266" t="s">
        <v>211</v>
      </c>
      <c r="D25" s="166" t="s">
        <v>75</v>
      </c>
      <c r="E25" s="325">
        <v>999530</v>
      </c>
      <c r="F25" s="33">
        <v>229795842</v>
      </c>
      <c r="G25" s="33">
        <v>11926</v>
      </c>
      <c r="H25" s="33">
        <v>0</v>
      </c>
      <c r="I25" s="284">
        <v>230807298</v>
      </c>
      <c r="J25" s="113">
        <v>43998</v>
      </c>
      <c r="K25" s="15">
        <v>855041</v>
      </c>
      <c r="L25" s="15">
        <v>0</v>
      </c>
      <c r="M25" s="15">
        <v>0</v>
      </c>
      <c r="N25" s="284">
        <v>899039</v>
      </c>
      <c r="O25" s="15">
        <v>60471</v>
      </c>
      <c r="P25" s="15">
        <v>21334558</v>
      </c>
      <c r="Q25" s="15">
        <v>85</v>
      </c>
      <c r="R25" s="15">
        <v>0</v>
      </c>
      <c r="S25" s="284">
        <v>21395114</v>
      </c>
      <c r="T25" s="113">
        <v>56813</v>
      </c>
      <c r="U25" s="15">
        <v>21174112</v>
      </c>
      <c r="V25" s="15">
        <v>627</v>
      </c>
      <c r="W25" s="15">
        <v>0</v>
      </c>
      <c r="X25" s="284">
        <v>21231552</v>
      </c>
      <c r="Y25" s="113">
        <v>61229</v>
      </c>
      <c r="Z25" s="15">
        <v>33784073</v>
      </c>
      <c r="AA25" s="15">
        <v>1609</v>
      </c>
      <c r="AB25" s="15">
        <v>0</v>
      </c>
      <c r="AC25" s="284">
        <v>33846911</v>
      </c>
      <c r="AD25" s="113">
        <v>56306</v>
      </c>
      <c r="AE25" s="15">
        <v>12761046</v>
      </c>
      <c r="AF25" s="15">
        <v>222</v>
      </c>
      <c r="AG25" s="15">
        <v>0</v>
      </c>
      <c r="AH25" s="284">
        <v>12817574</v>
      </c>
      <c r="AI25" s="113">
        <v>52085</v>
      </c>
      <c r="AJ25" s="15">
        <v>22290720</v>
      </c>
      <c r="AK25" s="15">
        <v>214</v>
      </c>
      <c r="AL25" s="15">
        <v>0</v>
      </c>
      <c r="AM25" s="284">
        <v>22343019</v>
      </c>
      <c r="AN25" s="113">
        <v>74574</v>
      </c>
      <c r="AO25" s="15">
        <v>26846364</v>
      </c>
      <c r="AP25" s="15">
        <v>3777</v>
      </c>
      <c r="AQ25" s="15">
        <v>0</v>
      </c>
      <c r="AR25" s="284">
        <v>26924715</v>
      </c>
      <c r="AS25" s="113">
        <v>65296</v>
      </c>
      <c r="AT25" s="15">
        <v>18551837</v>
      </c>
      <c r="AU25" s="15">
        <v>215</v>
      </c>
      <c r="AV25" s="15">
        <v>0</v>
      </c>
      <c r="AW25" s="284">
        <v>18617348</v>
      </c>
      <c r="AX25" s="113">
        <v>75099</v>
      </c>
      <c r="AY25" s="15">
        <v>18047499</v>
      </c>
      <c r="AZ25" s="15">
        <v>-219</v>
      </c>
      <c r="BA25" s="15">
        <v>0</v>
      </c>
      <c r="BB25" s="284">
        <v>18122379</v>
      </c>
      <c r="BC25" s="113">
        <v>63379</v>
      </c>
      <c r="BD25" s="15">
        <v>18508528</v>
      </c>
      <c r="BE25" s="15">
        <v>466</v>
      </c>
      <c r="BF25" s="15">
        <v>0</v>
      </c>
      <c r="BG25" s="284">
        <v>18572373</v>
      </c>
      <c r="BH25" s="113">
        <v>79963</v>
      </c>
      <c r="BI25" s="15">
        <v>14695889</v>
      </c>
      <c r="BJ25" s="15">
        <v>983</v>
      </c>
      <c r="BK25" s="15">
        <v>0</v>
      </c>
      <c r="BL25" s="284">
        <v>14776835</v>
      </c>
      <c r="BM25" s="113">
        <v>93195</v>
      </c>
      <c r="BN25" s="15">
        <v>21717372</v>
      </c>
      <c r="BO25" s="15">
        <v>986</v>
      </c>
      <c r="BP25" s="15">
        <v>0</v>
      </c>
      <c r="BQ25" s="284">
        <v>21811553</v>
      </c>
      <c r="BR25" s="113">
        <v>782408</v>
      </c>
      <c r="BS25" s="33">
        <v>230567039</v>
      </c>
      <c r="BT25" s="15">
        <v>8965</v>
      </c>
      <c r="BU25" s="15">
        <v>0</v>
      </c>
      <c r="BV25" s="113">
        <v>231358412</v>
      </c>
      <c r="BW25" s="244"/>
      <c r="BX25" s="238">
        <v>100.23877667854333</v>
      </c>
      <c r="BY25" s="157">
        <v>211743087</v>
      </c>
      <c r="BZ25" s="352">
        <v>19615325</v>
      </c>
      <c r="CA25" s="51"/>
      <c r="CB25" s="12"/>
    </row>
    <row r="26" spans="1:80" ht="13.5" x14ac:dyDescent="0.25">
      <c r="A26" s="469">
        <v>20</v>
      </c>
      <c r="B26" s="783" t="s">
        <v>212</v>
      </c>
      <c r="C26" s="783"/>
      <c r="D26" s="342"/>
      <c r="E26" s="325">
        <v>170642</v>
      </c>
      <c r="F26" s="33">
        <v>446653</v>
      </c>
      <c r="G26" s="33">
        <v>3681</v>
      </c>
      <c r="H26" s="33">
        <v>0</v>
      </c>
      <c r="I26" s="284">
        <v>620976</v>
      </c>
      <c r="J26" s="113">
        <v>11804</v>
      </c>
      <c r="K26" s="15">
        <v>7489</v>
      </c>
      <c r="L26" s="15">
        <v>2</v>
      </c>
      <c r="M26" s="15">
        <v>0</v>
      </c>
      <c r="N26" s="284">
        <v>19295</v>
      </c>
      <c r="O26" s="15">
        <v>10986</v>
      </c>
      <c r="P26" s="15">
        <v>127530</v>
      </c>
      <c r="Q26" s="15">
        <v>11</v>
      </c>
      <c r="R26" s="15"/>
      <c r="S26" s="284">
        <v>138527</v>
      </c>
      <c r="T26" s="113">
        <v>10312</v>
      </c>
      <c r="U26" s="15">
        <v>7489</v>
      </c>
      <c r="V26" s="15">
        <v>154</v>
      </c>
      <c r="W26" s="15">
        <v>0</v>
      </c>
      <c r="X26" s="284">
        <v>17955</v>
      </c>
      <c r="Y26" s="113">
        <v>9799</v>
      </c>
      <c r="Z26" s="15">
        <v>7601</v>
      </c>
      <c r="AA26" s="15">
        <v>22</v>
      </c>
      <c r="AB26" s="15"/>
      <c r="AC26" s="284">
        <v>17422</v>
      </c>
      <c r="AD26" s="113">
        <v>11235</v>
      </c>
      <c r="AE26" s="15">
        <v>127489</v>
      </c>
      <c r="AF26" s="15">
        <v>1210</v>
      </c>
      <c r="AG26" s="15">
        <v>0</v>
      </c>
      <c r="AH26" s="284">
        <v>139934</v>
      </c>
      <c r="AI26" s="113">
        <v>11159</v>
      </c>
      <c r="AJ26" s="15">
        <v>-7489</v>
      </c>
      <c r="AK26" s="15">
        <v>48</v>
      </c>
      <c r="AL26" s="15">
        <v>0</v>
      </c>
      <c r="AM26" s="284">
        <v>3718</v>
      </c>
      <c r="AN26" s="113">
        <v>12503</v>
      </c>
      <c r="AO26" s="15">
        <v>6371</v>
      </c>
      <c r="AP26" s="15">
        <v>11</v>
      </c>
      <c r="AQ26" s="15">
        <v>0</v>
      </c>
      <c r="AR26" s="284">
        <v>18885</v>
      </c>
      <c r="AS26" s="113">
        <v>16210</v>
      </c>
      <c r="AT26" s="15">
        <v>119093</v>
      </c>
      <c r="AU26" s="15">
        <v>183</v>
      </c>
      <c r="AV26" s="15">
        <v>0</v>
      </c>
      <c r="AW26" s="284">
        <v>135486</v>
      </c>
      <c r="AX26" s="113">
        <v>14570</v>
      </c>
      <c r="AY26" s="15">
        <v>6108</v>
      </c>
      <c r="AZ26" s="15">
        <v>7</v>
      </c>
      <c r="BA26" s="15">
        <v>0</v>
      </c>
      <c r="BB26" s="284">
        <v>20685</v>
      </c>
      <c r="BC26" s="113">
        <v>10405</v>
      </c>
      <c r="BD26" s="15">
        <v>6108</v>
      </c>
      <c r="BE26" s="15">
        <v>13</v>
      </c>
      <c r="BF26" s="15"/>
      <c r="BG26" s="284">
        <v>16526</v>
      </c>
      <c r="BH26" s="113">
        <v>11955</v>
      </c>
      <c r="BI26" s="15">
        <v>33400</v>
      </c>
      <c r="BJ26" s="15">
        <v>22</v>
      </c>
      <c r="BK26" s="15"/>
      <c r="BL26" s="284">
        <v>45377</v>
      </c>
      <c r="BM26" s="113">
        <v>22896</v>
      </c>
      <c r="BN26" s="15">
        <v>5629</v>
      </c>
      <c r="BO26" s="15">
        <v>357</v>
      </c>
      <c r="BP26" s="15">
        <v>0</v>
      </c>
      <c r="BQ26" s="284">
        <v>28882</v>
      </c>
      <c r="BR26" s="113">
        <v>153834</v>
      </c>
      <c r="BS26" s="33">
        <v>446818</v>
      </c>
      <c r="BT26" s="15">
        <v>2040</v>
      </c>
      <c r="BU26" s="15">
        <v>0</v>
      </c>
      <c r="BV26" s="113">
        <v>602692</v>
      </c>
      <c r="BW26" s="244"/>
      <c r="BX26" s="238">
        <v>97.055602793022601</v>
      </c>
      <c r="BY26" s="157">
        <v>602692</v>
      </c>
      <c r="BZ26" s="333">
        <v>0</v>
      </c>
      <c r="CA26" s="377"/>
      <c r="CB26" s="12"/>
    </row>
    <row r="27" spans="1:80" ht="13.5" x14ac:dyDescent="0.25">
      <c r="A27" s="469">
        <v>21</v>
      </c>
      <c r="B27" s="247" t="s">
        <v>213</v>
      </c>
      <c r="C27" s="247"/>
      <c r="D27" s="342"/>
      <c r="E27" s="325">
        <v>135009</v>
      </c>
      <c r="F27" s="33">
        <v>688</v>
      </c>
      <c r="G27" s="33">
        <v>1471</v>
      </c>
      <c r="H27" s="33">
        <v>0</v>
      </c>
      <c r="I27" s="284">
        <v>137168</v>
      </c>
      <c r="J27" s="113">
        <v>8666</v>
      </c>
      <c r="K27" s="15">
        <v>14</v>
      </c>
      <c r="L27" s="15">
        <v>0</v>
      </c>
      <c r="M27" s="15">
        <v>0</v>
      </c>
      <c r="N27" s="284">
        <v>8680</v>
      </c>
      <c r="O27" s="15">
        <v>9183</v>
      </c>
      <c r="P27" s="15">
        <v>292</v>
      </c>
      <c r="Q27" s="15">
        <v>14</v>
      </c>
      <c r="R27" s="15">
        <v>0</v>
      </c>
      <c r="S27" s="284">
        <v>9489</v>
      </c>
      <c r="T27" s="113">
        <v>8188</v>
      </c>
      <c r="U27" s="15">
        <v>171</v>
      </c>
      <c r="V27" s="15">
        <v>14</v>
      </c>
      <c r="W27" s="15">
        <v>0</v>
      </c>
      <c r="X27" s="284">
        <v>8373</v>
      </c>
      <c r="Y27" s="113">
        <v>9578</v>
      </c>
      <c r="Z27" s="15">
        <v>0</v>
      </c>
      <c r="AA27" s="15">
        <v>29</v>
      </c>
      <c r="AB27" s="15">
        <v>0</v>
      </c>
      <c r="AC27" s="284">
        <v>9607</v>
      </c>
      <c r="AD27" s="113">
        <v>8960</v>
      </c>
      <c r="AE27" s="15">
        <v>0</v>
      </c>
      <c r="AF27" s="15">
        <v>15</v>
      </c>
      <c r="AG27" s="15">
        <v>0</v>
      </c>
      <c r="AH27" s="284">
        <v>8975</v>
      </c>
      <c r="AI27" s="113">
        <v>8958</v>
      </c>
      <c r="AJ27" s="15">
        <v>0</v>
      </c>
      <c r="AK27" s="15">
        <v>24</v>
      </c>
      <c r="AL27" s="15">
        <v>0</v>
      </c>
      <c r="AM27" s="284">
        <v>8982</v>
      </c>
      <c r="AN27" s="113">
        <v>10083</v>
      </c>
      <c r="AO27" s="15">
        <v>19</v>
      </c>
      <c r="AP27" s="15">
        <v>14</v>
      </c>
      <c r="AQ27" s="15">
        <v>0</v>
      </c>
      <c r="AR27" s="284">
        <v>10116</v>
      </c>
      <c r="AS27" s="113">
        <v>13298</v>
      </c>
      <c r="AT27" s="15">
        <v>2</v>
      </c>
      <c r="AU27" s="15">
        <v>874</v>
      </c>
      <c r="AV27" s="15">
        <v>0</v>
      </c>
      <c r="AW27" s="284">
        <v>14174</v>
      </c>
      <c r="AX27" s="113">
        <v>10894</v>
      </c>
      <c r="AY27" s="15">
        <v>172</v>
      </c>
      <c r="AZ27" s="15">
        <v>14</v>
      </c>
      <c r="BA27" s="15">
        <v>0</v>
      </c>
      <c r="BB27" s="284">
        <v>11080</v>
      </c>
      <c r="BC27" s="113">
        <v>8886</v>
      </c>
      <c r="BD27" s="15"/>
      <c r="BE27" s="15">
        <v>22</v>
      </c>
      <c r="BF27" s="15"/>
      <c r="BG27" s="284">
        <v>8908</v>
      </c>
      <c r="BH27" s="113">
        <v>13092</v>
      </c>
      <c r="BI27" s="15">
        <v>0</v>
      </c>
      <c r="BJ27" s="15">
        <v>17</v>
      </c>
      <c r="BK27" s="15">
        <v>0</v>
      </c>
      <c r="BL27" s="284">
        <v>13109</v>
      </c>
      <c r="BM27" s="113">
        <v>15399</v>
      </c>
      <c r="BN27" s="15">
        <v>3</v>
      </c>
      <c r="BO27" s="15">
        <v>4581</v>
      </c>
      <c r="BP27" s="15">
        <v>66</v>
      </c>
      <c r="BQ27" s="284">
        <v>20049</v>
      </c>
      <c r="BR27" s="113">
        <v>125185</v>
      </c>
      <c r="BS27" s="33">
        <v>673</v>
      </c>
      <c r="BT27" s="15">
        <v>5618</v>
      </c>
      <c r="BU27" s="15">
        <v>66</v>
      </c>
      <c r="BV27" s="113">
        <v>131542</v>
      </c>
      <c r="BW27" s="244"/>
      <c r="BX27" s="238">
        <v>95.89846028228159</v>
      </c>
      <c r="BY27" s="157">
        <v>131542</v>
      </c>
      <c r="BZ27" s="333">
        <v>0</v>
      </c>
      <c r="CA27" s="377"/>
      <c r="CB27" s="12"/>
    </row>
    <row r="28" spans="1:80" ht="13.5" x14ac:dyDescent="0.25">
      <c r="A28" s="395">
        <v>22</v>
      </c>
      <c r="B28" s="185" t="s">
        <v>214</v>
      </c>
      <c r="D28" s="148"/>
      <c r="E28" s="325">
        <v>23835465</v>
      </c>
      <c r="F28" s="33">
        <v>1040581</v>
      </c>
      <c r="G28" s="33">
        <v>720791</v>
      </c>
      <c r="H28" s="33">
        <v>0</v>
      </c>
      <c r="I28" s="284">
        <v>25596837</v>
      </c>
      <c r="J28" s="113">
        <v>1623163</v>
      </c>
      <c r="K28" s="15">
        <v>12933</v>
      </c>
      <c r="L28" s="15">
        <v>778</v>
      </c>
      <c r="M28" s="15">
        <v>0</v>
      </c>
      <c r="N28" s="284">
        <v>1636874</v>
      </c>
      <c r="O28" s="15">
        <v>1869662</v>
      </c>
      <c r="P28" s="15">
        <v>53298</v>
      </c>
      <c r="Q28" s="15">
        <v>2364</v>
      </c>
      <c r="R28" s="15">
        <v>0</v>
      </c>
      <c r="S28" s="284">
        <v>1925324</v>
      </c>
      <c r="T28" s="113">
        <v>1900184</v>
      </c>
      <c r="U28" s="15">
        <v>67576</v>
      </c>
      <c r="V28" s="15">
        <v>53474</v>
      </c>
      <c r="W28" s="15">
        <v>0</v>
      </c>
      <c r="X28" s="284">
        <v>2021234</v>
      </c>
      <c r="Y28" s="113">
        <v>2047080</v>
      </c>
      <c r="Z28" s="15">
        <v>58734</v>
      </c>
      <c r="AA28" s="15">
        <v>15675</v>
      </c>
      <c r="AB28" s="15">
        <v>0</v>
      </c>
      <c r="AC28" s="284">
        <v>2121489</v>
      </c>
      <c r="AD28" s="113">
        <v>2048652</v>
      </c>
      <c r="AE28" s="15">
        <v>88791</v>
      </c>
      <c r="AF28" s="15">
        <v>10397</v>
      </c>
      <c r="AG28" s="15">
        <v>0</v>
      </c>
      <c r="AH28" s="284">
        <v>2147840</v>
      </c>
      <c r="AI28" s="113">
        <v>2122651</v>
      </c>
      <c r="AJ28" s="15">
        <v>90376</v>
      </c>
      <c r="AK28" s="15">
        <v>29586</v>
      </c>
      <c r="AL28" s="15">
        <v>0</v>
      </c>
      <c r="AM28" s="284">
        <v>2242613</v>
      </c>
      <c r="AN28" s="113">
        <v>2074895</v>
      </c>
      <c r="AO28" s="15">
        <v>70578</v>
      </c>
      <c r="AP28" s="15">
        <v>19778</v>
      </c>
      <c r="AQ28" s="15">
        <v>0</v>
      </c>
      <c r="AR28" s="284">
        <v>2165251</v>
      </c>
      <c r="AS28" s="113">
        <v>1961137</v>
      </c>
      <c r="AT28" s="15">
        <v>24713</v>
      </c>
      <c r="AU28" s="15">
        <v>11271</v>
      </c>
      <c r="AV28" s="15">
        <v>0</v>
      </c>
      <c r="AW28" s="284">
        <v>1997121</v>
      </c>
      <c r="AX28" s="113">
        <v>1922089</v>
      </c>
      <c r="AY28" s="15">
        <v>112641</v>
      </c>
      <c r="AZ28" s="15">
        <v>12920</v>
      </c>
      <c r="BA28" s="15">
        <v>0</v>
      </c>
      <c r="BB28" s="284">
        <v>2047650</v>
      </c>
      <c r="BC28" s="113">
        <v>1741195</v>
      </c>
      <c r="BD28" s="15">
        <v>18602</v>
      </c>
      <c r="BE28" s="15">
        <v>7813</v>
      </c>
      <c r="BF28" s="15">
        <v>0</v>
      </c>
      <c r="BG28" s="284">
        <v>1767610</v>
      </c>
      <c r="BH28" s="113">
        <v>2012492</v>
      </c>
      <c r="BI28" s="15">
        <v>151570</v>
      </c>
      <c r="BJ28" s="15">
        <v>63082</v>
      </c>
      <c r="BK28" s="15">
        <v>0</v>
      </c>
      <c r="BL28" s="284">
        <v>2227144</v>
      </c>
      <c r="BM28" s="113">
        <v>2524125</v>
      </c>
      <c r="BN28" s="15">
        <v>84051</v>
      </c>
      <c r="BO28" s="15">
        <v>113390</v>
      </c>
      <c r="BP28" s="15">
        <v>5504</v>
      </c>
      <c r="BQ28" s="284">
        <v>2727070</v>
      </c>
      <c r="BR28" s="113">
        <v>23847325</v>
      </c>
      <c r="BS28" s="33">
        <v>833863</v>
      </c>
      <c r="BT28" s="15">
        <v>340528</v>
      </c>
      <c r="BU28" s="15">
        <v>5504</v>
      </c>
      <c r="BV28" s="113">
        <v>25027220</v>
      </c>
      <c r="BW28" s="244"/>
      <c r="BX28" s="238">
        <v>97.774658642393987</v>
      </c>
      <c r="BY28" s="157">
        <v>25027220</v>
      </c>
      <c r="BZ28" s="333">
        <v>0</v>
      </c>
      <c r="CA28" s="377"/>
      <c r="CB28" s="12"/>
    </row>
    <row r="29" spans="1:80" ht="13.5" x14ac:dyDescent="0.25">
      <c r="A29" s="395">
        <v>23</v>
      </c>
      <c r="B29" s="185" t="s">
        <v>215</v>
      </c>
      <c r="D29" s="342"/>
      <c r="E29" s="325">
        <v>46146842</v>
      </c>
      <c r="F29" s="33">
        <v>6835869</v>
      </c>
      <c r="G29" s="33">
        <v>1218576</v>
      </c>
      <c r="H29" s="33">
        <v>0</v>
      </c>
      <c r="I29" s="284">
        <v>54201287</v>
      </c>
      <c r="J29" s="113">
        <v>2933087</v>
      </c>
      <c r="K29" s="15">
        <v>678492</v>
      </c>
      <c r="L29" s="15">
        <v>10249</v>
      </c>
      <c r="M29" s="15">
        <v>0</v>
      </c>
      <c r="N29" s="284">
        <v>3621828</v>
      </c>
      <c r="O29" s="15">
        <v>4068881</v>
      </c>
      <c r="P29" s="15">
        <v>495981</v>
      </c>
      <c r="Q29" s="15">
        <v>138137</v>
      </c>
      <c r="R29" s="15">
        <v>0</v>
      </c>
      <c r="S29" s="284">
        <v>4702999</v>
      </c>
      <c r="T29" s="113">
        <v>3355923</v>
      </c>
      <c r="U29" s="15">
        <v>426125</v>
      </c>
      <c r="V29" s="15">
        <v>74664</v>
      </c>
      <c r="W29" s="15">
        <v>0</v>
      </c>
      <c r="X29" s="284">
        <v>3856712</v>
      </c>
      <c r="Y29" s="113">
        <v>3594350</v>
      </c>
      <c r="Z29" s="15">
        <v>787951</v>
      </c>
      <c r="AA29" s="15">
        <v>15588</v>
      </c>
      <c r="AB29" s="15">
        <v>0</v>
      </c>
      <c r="AC29" s="284">
        <v>4397889</v>
      </c>
      <c r="AD29" s="113">
        <v>3890738</v>
      </c>
      <c r="AE29" s="15">
        <v>424547</v>
      </c>
      <c r="AF29" s="15">
        <v>194372</v>
      </c>
      <c r="AG29" s="15">
        <v>0</v>
      </c>
      <c r="AH29" s="284">
        <v>4509657</v>
      </c>
      <c r="AI29" s="113">
        <v>3794447</v>
      </c>
      <c r="AJ29" s="15">
        <v>402390</v>
      </c>
      <c r="AK29" s="15">
        <v>64987</v>
      </c>
      <c r="AL29" s="15">
        <v>0</v>
      </c>
      <c r="AM29" s="284">
        <v>4261824</v>
      </c>
      <c r="AN29" s="113">
        <v>4081025</v>
      </c>
      <c r="AO29" s="15">
        <v>763028</v>
      </c>
      <c r="AP29" s="15">
        <v>56314</v>
      </c>
      <c r="AQ29" s="15">
        <v>0</v>
      </c>
      <c r="AR29" s="284">
        <v>4900367</v>
      </c>
      <c r="AS29" s="113">
        <v>3472768</v>
      </c>
      <c r="AT29" s="15">
        <v>426151</v>
      </c>
      <c r="AU29" s="15">
        <v>40854</v>
      </c>
      <c r="AV29" s="15">
        <v>0</v>
      </c>
      <c r="AW29" s="284">
        <v>3939773</v>
      </c>
      <c r="AX29" s="113">
        <v>3438067</v>
      </c>
      <c r="AY29" s="15">
        <v>420481</v>
      </c>
      <c r="AZ29" s="15">
        <v>24866</v>
      </c>
      <c r="BA29" s="15">
        <v>0</v>
      </c>
      <c r="BB29" s="284">
        <v>3883414</v>
      </c>
      <c r="BC29" s="113">
        <v>3595147</v>
      </c>
      <c r="BD29" s="15">
        <v>712030</v>
      </c>
      <c r="BE29" s="15">
        <v>96614</v>
      </c>
      <c r="BF29" s="15">
        <v>0</v>
      </c>
      <c r="BG29" s="284">
        <v>4403791</v>
      </c>
      <c r="BH29" s="113">
        <v>3646271</v>
      </c>
      <c r="BI29" s="15">
        <v>667770</v>
      </c>
      <c r="BJ29" s="15">
        <v>28008</v>
      </c>
      <c r="BK29" s="15">
        <v>0</v>
      </c>
      <c r="BL29" s="284">
        <v>4342049</v>
      </c>
      <c r="BM29" s="113">
        <v>4577521</v>
      </c>
      <c r="BN29" s="15">
        <v>1503795</v>
      </c>
      <c r="BO29" s="15">
        <v>726238</v>
      </c>
      <c r="BP29" s="15">
        <v>0</v>
      </c>
      <c r="BQ29" s="284">
        <v>6807554</v>
      </c>
      <c r="BR29" s="113">
        <v>44448225</v>
      </c>
      <c r="BS29" s="33">
        <v>7708741</v>
      </c>
      <c r="BT29" s="15">
        <v>1470891</v>
      </c>
      <c r="BU29" s="15">
        <v>0</v>
      </c>
      <c r="BV29" s="113">
        <v>53627857</v>
      </c>
      <c r="BW29" s="244"/>
      <c r="BX29" s="238">
        <v>98.942036191871239</v>
      </c>
      <c r="BY29" s="157">
        <v>53627857</v>
      </c>
      <c r="BZ29" s="333">
        <v>0</v>
      </c>
      <c r="CA29" s="377"/>
      <c r="CB29" s="12"/>
    </row>
    <row r="30" spans="1:80" ht="13.5" x14ac:dyDescent="0.25">
      <c r="A30" s="395">
        <v>24</v>
      </c>
      <c r="B30" s="185" t="s">
        <v>216</v>
      </c>
      <c r="D30" s="324"/>
      <c r="E30" s="325">
        <v>334662</v>
      </c>
      <c r="F30" s="33">
        <v>820</v>
      </c>
      <c r="G30" s="33">
        <v>5494</v>
      </c>
      <c r="H30" s="33">
        <v>0</v>
      </c>
      <c r="I30" s="284">
        <v>340976</v>
      </c>
      <c r="J30" s="113">
        <v>58387</v>
      </c>
      <c r="K30" s="15">
        <v>0</v>
      </c>
      <c r="L30" s="15">
        <v>2856</v>
      </c>
      <c r="M30" s="15">
        <v>0</v>
      </c>
      <c r="N30" s="284">
        <v>61243</v>
      </c>
      <c r="O30" s="15">
        <v>23209</v>
      </c>
      <c r="P30" s="15">
        <v>54</v>
      </c>
      <c r="Q30" s="15">
        <v>0</v>
      </c>
      <c r="R30" s="15">
        <v>0</v>
      </c>
      <c r="S30" s="284">
        <v>23263</v>
      </c>
      <c r="T30" s="113">
        <v>22095</v>
      </c>
      <c r="U30" s="15">
        <v>36</v>
      </c>
      <c r="V30" s="15">
        <v>0</v>
      </c>
      <c r="W30" s="15">
        <v>0</v>
      </c>
      <c r="X30" s="284">
        <v>22131</v>
      </c>
      <c r="Y30" s="113">
        <v>21325</v>
      </c>
      <c r="Z30" s="15">
        <v>1</v>
      </c>
      <c r="AA30" s="15">
        <v>0</v>
      </c>
      <c r="AB30" s="15">
        <v>0</v>
      </c>
      <c r="AC30" s="284">
        <v>21326</v>
      </c>
      <c r="AD30" s="113">
        <v>21927</v>
      </c>
      <c r="AE30" s="15">
        <v>750</v>
      </c>
      <c r="AF30" s="15">
        <v>32</v>
      </c>
      <c r="AG30" s="15">
        <v>0</v>
      </c>
      <c r="AH30" s="284">
        <v>22709</v>
      </c>
      <c r="AI30" s="113">
        <v>22356</v>
      </c>
      <c r="AJ30" s="15">
        <v>0</v>
      </c>
      <c r="AK30" s="15">
        <v>321</v>
      </c>
      <c r="AL30" s="15">
        <v>0</v>
      </c>
      <c r="AM30" s="284">
        <v>22677</v>
      </c>
      <c r="AN30" s="113">
        <v>28649</v>
      </c>
      <c r="AO30" s="15">
        <v>51</v>
      </c>
      <c r="AP30" s="15">
        <v>8</v>
      </c>
      <c r="AQ30" s="15">
        <v>0</v>
      </c>
      <c r="AR30" s="284">
        <v>28708</v>
      </c>
      <c r="AS30" s="113">
        <v>34658</v>
      </c>
      <c r="AT30" s="15">
        <v>1</v>
      </c>
      <c r="AU30" s="15">
        <v>0</v>
      </c>
      <c r="AV30" s="15">
        <v>0</v>
      </c>
      <c r="AW30" s="284">
        <v>34659</v>
      </c>
      <c r="AX30" s="113">
        <v>25493</v>
      </c>
      <c r="AY30" s="15">
        <v>137</v>
      </c>
      <c r="AZ30" s="15">
        <v>-23</v>
      </c>
      <c r="BA30" s="15">
        <v>0</v>
      </c>
      <c r="BB30" s="284">
        <v>25607</v>
      </c>
      <c r="BC30" s="113">
        <v>20084</v>
      </c>
      <c r="BD30" s="15">
        <v>37</v>
      </c>
      <c r="BE30" s="15">
        <v>0</v>
      </c>
      <c r="BF30" s="15">
        <v>0</v>
      </c>
      <c r="BG30" s="284">
        <v>20121</v>
      </c>
      <c r="BH30" s="113">
        <v>23374</v>
      </c>
      <c r="BI30" s="15">
        <v>0</v>
      </c>
      <c r="BJ30" s="15">
        <v>0</v>
      </c>
      <c r="BK30" s="15">
        <v>0</v>
      </c>
      <c r="BL30" s="284">
        <v>23374</v>
      </c>
      <c r="BM30" s="113">
        <v>32276</v>
      </c>
      <c r="BN30" s="15">
        <v>451</v>
      </c>
      <c r="BO30" s="15">
        <v>2393</v>
      </c>
      <c r="BP30" s="15">
        <v>1</v>
      </c>
      <c r="BQ30" s="284">
        <v>35121</v>
      </c>
      <c r="BR30" s="113">
        <v>333833</v>
      </c>
      <c r="BS30" s="33">
        <v>1518</v>
      </c>
      <c r="BT30" s="15">
        <v>5587</v>
      </c>
      <c r="BU30" s="15">
        <v>1</v>
      </c>
      <c r="BV30" s="113">
        <v>340939</v>
      </c>
      <c r="BW30" s="244"/>
      <c r="BX30" s="238">
        <v>99.989148796396236</v>
      </c>
      <c r="BY30" s="157">
        <v>340939</v>
      </c>
      <c r="BZ30" s="333">
        <v>0</v>
      </c>
      <c r="CA30" s="377"/>
      <c r="CB30" s="12"/>
    </row>
    <row r="31" spans="1:80" ht="13.5" x14ac:dyDescent="0.25">
      <c r="A31" s="395">
        <v>25</v>
      </c>
      <c r="B31" s="185" t="s">
        <v>217</v>
      </c>
      <c r="D31" s="342"/>
      <c r="E31" s="325">
        <v>14842532</v>
      </c>
      <c r="F31" s="33">
        <v>2989640</v>
      </c>
      <c r="G31" s="33">
        <v>833523</v>
      </c>
      <c r="H31" s="33">
        <v>589</v>
      </c>
      <c r="I31" s="284">
        <v>18666284</v>
      </c>
      <c r="J31" s="113">
        <v>897125</v>
      </c>
      <c r="K31" s="15">
        <v>255458</v>
      </c>
      <c r="L31" s="15">
        <v>3066</v>
      </c>
      <c r="M31" s="15">
        <v>0</v>
      </c>
      <c r="N31" s="284">
        <v>1155649</v>
      </c>
      <c r="O31" s="15">
        <v>904840</v>
      </c>
      <c r="P31" s="15">
        <v>258171</v>
      </c>
      <c r="Q31" s="15">
        <v>162238</v>
      </c>
      <c r="R31" s="15">
        <v>294</v>
      </c>
      <c r="S31" s="284">
        <v>1325543</v>
      </c>
      <c r="T31" s="113">
        <v>898753</v>
      </c>
      <c r="U31" s="15">
        <v>258449</v>
      </c>
      <c r="V31" s="15">
        <v>11048</v>
      </c>
      <c r="W31" s="15">
        <v>0</v>
      </c>
      <c r="X31" s="284">
        <v>1168250</v>
      </c>
      <c r="Y31" s="113">
        <v>1036875</v>
      </c>
      <c r="Z31" s="15">
        <v>259193</v>
      </c>
      <c r="AA31" s="15">
        <v>23392</v>
      </c>
      <c r="AB31" s="15">
        <v>160</v>
      </c>
      <c r="AC31" s="284">
        <v>1319620</v>
      </c>
      <c r="AD31" s="113">
        <v>1105159</v>
      </c>
      <c r="AE31" s="15">
        <v>275831</v>
      </c>
      <c r="AF31" s="15">
        <v>17367</v>
      </c>
      <c r="AG31" s="15">
        <v>135</v>
      </c>
      <c r="AH31" s="284">
        <v>1398492</v>
      </c>
      <c r="AI31" s="113">
        <v>1089995</v>
      </c>
      <c r="AJ31" s="15">
        <v>258684</v>
      </c>
      <c r="AK31" s="15">
        <v>44576</v>
      </c>
      <c r="AL31" s="15">
        <v>22</v>
      </c>
      <c r="AM31" s="284">
        <v>1393277</v>
      </c>
      <c r="AN31" s="113">
        <v>1078416</v>
      </c>
      <c r="AO31" s="15">
        <v>259517</v>
      </c>
      <c r="AP31" s="15">
        <v>34788</v>
      </c>
      <c r="AQ31" s="15">
        <v>-19</v>
      </c>
      <c r="AR31" s="284">
        <v>1372702</v>
      </c>
      <c r="AS31" s="113">
        <v>1197347</v>
      </c>
      <c r="AT31" s="15">
        <v>262390</v>
      </c>
      <c r="AU31" s="15">
        <v>38570</v>
      </c>
      <c r="AV31" s="15">
        <v>0</v>
      </c>
      <c r="AW31" s="284">
        <v>1498307</v>
      </c>
      <c r="AX31" s="113">
        <v>1295748</v>
      </c>
      <c r="AY31" s="15">
        <v>276546</v>
      </c>
      <c r="AZ31" s="15">
        <v>26415</v>
      </c>
      <c r="BA31" s="15">
        <v>58</v>
      </c>
      <c r="BB31" s="284">
        <v>1598767</v>
      </c>
      <c r="BC31" s="113">
        <v>894233</v>
      </c>
      <c r="BD31" s="15">
        <v>264840</v>
      </c>
      <c r="BE31" s="15">
        <v>15674</v>
      </c>
      <c r="BF31" s="15">
        <v>0</v>
      </c>
      <c r="BG31" s="284">
        <v>1174747</v>
      </c>
      <c r="BH31" s="113">
        <v>1052941</v>
      </c>
      <c r="BI31" s="15">
        <v>198442</v>
      </c>
      <c r="BJ31" s="15">
        <v>71073</v>
      </c>
      <c r="BK31" s="15">
        <v>1341</v>
      </c>
      <c r="BL31" s="284">
        <v>1323797</v>
      </c>
      <c r="BM31" s="113">
        <v>2593801</v>
      </c>
      <c r="BN31" s="15">
        <v>206765</v>
      </c>
      <c r="BO31" s="15">
        <v>187510</v>
      </c>
      <c r="BP31" s="15">
        <v>11580</v>
      </c>
      <c r="BQ31" s="284">
        <v>2999656</v>
      </c>
      <c r="BR31" s="113">
        <v>14045233</v>
      </c>
      <c r="BS31" s="33">
        <v>3034286</v>
      </c>
      <c r="BT31" s="15">
        <v>635717</v>
      </c>
      <c r="BU31" s="15">
        <v>13571</v>
      </c>
      <c r="BV31" s="113">
        <v>17728807</v>
      </c>
      <c r="BW31" s="244"/>
      <c r="BX31" s="238">
        <v>94.977698828540269</v>
      </c>
      <c r="BY31" s="157">
        <v>17728807</v>
      </c>
      <c r="BZ31" s="333">
        <v>0</v>
      </c>
      <c r="CA31" s="377"/>
      <c r="CB31" s="12"/>
    </row>
    <row r="32" spans="1:80" ht="13.5" x14ac:dyDescent="0.25">
      <c r="A32" s="395">
        <v>26</v>
      </c>
      <c r="B32" s="185" t="s">
        <v>218</v>
      </c>
      <c r="D32" s="342"/>
      <c r="E32" s="325">
        <v>335889</v>
      </c>
      <c r="F32" s="33">
        <v>126653</v>
      </c>
      <c r="G32" s="33">
        <v>17800</v>
      </c>
      <c r="H32" s="33">
        <v>0</v>
      </c>
      <c r="I32" s="284">
        <v>480342</v>
      </c>
      <c r="J32" s="113">
        <v>11573</v>
      </c>
      <c r="K32" s="15">
        <v>1526</v>
      </c>
      <c r="L32" s="15">
        <v>39</v>
      </c>
      <c r="M32" s="15">
        <v>0</v>
      </c>
      <c r="N32" s="284">
        <v>13138</v>
      </c>
      <c r="O32" s="15">
        <v>11588</v>
      </c>
      <c r="P32" s="15">
        <v>1414</v>
      </c>
      <c r="Q32" s="15">
        <v>0</v>
      </c>
      <c r="R32" s="15">
        <v>0</v>
      </c>
      <c r="S32" s="284">
        <v>13002</v>
      </c>
      <c r="T32" s="113">
        <v>14811</v>
      </c>
      <c r="U32" s="15">
        <v>3519</v>
      </c>
      <c r="V32" s="15">
        <v>87</v>
      </c>
      <c r="W32" s="15">
        <v>0</v>
      </c>
      <c r="X32" s="284">
        <v>18417</v>
      </c>
      <c r="Y32" s="113">
        <v>16800</v>
      </c>
      <c r="Z32" s="15">
        <v>6209</v>
      </c>
      <c r="AA32" s="15">
        <v>137</v>
      </c>
      <c r="AB32" s="15"/>
      <c r="AC32" s="284">
        <v>23146</v>
      </c>
      <c r="AD32" s="113">
        <v>14775</v>
      </c>
      <c r="AE32" s="15">
        <v>5257</v>
      </c>
      <c r="AF32" s="15">
        <v>527</v>
      </c>
      <c r="AG32" s="15">
        <v>0</v>
      </c>
      <c r="AH32" s="284">
        <v>20559</v>
      </c>
      <c r="AI32" s="113">
        <v>25679</v>
      </c>
      <c r="AJ32" s="15">
        <v>8677</v>
      </c>
      <c r="AK32" s="15">
        <v>349</v>
      </c>
      <c r="AL32" s="15">
        <v>0</v>
      </c>
      <c r="AM32" s="284">
        <v>34705</v>
      </c>
      <c r="AN32" s="113">
        <v>36042</v>
      </c>
      <c r="AO32" s="15">
        <v>9047</v>
      </c>
      <c r="AP32" s="15">
        <v>-87</v>
      </c>
      <c r="AQ32" s="15">
        <v>0</v>
      </c>
      <c r="AR32" s="284">
        <v>45002</v>
      </c>
      <c r="AS32" s="113">
        <v>16993</v>
      </c>
      <c r="AT32" s="15">
        <v>9300</v>
      </c>
      <c r="AU32" s="15">
        <v>87</v>
      </c>
      <c r="AV32" s="15">
        <v>0</v>
      </c>
      <c r="AW32" s="284">
        <v>26380</v>
      </c>
      <c r="AX32" s="113">
        <v>36387</v>
      </c>
      <c r="AY32" s="15">
        <v>6746</v>
      </c>
      <c r="AZ32" s="15">
        <v>57</v>
      </c>
      <c r="BA32" s="15">
        <v>0</v>
      </c>
      <c r="BB32" s="284">
        <v>43190</v>
      </c>
      <c r="BC32" s="113">
        <v>18618</v>
      </c>
      <c r="BD32" s="15">
        <v>4986</v>
      </c>
      <c r="BE32" s="15">
        <v>-148</v>
      </c>
      <c r="BF32" s="15"/>
      <c r="BG32" s="284">
        <v>23456</v>
      </c>
      <c r="BH32" s="113">
        <v>27641</v>
      </c>
      <c r="BI32" s="15">
        <v>5642</v>
      </c>
      <c r="BJ32" s="15">
        <v>231</v>
      </c>
      <c r="BK32" s="15"/>
      <c r="BL32" s="284">
        <v>33514</v>
      </c>
      <c r="BM32" s="113">
        <v>81200</v>
      </c>
      <c r="BN32" s="15">
        <v>49015</v>
      </c>
      <c r="BO32" s="15">
        <v>82</v>
      </c>
      <c r="BP32" s="15">
        <v>0</v>
      </c>
      <c r="BQ32" s="284">
        <v>130297</v>
      </c>
      <c r="BR32" s="113">
        <v>312107</v>
      </c>
      <c r="BS32" s="33">
        <v>111338</v>
      </c>
      <c r="BT32" s="15">
        <v>1361</v>
      </c>
      <c r="BU32" s="15">
        <v>0</v>
      </c>
      <c r="BV32" s="113">
        <v>424806</v>
      </c>
      <c r="BW32" s="244"/>
      <c r="BX32" s="238">
        <v>88.438237755599133</v>
      </c>
      <c r="BY32" s="157">
        <v>424806</v>
      </c>
      <c r="BZ32" s="333">
        <v>0</v>
      </c>
      <c r="CA32" s="377"/>
      <c r="CB32" s="12"/>
    </row>
    <row r="33" spans="1:80" ht="13.5" x14ac:dyDescent="0.25">
      <c r="A33" s="395">
        <v>27</v>
      </c>
      <c r="B33" s="7" t="s">
        <v>219</v>
      </c>
      <c r="D33" s="342"/>
      <c r="E33" s="325">
        <v>1076504</v>
      </c>
      <c r="F33" s="33">
        <v>1416</v>
      </c>
      <c r="G33" s="33">
        <v>110201</v>
      </c>
      <c r="H33" s="33">
        <v>0</v>
      </c>
      <c r="I33" s="284">
        <v>1188121</v>
      </c>
      <c r="J33" s="113">
        <v>68062</v>
      </c>
      <c r="K33" s="15">
        <v>2</v>
      </c>
      <c r="L33" s="15">
        <v>1098</v>
      </c>
      <c r="M33" s="15">
        <v>0</v>
      </c>
      <c r="N33" s="284">
        <v>69162</v>
      </c>
      <c r="O33" s="15">
        <v>66302</v>
      </c>
      <c r="P33" s="15">
        <v>86</v>
      </c>
      <c r="Q33" s="15">
        <v>4854</v>
      </c>
      <c r="R33" s="15">
        <v>0</v>
      </c>
      <c r="S33" s="284">
        <v>71242</v>
      </c>
      <c r="T33" s="113">
        <v>72926</v>
      </c>
      <c r="U33" s="15">
        <v>34</v>
      </c>
      <c r="V33" s="15">
        <v>4497</v>
      </c>
      <c r="W33" s="15">
        <v>0</v>
      </c>
      <c r="X33" s="284">
        <v>77457</v>
      </c>
      <c r="Y33" s="113">
        <v>74721</v>
      </c>
      <c r="Z33" s="15">
        <v>95</v>
      </c>
      <c r="AA33" s="15">
        <v>6365</v>
      </c>
      <c r="AB33" s="15">
        <v>0</v>
      </c>
      <c r="AC33" s="284">
        <v>81181</v>
      </c>
      <c r="AD33" s="113">
        <v>74064</v>
      </c>
      <c r="AE33" s="15">
        <v>175</v>
      </c>
      <c r="AF33" s="15">
        <v>10873</v>
      </c>
      <c r="AG33" s="15">
        <v>0</v>
      </c>
      <c r="AH33" s="284">
        <v>85112</v>
      </c>
      <c r="AI33" s="113">
        <v>73247</v>
      </c>
      <c r="AJ33" s="15">
        <v>57</v>
      </c>
      <c r="AK33" s="15">
        <v>3347</v>
      </c>
      <c r="AL33" s="15">
        <v>0</v>
      </c>
      <c r="AM33" s="284">
        <v>76651</v>
      </c>
      <c r="AN33" s="113">
        <v>97757</v>
      </c>
      <c r="AO33" s="15">
        <v>236</v>
      </c>
      <c r="AP33" s="15">
        <v>17771</v>
      </c>
      <c r="AQ33" s="15">
        <v>0</v>
      </c>
      <c r="AR33" s="284">
        <v>115764</v>
      </c>
      <c r="AS33" s="113">
        <v>74695</v>
      </c>
      <c r="AT33" s="15">
        <v>505</v>
      </c>
      <c r="AU33" s="15">
        <v>5766</v>
      </c>
      <c r="AV33" s="15">
        <v>0</v>
      </c>
      <c r="AW33" s="284">
        <v>80966</v>
      </c>
      <c r="AX33" s="113">
        <v>83444</v>
      </c>
      <c r="AY33" s="15">
        <v>915</v>
      </c>
      <c r="AZ33" s="15">
        <v>7824</v>
      </c>
      <c r="BA33" s="15">
        <v>0</v>
      </c>
      <c r="BB33" s="284">
        <v>92183</v>
      </c>
      <c r="BC33" s="113">
        <v>71084</v>
      </c>
      <c r="BD33" s="15">
        <v>482</v>
      </c>
      <c r="BE33" s="15">
        <v>6441</v>
      </c>
      <c r="BF33" s="15">
        <v>0</v>
      </c>
      <c r="BG33" s="284">
        <v>78007</v>
      </c>
      <c r="BH33" s="113">
        <v>78592</v>
      </c>
      <c r="BI33" s="15">
        <v>335</v>
      </c>
      <c r="BJ33" s="15">
        <v>19697</v>
      </c>
      <c r="BK33" s="15">
        <v>0</v>
      </c>
      <c r="BL33" s="284">
        <v>98624</v>
      </c>
      <c r="BM33" s="113">
        <v>135802</v>
      </c>
      <c r="BN33" s="15">
        <v>613</v>
      </c>
      <c r="BO33" s="15">
        <v>9164</v>
      </c>
      <c r="BP33" s="15">
        <v>97</v>
      </c>
      <c r="BQ33" s="284">
        <v>145676</v>
      </c>
      <c r="BR33" s="113">
        <v>970696</v>
      </c>
      <c r="BS33" s="33">
        <v>3535</v>
      </c>
      <c r="BT33" s="15">
        <v>97697</v>
      </c>
      <c r="BU33" s="15">
        <v>97</v>
      </c>
      <c r="BV33" s="113">
        <v>1072025</v>
      </c>
      <c r="BW33" s="244"/>
      <c r="BX33" s="238">
        <v>90.228604662319739</v>
      </c>
      <c r="BY33" s="157">
        <v>1072025</v>
      </c>
      <c r="BZ33" s="333">
        <v>0</v>
      </c>
      <c r="CA33" s="377"/>
      <c r="CB33" s="12"/>
    </row>
    <row r="34" spans="1:80" ht="13.5" x14ac:dyDescent="0.25">
      <c r="A34" s="469">
        <v>28</v>
      </c>
      <c r="B34" s="266" t="s">
        <v>220</v>
      </c>
      <c r="D34" s="424"/>
      <c r="E34" s="325">
        <v>95366408</v>
      </c>
      <c r="F34" s="33">
        <v>1613719</v>
      </c>
      <c r="G34" s="33">
        <v>2580767</v>
      </c>
      <c r="H34" s="33">
        <v>0</v>
      </c>
      <c r="I34" s="284">
        <v>99560894</v>
      </c>
      <c r="J34" s="113">
        <v>8006135</v>
      </c>
      <c r="K34" s="15">
        <v>105447</v>
      </c>
      <c r="L34" s="15">
        <v>68895</v>
      </c>
      <c r="M34" s="15">
        <v>4803</v>
      </c>
      <c r="N34" s="284">
        <v>8185280</v>
      </c>
      <c r="O34" s="15">
        <v>7807331</v>
      </c>
      <c r="P34" s="15">
        <v>276535</v>
      </c>
      <c r="Q34" s="15">
        <v>32605</v>
      </c>
      <c r="R34" s="15">
        <v>3575</v>
      </c>
      <c r="S34" s="284">
        <v>8120046</v>
      </c>
      <c r="T34" s="113">
        <v>7592601</v>
      </c>
      <c r="U34" s="15">
        <v>30673</v>
      </c>
      <c r="V34" s="15">
        <v>24695</v>
      </c>
      <c r="W34" s="15">
        <v>530</v>
      </c>
      <c r="X34" s="284">
        <v>7648499</v>
      </c>
      <c r="Y34" s="113">
        <v>7395413</v>
      </c>
      <c r="Z34" s="15">
        <v>121985</v>
      </c>
      <c r="AA34" s="15">
        <v>42118</v>
      </c>
      <c r="AB34" s="15">
        <v>170</v>
      </c>
      <c r="AC34" s="284">
        <v>7559686</v>
      </c>
      <c r="AD34" s="113">
        <v>6881194</v>
      </c>
      <c r="AE34" s="15">
        <v>115713</v>
      </c>
      <c r="AF34" s="15">
        <v>142040</v>
      </c>
      <c r="AG34" s="15">
        <v>1686</v>
      </c>
      <c r="AH34" s="284">
        <v>7140633</v>
      </c>
      <c r="AI34" s="113">
        <v>7310264</v>
      </c>
      <c r="AJ34" s="15">
        <v>128067</v>
      </c>
      <c r="AK34" s="15">
        <v>293775</v>
      </c>
      <c r="AL34" s="15">
        <v>2698</v>
      </c>
      <c r="AM34" s="284">
        <v>7734804</v>
      </c>
      <c r="AN34" s="113">
        <v>7842543</v>
      </c>
      <c r="AO34" s="15">
        <v>91627</v>
      </c>
      <c r="AP34" s="15">
        <v>409366</v>
      </c>
      <c r="AQ34" s="15">
        <v>1860</v>
      </c>
      <c r="AR34" s="284">
        <v>8345396</v>
      </c>
      <c r="AS34" s="113">
        <v>7785828</v>
      </c>
      <c r="AT34" s="15">
        <v>141307</v>
      </c>
      <c r="AU34" s="15">
        <v>347818</v>
      </c>
      <c r="AV34" s="15">
        <v>10175</v>
      </c>
      <c r="AW34" s="284">
        <v>8285128</v>
      </c>
      <c r="AX34" s="113">
        <v>7201306</v>
      </c>
      <c r="AY34" s="15">
        <v>68411</v>
      </c>
      <c r="AZ34" s="15">
        <v>177375</v>
      </c>
      <c r="BA34" s="15">
        <v>296</v>
      </c>
      <c r="BB34" s="284">
        <v>7447388</v>
      </c>
      <c r="BC34" s="113">
        <v>7533142</v>
      </c>
      <c r="BD34" s="15">
        <v>190935</v>
      </c>
      <c r="BE34" s="15">
        <v>160840</v>
      </c>
      <c r="BF34" s="15">
        <v>1190</v>
      </c>
      <c r="BG34" s="284">
        <v>7886107</v>
      </c>
      <c r="BH34" s="113">
        <v>7566219</v>
      </c>
      <c r="BI34" s="15">
        <v>127150</v>
      </c>
      <c r="BJ34" s="15">
        <v>212424</v>
      </c>
      <c r="BK34" s="15">
        <v>13064</v>
      </c>
      <c r="BL34" s="284">
        <v>7918857</v>
      </c>
      <c r="BM34" s="113">
        <v>8260743</v>
      </c>
      <c r="BN34" s="15">
        <v>198098</v>
      </c>
      <c r="BO34" s="15">
        <v>745808</v>
      </c>
      <c r="BP34" s="15">
        <v>6670</v>
      </c>
      <c r="BQ34" s="284">
        <v>9211319</v>
      </c>
      <c r="BR34" s="113">
        <v>91182719</v>
      </c>
      <c r="BS34" s="33">
        <v>1595948</v>
      </c>
      <c r="BT34" s="15">
        <v>2657759</v>
      </c>
      <c r="BU34" s="15">
        <v>46717</v>
      </c>
      <c r="BV34" s="113">
        <v>95483143</v>
      </c>
      <c r="BW34" s="244"/>
      <c r="BX34" s="238">
        <v>95.904264379144692</v>
      </c>
      <c r="BY34" s="157">
        <v>96009602</v>
      </c>
      <c r="BZ34" s="352">
        <v>-526459</v>
      </c>
      <c r="CA34" s="51"/>
      <c r="CB34" s="12"/>
    </row>
    <row r="35" spans="1:80" ht="13.5" x14ac:dyDescent="0.25">
      <c r="A35" s="395">
        <v>29</v>
      </c>
      <c r="B35" s="185" t="s">
        <v>221</v>
      </c>
      <c r="D35" s="342"/>
      <c r="E35" s="325">
        <v>7816104</v>
      </c>
      <c r="F35" s="33">
        <v>6738730</v>
      </c>
      <c r="G35" s="33">
        <v>692779</v>
      </c>
      <c r="H35" s="33">
        <v>0</v>
      </c>
      <c r="I35" s="284">
        <v>15247613</v>
      </c>
      <c r="J35" s="113">
        <v>337160</v>
      </c>
      <c r="K35" s="15">
        <v>323418</v>
      </c>
      <c r="L35" s="15">
        <v>1444</v>
      </c>
      <c r="M35" s="15">
        <v>0</v>
      </c>
      <c r="N35" s="284">
        <v>662022</v>
      </c>
      <c r="O35" s="15">
        <v>410703</v>
      </c>
      <c r="P35" s="15">
        <v>151301</v>
      </c>
      <c r="Q35" s="15">
        <v>9596</v>
      </c>
      <c r="R35" s="15">
        <v>0</v>
      </c>
      <c r="S35" s="284">
        <v>571600</v>
      </c>
      <c r="T35" s="113">
        <v>487250</v>
      </c>
      <c r="U35" s="15">
        <v>503816</v>
      </c>
      <c r="V35" s="15">
        <v>33663</v>
      </c>
      <c r="W35" s="15">
        <v>0</v>
      </c>
      <c r="X35" s="113">
        <v>1024729</v>
      </c>
      <c r="Y35" s="113">
        <v>389973</v>
      </c>
      <c r="Z35" s="15">
        <v>369974</v>
      </c>
      <c r="AA35" s="15">
        <v>33214</v>
      </c>
      <c r="AB35" s="15">
        <v>0</v>
      </c>
      <c r="AC35" s="284">
        <v>793161</v>
      </c>
      <c r="AD35" s="113">
        <v>550167</v>
      </c>
      <c r="AE35" s="15">
        <v>575937</v>
      </c>
      <c r="AF35" s="15">
        <v>44273</v>
      </c>
      <c r="AG35" s="15">
        <v>0</v>
      </c>
      <c r="AH35" s="284">
        <v>1170377</v>
      </c>
      <c r="AI35" s="113">
        <v>470760</v>
      </c>
      <c r="AJ35" s="15">
        <v>1123085</v>
      </c>
      <c r="AK35" s="15">
        <v>36736</v>
      </c>
      <c r="AL35" s="15">
        <v>46</v>
      </c>
      <c r="AM35" s="284">
        <v>1630627</v>
      </c>
      <c r="AN35" s="113">
        <v>936326</v>
      </c>
      <c r="AO35" s="15">
        <v>1108677</v>
      </c>
      <c r="AP35" s="15">
        <v>47363</v>
      </c>
      <c r="AQ35" s="15">
        <v>0</v>
      </c>
      <c r="AR35" s="284">
        <v>2092366</v>
      </c>
      <c r="AS35" s="113">
        <v>489997</v>
      </c>
      <c r="AT35" s="15">
        <v>314746</v>
      </c>
      <c r="AU35" s="15">
        <v>42363</v>
      </c>
      <c r="AV35" s="15">
        <v>0</v>
      </c>
      <c r="AW35" s="284">
        <v>847106</v>
      </c>
      <c r="AX35" s="113">
        <v>496186</v>
      </c>
      <c r="AY35" s="15">
        <v>408895</v>
      </c>
      <c r="AZ35" s="15">
        <v>62312</v>
      </c>
      <c r="BA35" s="15">
        <v>0</v>
      </c>
      <c r="BB35" s="284">
        <v>967393</v>
      </c>
      <c r="BC35" s="113">
        <v>398390</v>
      </c>
      <c r="BD35" s="15">
        <v>350334</v>
      </c>
      <c r="BE35" s="15">
        <v>-105</v>
      </c>
      <c r="BF35" s="15">
        <v>0</v>
      </c>
      <c r="BG35" s="284">
        <v>748619</v>
      </c>
      <c r="BH35" s="113">
        <v>563254</v>
      </c>
      <c r="BI35" s="15">
        <v>574399</v>
      </c>
      <c r="BJ35" s="15">
        <v>52701</v>
      </c>
      <c r="BK35" s="15">
        <v>0</v>
      </c>
      <c r="BL35" s="284">
        <v>1190354</v>
      </c>
      <c r="BM35" s="113">
        <v>1056020</v>
      </c>
      <c r="BN35" s="15">
        <v>924857</v>
      </c>
      <c r="BO35" s="15">
        <v>454289</v>
      </c>
      <c r="BP35" s="15">
        <v>4395</v>
      </c>
      <c r="BQ35" s="284">
        <v>2439561</v>
      </c>
      <c r="BR35" s="113">
        <v>6586186</v>
      </c>
      <c r="BS35" s="33">
        <v>6729439</v>
      </c>
      <c r="BT35" s="15">
        <v>817849</v>
      </c>
      <c r="BU35" s="15">
        <v>4441</v>
      </c>
      <c r="BV35" s="113">
        <v>14137915</v>
      </c>
      <c r="BW35" s="244"/>
      <c r="BX35" s="238">
        <v>92.722152641203579</v>
      </c>
      <c r="BY35" s="157">
        <v>14137915</v>
      </c>
      <c r="BZ35" s="333">
        <v>0</v>
      </c>
      <c r="CA35" s="377"/>
      <c r="CB35" s="12"/>
    </row>
    <row r="36" spans="1:80" ht="13.5" x14ac:dyDescent="0.25">
      <c r="A36" s="395">
        <v>30</v>
      </c>
      <c r="B36" s="185" t="s">
        <v>222</v>
      </c>
      <c r="D36" s="342"/>
      <c r="E36" s="325">
        <v>683786</v>
      </c>
      <c r="F36" s="33">
        <v>2565392</v>
      </c>
      <c r="G36" s="33">
        <v>31750</v>
      </c>
      <c r="H36" s="33">
        <v>0</v>
      </c>
      <c r="I36" s="284">
        <v>3280928</v>
      </c>
      <c r="J36" s="113">
        <v>25268</v>
      </c>
      <c r="K36" s="15">
        <v>0</v>
      </c>
      <c r="L36" s="15">
        <v>0</v>
      </c>
      <c r="M36" s="15">
        <v>27</v>
      </c>
      <c r="N36" s="284">
        <v>25295</v>
      </c>
      <c r="O36" s="15">
        <v>24248</v>
      </c>
      <c r="P36" s="15">
        <v>594685</v>
      </c>
      <c r="Q36" s="15">
        <v>0</v>
      </c>
      <c r="R36" s="15">
        <v>0</v>
      </c>
      <c r="S36" s="284">
        <v>618933</v>
      </c>
      <c r="T36" s="113">
        <v>31221</v>
      </c>
      <c r="U36" s="15">
        <v>118</v>
      </c>
      <c r="V36" s="15">
        <v>5293</v>
      </c>
      <c r="W36" s="15">
        <v>0</v>
      </c>
      <c r="X36" s="284">
        <v>36632</v>
      </c>
      <c r="Y36" s="113">
        <v>31653</v>
      </c>
      <c r="Z36" s="15">
        <v>115</v>
      </c>
      <c r="AA36" s="15">
        <v>251</v>
      </c>
      <c r="AB36" s="15">
        <v>0</v>
      </c>
      <c r="AC36" s="284">
        <v>32019</v>
      </c>
      <c r="AD36" s="113">
        <v>57688</v>
      </c>
      <c r="AE36" s="15">
        <v>403769</v>
      </c>
      <c r="AF36" s="15">
        <v>2330</v>
      </c>
      <c r="AG36" s="15">
        <v>0</v>
      </c>
      <c r="AH36" s="284">
        <v>463787</v>
      </c>
      <c r="AI36" s="113">
        <v>7912</v>
      </c>
      <c r="AJ36" s="15">
        <v>131435</v>
      </c>
      <c r="AK36" s="15">
        <v>426</v>
      </c>
      <c r="AL36" s="15">
        <v>0</v>
      </c>
      <c r="AM36" s="284">
        <v>139773</v>
      </c>
      <c r="AN36" s="113">
        <v>48433</v>
      </c>
      <c r="AO36" s="15">
        <v>632343</v>
      </c>
      <c r="AP36" s="15">
        <v>1548</v>
      </c>
      <c r="AQ36" s="15">
        <v>0</v>
      </c>
      <c r="AR36" s="284">
        <v>682324</v>
      </c>
      <c r="AS36" s="113">
        <v>43534</v>
      </c>
      <c r="AT36" s="15">
        <v>553</v>
      </c>
      <c r="AU36" s="15">
        <v>601</v>
      </c>
      <c r="AV36" s="15">
        <v>0</v>
      </c>
      <c r="AW36" s="284">
        <v>44688</v>
      </c>
      <c r="AX36" s="113">
        <v>41598</v>
      </c>
      <c r="AY36" s="15">
        <v>146</v>
      </c>
      <c r="AZ36" s="15">
        <v>328</v>
      </c>
      <c r="BA36" s="15">
        <v>0</v>
      </c>
      <c r="BB36" s="284">
        <v>42072</v>
      </c>
      <c r="BC36" s="113">
        <v>37784</v>
      </c>
      <c r="BD36" s="15">
        <v>403</v>
      </c>
      <c r="BE36" s="15">
        <v>401</v>
      </c>
      <c r="BF36" s="15">
        <v>0</v>
      </c>
      <c r="BG36" s="284">
        <v>38588</v>
      </c>
      <c r="BH36" s="113">
        <v>59173</v>
      </c>
      <c r="BI36" s="15">
        <v>749187</v>
      </c>
      <c r="BJ36" s="15">
        <v>1435</v>
      </c>
      <c r="BK36" s="15">
        <v>0</v>
      </c>
      <c r="BL36" s="284">
        <v>809795</v>
      </c>
      <c r="BM36" s="113">
        <v>203146</v>
      </c>
      <c r="BN36" s="15">
        <v>61277</v>
      </c>
      <c r="BO36" s="15">
        <v>2129</v>
      </c>
      <c r="BP36" s="15">
        <v>40</v>
      </c>
      <c r="BQ36" s="284">
        <v>266592</v>
      </c>
      <c r="BR36" s="113">
        <v>611658</v>
      </c>
      <c r="BS36" s="33">
        <v>2574031</v>
      </c>
      <c r="BT36" s="15">
        <v>14742</v>
      </c>
      <c r="BU36" s="15">
        <v>67</v>
      </c>
      <c r="BV36" s="113">
        <v>3200498</v>
      </c>
      <c r="BW36" s="244"/>
      <c r="BX36" s="238">
        <v>97.548559431965586</v>
      </c>
      <c r="BY36" s="157">
        <v>3200498</v>
      </c>
      <c r="BZ36" s="333">
        <v>0</v>
      </c>
      <c r="CA36" s="377"/>
      <c r="CB36" s="12"/>
    </row>
    <row r="37" spans="1:80" ht="13.5" x14ac:dyDescent="0.25">
      <c r="A37" s="395">
        <v>31</v>
      </c>
      <c r="B37" s="185" t="s">
        <v>223</v>
      </c>
      <c r="D37" s="342"/>
      <c r="E37" s="325">
        <v>1942196</v>
      </c>
      <c r="F37" s="33">
        <v>1292282</v>
      </c>
      <c r="G37" s="33">
        <v>64827</v>
      </c>
      <c r="H37" s="33">
        <v>0</v>
      </c>
      <c r="I37" s="284">
        <v>3299305</v>
      </c>
      <c r="J37" s="113">
        <v>115225</v>
      </c>
      <c r="K37" s="15">
        <v>306678</v>
      </c>
      <c r="L37" s="15">
        <v>352</v>
      </c>
      <c r="M37" s="15">
        <v>0</v>
      </c>
      <c r="N37" s="284">
        <v>422255</v>
      </c>
      <c r="O37" s="15">
        <v>149897</v>
      </c>
      <c r="P37" s="15">
        <v>35228</v>
      </c>
      <c r="Q37" s="15">
        <v>0</v>
      </c>
      <c r="R37" s="15">
        <v>0</v>
      </c>
      <c r="S37" s="284">
        <v>185125</v>
      </c>
      <c r="T37" s="113">
        <v>130913</v>
      </c>
      <c r="U37" s="15">
        <v>8001</v>
      </c>
      <c r="V37" s="15">
        <v>30</v>
      </c>
      <c r="W37" s="15">
        <v>20</v>
      </c>
      <c r="X37" s="284">
        <v>138964</v>
      </c>
      <c r="Y37" s="113">
        <v>142056</v>
      </c>
      <c r="Z37" s="15">
        <v>35071</v>
      </c>
      <c r="AA37" s="15">
        <v>956</v>
      </c>
      <c r="AB37" s="15">
        <v>0</v>
      </c>
      <c r="AC37" s="284">
        <v>178083</v>
      </c>
      <c r="AD37" s="113">
        <v>158174</v>
      </c>
      <c r="AE37" s="15">
        <v>268748</v>
      </c>
      <c r="AF37" s="15">
        <v>881</v>
      </c>
      <c r="AG37" s="15">
        <v>0</v>
      </c>
      <c r="AH37" s="284">
        <v>427803</v>
      </c>
      <c r="AI37" s="113">
        <v>138936</v>
      </c>
      <c r="AJ37" s="15">
        <v>1105</v>
      </c>
      <c r="AK37" s="15">
        <v>3115</v>
      </c>
      <c r="AL37" s="15">
        <v>4</v>
      </c>
      <c r="AM37" s="284">
        <v>143160</v>
      </c>
      <c r="AN37" s="113">
        <v>162697</v>
      </c>
      <c r="AO37" s="15">
        <v>54255</v>
      </c>
      <c r="AP37" s="15">
        <v>5144</v>
      </c>
      <c r="AQ37" s="15">
        <v>31</v>
      </c>
      <c r="AR37" s="284">
        <v>222127</v>
      </c>
      <c r="AS37" s="113">
        <v>144996</v>
      </c>
      <c r="AT37" s="15">
        <v>252360</v>
      </c>
      <c r="AU37" s="15">
        <v>12094</v>
      </c>
      <c r="AV37" s="15">
        <v>2</v>
      </c>
      <c r="AW37" s="284">
        <v>409452</v>
      </c>
      <c r="AX37" s="113">
        <v>150119</v>
      </c>
      <c r="AY37" s="15">
        <v>38372</v>
      </c>
      <c r="AZ37" s="15">
        <v>15045</v>
      </c>
      <c r="BA37" s="15">
        <v>0</v>
      </c>
      <c r="BB37" s="284">
        <v>203536</v>
      </c>
      <c r="BC37" s="113">
        <v>127627</v>
      </c>
      <c r="BD37" s="15">
        <v>256125</v>
      </c>
      <c r="BE37" s="15">
        <v>40</v>
      </c>
      <c r="BF37" s="15">
        <v>0</v>
      </c>
      <c r="BG37" s="284">
        <v>383792</v>
      </c>
      <c r="BH37" s="113">
        <v>144728</v>
      </c>
      <c r="BI37" s="15">
        <v>1969</v>
      </c>
      <c r="BJ37" s="15">
        <v>2192</v>
      </c>
      <c r="BK37" s="15">
        <v>0</v>
      </c>
      <c r="BL37" s="284">
        <v>148889</v>
      </c>
      <c r="BM37" s="113">
        <v>180375</v>
      </c>
      <c r="BN37" s="15">
        <v>47157</v>
      </c>
      <c r="BO37" s="15">
        <v>8878</v>
      </c>
      <c r="BP37" s="15">
        <v>12</v>
      </c>
      <c r="BQ37" s="284">
        <v>236422</v>
      </c>
      <c r="BR37" s="113">
        <v>1745743</v>
      </c>
      <c r="BS37" s="33">
        <v>1305069</v>
      </c>
      <c r="BT37" s="15">
        <v>48727</v>
      </c>
      <c r="BU37" s="15">
        <v>69</v>
      </c>
      <c r="BV37" s="113">
        <v>3099608</v>
      </c>
      <c r="BW37" s="244"/>
      <c r="BX37" s="238">
        <v>93.947301022488077</v>
      </c>
      <c r="BY37" s="157">
        <v>3099608</v>
      </c>
      <c r="BZ37" s="333">
        <v>0</v>
      </c>
      <c r="CA37" s="377"/>
      <c r="CB37" s="12"/>
    </row>
    <row r="38" spans="1:80" ht="13.5" x14ac:dyDescent="0.25">
      <c r="A38" s="395">
        <v>32</v>
      </c>
      <c r="B38" s="368" t="s">
        <v>224</v>
      </c>
      <c r="D38" s="342"/>
      <c r="E38" s="325">
        <v>6600377</v>
      </c>
      <c r="F38" s="33">
        <v>2935357</v>
      </c>
      <c r="G38" s="33">
        <v>402067</v>
      </c>
      <c r="H38" s="33">
        <v>0</v>
      </c>
      <c r="I38" s="284">
        <v>9937801</v>
      </c>
      <c r="J38" s="113">
        <v>225803</v>
      </c>
      <c r="K38" s="15">
        <v>153434</v>
      </c>
      <c r="L38" s="15">
        <v>152</v>
      </c>
      <c r="M38" s="15">
        <v>0</v>
      </c>
      <c r="N38" s="284">
        <v>379389</v>
      </c>
      <c r="O38" s="15">
        <v>473175</v>
      </c>
      <c r="P38" s="15">
        <v>109375</v>
      </c>
      <c r="Q38" s="15">
        <v>13208</v>
      </c>
      <c r="R38" s="15">
        <v>0</v>
      </c>
      <c r="S38" s="284">
        <v>595758</v>
      </c>
      <c r="T38" s="113">
        <v>370810</v>
      </c>
      <c r="U38" s="15">
        <v>58648</v>
      </c>
      <c r="V38" s="15">
        <v>30231</v>
      </c>
      <c r="W38" s="15">
        <v>0</v>
      </c>
      <c r="X38" s="284">
        <v>459689</v>
      </c>
      <c r="Y38" s="113">
        <v>319735</v>
      </c>
      <c r="Z38" s="15">
        <v>357030</v>
      </c>
      <c r="AA38" s="15">
        <v>17702</v>
      </c>
      <c r="AB38" s="15">
        <v>0</v>
      </c>
      <c r="AC38" s="284">
        <v>694467</v>
      </c>
      <c r="AD38" s="113">
        <v>519780</v>
      </c>
      <c r="AE38" s="15">
        <v>190750</v>
      </c>
      <c r="AF38" s="15">
        <v>19753</v>
      </c>
      <c r="AG38" s="15">
        <v>0</v>
      </c>
      <c r="AH38" s="284">
        <v>730283</v>
      </c>
      <c r="AI38" s="113">
        <v>302904</v>
      </c>
      <c r="AJ38" s="15">
        <v>213423</v>
      </c>
      <c r="AK38" s="15">
        <v>29019</v>
      </c>
      <c r="AL38" s="15">
        <v>0</v>
      </c>
      <c r="AM38" s="284">
        <v>545346</v>
      </c>
      <c r="AN38" s="113">
        <v>336489</v>
      </c>
      <c r="AO38" s="15">
        <v>465512</v>
      </c>
      <c r="AP38" s="15">
        <v>5922</v>
      </c>
      <c r="AQ38" s="15">
        <v>0</v>
      </c>
      <c r="AR38" s="284">
        <v>807923</v>
      </c>
      <c r="AS38" s="113">
        <v>507778</v>
      </c>
      <c r="AT38" s="15">
        <v>401311</v>
      </c>
      <c r="AU38" s="15">
        <v>18698</v>
      </c>
      <c r="AV38" s="15">
        <v>25</v>
      </c>
      <c r="AW38" s="284">
        <v>927812</v>
      </c>
      <c r="AX38" s="113">
        <v>510197</v>
      </c>
      <c r="AY38" s="15">
        <v>294705</v>
      </c>
      <c r="AZ38" s="15">
        <v>36968</v>
      </c>
      <c r="BA38" s="15">
        <v>0</v>
      </c>
      <c r="BB38" s="284">
        <v>841870</v>
      </c>
      <c r="BC38" s="113">
        <v>455959</v>
      </c>
      <c r="BD38" s="15">
        <v>256166</v>
      </c>
      <c r="BE38" s="15">
        <v>16266</v>
      </c>
      <c r="BF38" s="15">
        <v>0</v>
      </c>
      <c r="BG38" s="284">
        <v>728391</v>
      </c>
      <c r="BH38" s="113">
        <v>446851</v>
      </c>
      <c r="BI38" s="15">
        <v>185942</v>
      </c>
      <c r="BJ38" s="15">
        <v>17923</v>
      </c>
      <c r="BK38" s="15">
        <v>0</v>
      </c>
      <c r="BL38" s="284">
        <v>650716</v>
      </c>
      <c r="BM38" s="113">
        <v>708877</v>
      </c>
      <c r="BN38" s="15">
        <v>210032</v>
      </c>
      <c r="BO38" s="15">
        <v>12319</v>
      </c>
      <c r="BP38" s="15">
        <v>9</v>
      </c>
      <c r="BQ38" s="284">
        <v>931237</v>
      </c>
      <c r="BR38" s="113">
        <v>5178358</v>
      </c>
      <c r="BS38" s="33">
        <v>2896328</v>
      </c>
      <c r="BT38" s="15">
        <v>218161</v>
      </c>
      <c r="BU38" s="15">
        <v>34</v>
      </c>
      <c r="BV38" s="113">
        <v>8292881</v>
      </c>
      <c r="BW38" s="244"/>
      <c r="BX38" s="238">
        <v>83.447847265204842</v>
      </c>
      <c r="BY38" s="157">
        <v>8292881</v>
      </c>
      <c r="BZ38" s="333">
        <v>0</v>
      </c>
      <c r="CA38" s="377"/>
      <c r="CB38" s="12"/>
    </row>
    <row r="39" spans="1:80" ht="13.5" x14ac:dyDescent="0.25">
      <c r="A39" s="469">
        <v>33</v>
      </c>
      <c r="B39" s="7" t="s">
        <v>225</v>
      </c>
      <c r="D39" s="166"/>
      <c r="E39" s="325">
        <v>851683</v>
      </c>
      <c r="F39" s="33">
        <v>28217470</v>
      </c>
      <c r="G39" s="33">
        <v>9866</v>
      </c>
      <c r="H39" s="33">
        <v>0</v>
      </c>
      <c r="I39" s="284">
        <v>29079019</v>
      </c>
      <c r="J39" s="113">
        <v>32666</v>
      </c>
      <c r="K39" s="15">
        <v>992442</v>
      </c>
      <c r="L39" s="15">
        <v>0</v>
      </c>
      <c r="M39" s="15">
        <v>0</v>
      </c>
      <c r="N39" s="284">
        <v>1025108</v>
      </c>
      <c r="O39" s="15">
        <v>33435</v>
      </c>
      <c r="P39" s="15">
        <v>1618754</v>
      </c>
      <c r="Q39" s="15">
        <v>86</v>
      </c>
      <c r="R39" s="15">
        <v>0</v>
      </c>
      <c r="S39" s="284">
        <v>1652275</v>
      </c>
      <c r="T39" s="113">
        <v>46418</v>
      </c>
      <c r="U39" s="15">
        <v>1572036</v>
      </c>
      <c r="V39" s="15">
        <v>620</v>
      </c>
      <c r="W39" s="15">
        <v>0</v>
      </c>
      <c r="X39" s="284">
        <v>1619074</v>
      </c>
      <c r="Y39" s="113">
        <v>45234</v>
      </c>
      <c r="Z39" s="15">
        <v>2833992</v>
      </c>
      <c r="AA39" s="15">
        <v>146</v>
      </c>
      <c r="AB39" s="15">
        <v>0</v>
      </c>
      <c r="AC39" s="284">
        <v>2879372</v>
      </c>
      <c r="AD39" s="113">
        <v>38469</v>
      </c>
      <c r="AE39" s="15">
        <v>1722425</v>
      </c>
      <c r="AF39" s="15">
        <v>323</v>
      </c>
      <c r="AG39" s="15">
        <v>3</v>
      </c>
      <c r="AH39" s="284">
        <v>1761220</v>
      </c>
      <c r="AI39" s="113">
        <v>47681</v>
      </c>
      <c r="AJ39" s="15">
        <v>1203873</v>
      </c>
      <c r="AK39" s="15">
        <v>796</v>
      </c>
      <c r="AL39" s="15">
        <v>0</v>
      </c>
      <c r="AM39" s="284">
        <v>1252350</v>
      </c>
      <c r="AN39" s="113">
        <v>68032</v>
      </c>
      <c r="AO39" s="15">
        <v>1774795</v>
      </c>
      <c r="AP39" s="15">
        <v>1640</v>
      </c>
      <c r="AQ39" s="15">
        <v>23</v>
      </c>
      <c r="AR39" s="284">
        <v>1844490</v>
      </c>
      <c r="AS39" s="113">
        <v>60357</v>
      </c>
      <c r="AT39" s="15">
        <v>4280349</v>
      </c>
      <c r="AU39" s="15">
        <v>1908</v>
      </c>
      <c r="AV39" s="15">
        <v>0</v>
      </c>
      <c r="AW39" s="284">
        <v>4342614</v>
      </c>
      <c r="AX39" s="113">
        <v>62002</v>
      </c>
      <c r="AY39" s="15">
        <v>1901347</v>
      </c>
      <c r="AZ39" s="15">
        <v>536</v>
      </c>
      <c r="BA39" s="15">
        <v>0</v>
      </c>
      <c r="BB39" s="284">
        <v>1963885</v>
      </c>
      <c r="BC39" s="113">
        <v>47615</v>
      </c>
      <c r="BD39" s="15">
        <v>1096395</v>
      </c>
      <c r="BE39" s="15">
        <v>278</v>
      </c>
      <c r="BF39" s="15">
        <v>0</v>
      </c>
      <c r="BG39" s="284">
        <v>1144288</v>
      </c>
      <c r="BH39" s="113">
        <v>57417</v>
      </c>
      <c r="BI39" s="15">
        <v>3083436</v>
      </c>
      <c r="BJ39" s="15">
        <v>562</v>
      </c>
      <c r="BK39" s="15">
        <v>0</v>
      </c>
      <c r="BL39" s="284">
        <v>3141415</v>
      </c>
      <c r="BM39" s="113">
        <v>87000</v>
      </c>
      <c r="BN39" s="15">
        <v>6061650</v>
      </c>
      <c r="BO39" s="15">
        <v>756</v>
      </c>
      <c r="BP39" s="15">
        <v>36</v>
      </c>
      <c r="BQ39" s="284">
        <v>6149442</v>
      </c>
      <c r="BR39" s="113">
        <v>626326</v>
      </c>
      <c r="BS39" s="33">
        <v>28141494</v>
      </c>
      <c r="BT39" s="15">
        <v>7651</v>
      </c>
      <c r="BU39" s="15">
        <v>62</v>
      </c>
      <c r="BV39" s="113">
        <v>28775533</v>
      </c>
      <c r="BW39" s="244"/>
      <c r="BX39" s="238">
        <v>98.956340308454003</v>
      </c>
      <c r="BY39" s="157">
        <v>28775533</v>
      </c>
      <c r="BZ39" s="333">
        <v>0</v>
      </c>
      <c r="CA39" s="377"/>
      <c r="CB39" s="12"/>
    </row>
    <row r="40" spans="1:80" ht="13.5" x14ac:dyDescent="0.25">
      <c r="A40" s="395">
        <v>34</v>
      </c>
      <c r="B40" s="185" t="s">
        <v>226</v>
      </c>
      <c r="D40" s="342"/>
      <c r="E40" s="325">
        <v>1499015</v>
      </c>
      <c r="F40" s="33">
        <v>6049626</v>
      </c>
      <c r="G40" s="33">
        <v>18409</v>
      </c>
      <c r="H40" s="33">
        <v>0</v>
      </c>
      <c r="I40" s="284">
        <v>7567050</v>
      </c>
      <c r="J40" s="113">
        <v>95974</v>
      </c>
      <c r="K40" s="15">
        <v>644148</v>
      </c>
      <c r="L40" s="15">
        <v>89</v>
      </c>
      <c r="M40" s="15">
        <v>0</v>
      </c>
      <c r="N40" s="284">
        <v>740211</v>
      </c>
      <c r="O40" s="15">
        <v>110775</v>
      </c>
      <c r="P40" s="15">
        <v>97342</v>
      </c>
      <c r="Q40" s="15">
        <v>400</v>
      </c>
      <c r="R40" s="15">
        <v>0</v>
      </c>
      <c r="S40" s="284">
        <v>208517</v>
      </c>
      <c r="T40" s="113">
        <v>101866</v>
      </c>
      <c r="U40" s="15">
        <v>745555</v>
      </c>
      <c r="V40" s="15">
        <v>369</v>
      </c>
      <c r="W40" s="15">
        <v>0</v>
      </c>
      <c r="X40" s="284">
        <v>847790</v>
      </c>
      <c r="Y40" s="113">
        <v>108315</v>
      </c>
      <c r="Z40" s="15">
        <v>259529</v>
      </c>
      <c r="AA40" s="15">
        <v>375</v>
      </c>
      <c r="AB40" s="15">
        <v>0</v>
      </c>
      <c r="AC40" s="284">
        <v>368219</v>
      </c>
      <c r="AD40" s="113">
        <v>105876</v>
      </c>
      <c r="AE40" s="15">
        <v>1229322</v>
      </c>
      <c r="AF40" s="15">
        <v>2330</v>
      </c>
      <c r="AG40" s="15">
        <v>0</v>
      </c>
      <c r="AH40" s="284">
        <v>1337528</v>
      </c>
      <c r="AI40" s="113">
        <v>96302</v>
      </c>
      <c r="AJ40" s="15">
        <v>205214</v>
      </c>
      <c r="AK40" s="15">
        <v>46</v>
      </c>
      <c r="AL40" s="15">
        <v>0</v>
      </c>
      <c r="AM40" s="284">
        <v>301562</v>
      </c>
      <c r="AN40" s="113">
        <v>104096</v>
      </c>
      <c r="AO40" s="15">
        <v>653250</v>
      </c>
      <c r="AP40" s="15">
        <v>1054</v>
      </c>
      <c r="AQ40" s="15">
        <v>0</v>
      </c>
      <c r="AR40" s="284">
        <v>758400</v>
      </c>
      <c r="AS40" s="113">
        <v>102635</v>
      </c>
      <c r="AT40" s="15">
        <v>952745</v>
      </c>
      <c r="AU40" s="15">
        <v>672</v>
      </c>
      <c r="AV40" s="15">
        <v>0</v>
      </c>
      <c r="AW40" s="284">
        <v>1056052</v>
      </c>
      <c r="AX40" s="113">
        <v>100780</v>
      </c>
      <c r="AY40" s="15">
        <v>96450</v>
      </c>
      <c r="AZ40" s="15">
        <v>189</v>
      </c>
      <c r="BA40" s="15">
        <v>0</v>
      </c>
      <c r="BB40" s="284">
        <v>197419</v>
      </c>
      <c r="BC40" s="113">
        <v>87692</v>
      </c>
      <c r="BD40" s="15">
        <v>133584</v>
      </c>
      <c r="BE40" s="15">
        <v>-906</v>
      </c>
      <c r="BF40" s="15">
        <v>1457</v>
      </c>
      <c r="BG40" s="284">
        <v>221827</v>
      </c>
      <c r="BH40" s="113">
        <v>122115</v>
      </c>
      <c r="BI40" s="15">
        <v>438586</v>
      </c>
      <c r="BJ40" s="15">
        <v>366</v>
      </c>
      <c r="BK40" s="15">
        <v>0</v>
      </c>
      <c r="BL40" s="284">
        <v>561067</v>
      </c>
      <c r="BM40" s="113">
        <v>176603</v>
      </c>
      <c r="BN40" s="15">
        <v>406280</v>
      </c>
      <c r="BO40" s="15">
        <v>-744</v>
      </c>
      <c r="BP40" s="15">
        <v>3166</v>
      </c>
      <c r="BQ40" s="284">
        <v>585305</v>
      </c>
      <c r="BR40" s="113">
        <v>1313029</v>
      </c>
      <c r="BS40" s="33">
        <v>5862005</v>
      </c>
      <c r="BT40" s="15">
        <v>4240</v>
      </c>
      <c r="BU40" s="15">
        <v>4623</v>
      </c>
      <c r="BV40" s="113">
        <v>7183897</v>
      </c>
      <c r="BW40" s="244"/>
      <c r="BX40" s="238">
        <v>94.936560482618731</v>
      </c>
      <c r="BY40" s="157">
        <v>7183897</v>
      </c>
      <c r="BZ40" s="333">
        <v>0</v>
      </c>
      <c r="CA40" s="377"/>
      <c r="CB40" s="12"/>
    </row>
    <row r="41" spans="1:80" ht="13.5" x14ac:dyDescent="0.25">
      <c r="A41" s="395">
        <v>35</v>
      </c>
      <c r="B41" s="185" t="s">
        <v>227</v>
      </c>
      <c r="D41" s="342"/>
      <c r="E41" s="325">
        <v>506974</v>
      </c>
      <c r="F41" s="33">
        <v>6767909</v>
      </c>
      <c r="G41" s="33">
        <v>3404</v>
      </c>
      <c r="H41" s="33">
        <v>0</v>
      </c>
      <c r="I41" s="284">
        <v>7278287</v>
      </c>
      <c r="J41" s="113">
        <v>28642</v>
      </c>
      <c r="K41" s="15">
        <v>907089</v>
      </c>
      <c r="L41" s="15">
        <v>149</v>
      </c>
      <c r="M41" s="15">
        <v>0</v>
      </c>
      <c r="N41" s="284">
        <v>935880</v>
      </c>
      <c r="O41" s="15">
        <v>26527</v>
      </c>
      <c r="P41" s="15">
        <v>49000</v>
      </c>
      <c r="Q41" s="15">
        <v>0</v>
      </c>
      <c r="R41" s="15">
        <v>0</v>
      </c>
      <c r="S41" s="284">
        <v>75527</v>
      </c>
      <c r="T41" s="113">
        <v>34234</v>
      </c>
      <c r="U41" s="15">
        <v>19668</v>
      </c>
      <c r="V41" s="15">
        <v>567</v>
      </c>
      <c r="W41" s="15">
        <v>0</v>
      </c>
      <c r="X41" s="284">
        <v>54469</v>
      </c>
      <c r="Y41" s="113">
        <v>31585</v>
      </c>
      <c r="Z41" s="15">
        <v>989667</v>
      </c>
      <c r="AA41" s="15">
        <v>200</v>
      </c>
      <c r="AB41" s="15">
        <v>0</v>
      </c>
      <c r="AC41" s="284">
        <v>1021452</v>
      </c>
      <c r="AD41" s="113">
        <v>38095</v>
      </c>
      <c r="AE41" s="15">
        <v>1283657</v>
      </c>
      <c r="AF41" s="15">
        <v>301</v>
      </c>
      <c r="AG41" s="15">
        <v>0</v>
      </c>
      <c r="AH41" s="284">
        <v>1322053</v>
      </c>
      <c r="AI41" s="113">
        <v>36997</v>
      </c>
      <c r="AJ41" s="15">
        <v>265718</v>
      </c>
      <c r="AK41" s="15">
        <v>-156</v>
      </c>
      <c r="AL41" s="15">
        <v>68</v>
      </c>
      <c r="AM41" s="284">
        <v>302627</v>
      </c>
      <c r="AN41" s="113">
        <v>36390</v>
      </c>
      <c r="AO41" s="15">
        <v>698426</v>
      </c>
      <c r="AP41" s="15">
        <v>21</v>
      </c>
      <c r="AQ41" s="15">
        <v>11</v>
      </c>
      <c r="AR41" s="284">
        <v>734848</v>
      </c>
      <c r="AS41" s="113">
        <v>33056</v>
      </c>
      <c r="AT41" s="15">
        <v>420973</v>
      </c>
      <c r="AU41" s="15">
        <v>2894</v>
      </c>
      <c r="AV41" s="15">
        <v>20</v>
      </c>
      <c r="AW41" s="284">
        <v>456943</v>
      </c>
      <c r="AX41" s="113">
        <v>45280</v>
      </c>
      <c r="AY41" s="15">
        <v>839762</v>
      </c>
      <c r="AZ41" s="15">
        <v>557</v>
      </c>
      <c r="BA41" s="15">
        <v>0</v>
      </c>
      <c r="BB41" s="284">
        <v>885599</v>
      </c>
      <c r="BC41" s="113">
        <v>32671</v>
      </c>
      <c r="BD41" s="15">
        <v>457085</v>
      </c>
      <c r="BE41" s="15">
        <v>104</v>
      </c>
      <c r="BF41" s="15">
        <v>0</v>
      </c>
      <c r="BG41" s="284">
        <v>489860</v>
      </c>
      <c r="BH41" s="113">
        <v>33874</v>
      </c>
      <c r="BI41" s="15">
        <v>163793</v>
      </c>
      <c r="BJ41" s="15">
        <v>236</v>
      </c>
      <c r="BK41" s="15">
        <v>447</v>
      </c>
      <c r="BL41" s="284">
        <v>198350</v>
      </c>
      <c r="BM41" s="113">
        <v>52095</v>
      </c>
      <c r="BN41" s="15">
        <v>634865</v>
      </c>
      <c r="BO41" s="15">
        <v>1272</v>
      </c>
      <c r="BP41" s="15">
        <v>0</v>
      </c>
      <c r="BQ41" s="284">
        <v>688232</v>
      </c>
      <c r="BR41" s="113">
        <v>429446</v>
      </c>
      <c r="BS41" s="33">
        <v>6729703</v>
      </c>
      <c r="BT41" s="15">
        <v>6145</v>
      </c>
      <c r="BU41" s="15">
        <v>546</v>
      </c>
      <c r="BV41" s="113">
        <v>7165840</v>
      </c>
      <c r="BW41" s="244"/>
      <c r="BX41" s="238">
        <v>98.455034817945489</v>
      </c>
      <c r="BY41" s="157">
        <v>7165840</v>
      </c>
      <c r="BZ41" s="333">
        <v>0</v>
      </c>
      <c r="CA41" s="377"/>
      <c r="CB41" s="12"/>
    </row>
    <row r="42" spans="1:80" ht="13.5" x14ac:dyDescent="0.25">
      <c r="A42" s="395">
        <v>36</v>
      </c>
      <c r="B42" s="7" t="s">
        <v>228</v>
      </c>
      <c r="D42" s="342"/>
      <c r="E42" s="325">
        <v>196051</v>
      </c>
      <c r="F42" s="33">
        <v>2077528</v>
      </c>
      <c r="G42" s="33">
        <v>4224</v>
      </c>
      <c r="H42" s="33">
        <v>0</v>
      </c>
      <c r="I42" s="284">
        <v>2277803</v>
      </c>
      <c r="J42" s="113">
        <v>13296</v>
      </c>
      <c r="K42" s="15">
        <v>94236</v>
      </c>
      <c r="L42" s="15">
        <v>331</v>
      </c>
      <c r="M42" s="15">
        <v>0</v>
      </c>
      <c r="N42" s="284">
        <v>107863</v>
      </c>
      <c r="O42" s="15">
        <v>15549</v>
      </c>
      <c r="P42" s="15">
        <v>502419</v>
      </c>
      <c r="Q42" s="15">
        <v>184</v>
      </c>
      <c r="R42" s="15">
        <v>0</v>
      </c>
      <c r="S42" s="284">
        <v>518152</v>
      </c>
      <c r="T42" s="113">
        <v>12426</v>
      </c>
      <c r="U42" s="15">
        <v>89876</v>
      </c>
      <c r="V42" s="15">
        <v>429</v>
      </c>
      <c r="W42" s="15">
        <v>0</v>
      </c>
      <c r="X42" s="284">
        <v>102731</v>
      </c>
      <c r="Y42" s="113">
        <v>11928</v>
      </c>
      <c r="Z42" s="15">
        <v>244226</v>
      </c>
      <c r="AA42" s="15">
        <v>418</v>
      </c>
      <c r="AB42" s="15">
        <v>0</v>
      </c>
      <c r="AC42" s="284">
        <v>256572</v>
      </c>
      <c r="AD42" s="113">
        <v>12624</v>
      </c>
      <c r="AE42" s="15">
        <v>548919</v>
      </c>
      <c r="AF42" s="15">
        <v>34</v>
      </c>
      <c r="AG42" s="15">
        <v>0</v>
      </c>
      <c r="AH42" s="284">
        <v>561577</v>
      </c>
      <c r="AI42" s="113">
        <v>21376</v>
      </c>
      <c r="AJ42" s="15">
        <v>183356</v>
      </c>
      <c r="AK42" s="15">
        <v>172</v>
      </c>
      <c r="AL42" s="15">
        <v>0</v>
      </c>
      <c r="AM42" s="284">
        <v>204904</v>
      </c>
      <c r="AN42" s="113">
        <v>15074</v>
      </c>
      <c r="AO42" s="15">
        <v>7647</v>
      </c>
      <c r="AP42" s="15">
        <v>173</v>
      </c>
      <c r="AQ42" s="15">
        <v>0</v>
      </c>
      <c r="AR42" s="284">
        <v>22894</v>
      </c>
      <c r="AS42" s="113">
        <v>15830</v>
      </c>
      <c r="AT42" s="15">
        <v>88657</v>
      </c>
      <c r="AU42" s="15">
        <v>482</v>
      </c>
      <c r="AV42" s="15">
        <v>0</v>
      </c>
      <c r="AW42" s="284">
        <v>104969</v>
      </c>
      <c r="AX42" s="113">
        <v>16023</v>
      </c>
      <c r="AY42" s="15">
        <v>170724</v>
      </c>
      <c r="AZ42" s="15">
        <v>331</v>
      </c>
      <c r="BA42" s="15">
        <v>0</v>
      </c>
      <c r="BB42" s="284">
        <v>187078</v>
      </c>
      <c r="BC42" s="113">
        <v>13181</v>
      </c>
      <c r="BD42" s="15">
        <v>71694</v>
      </c>
      <c r="BE42" s="15">
        <v>130</v>
      </c>
      <c r="BF42" s="15">
        <v>0</v>
      </c>
      <c r="BG42" s="284">
        <v>85005</v>
      </c>
      <c r="BH42" s="113">
        <v>15062</v>
      </c>
      <c r="BI42" s="15">
        <v>5967</v>
      </c>
      <c r="BJ42" s="15">
        <v>153</v>
      </c>
      <c r="BK42" s="15">
        <v>0</v>
      </c>
      <c r="BL42" s="284">
        <v>21182</v>
      </c>
      <c r="BM42" s="113">
        <v>21409</v>
      </c>
      <c r="BN42" s="15">
        <v>53897</v>
      </c>
      <c r="BO42" s="15">
        <v>1066</v>
      </c>
      <c r="BP42" s="15">
        <v>0</v>
      </c>
      <c r="BQ42" s="284">
        <v>76372</v>
      </c>
      <c r="BR42" s="113">
        <v>183778</v>
      </c>
      <c r="BS42" s="33">
        <v>2061618</v>
      </c>
      <c r="BT42" s="15">
        <v>3903</v>
      </c>
      <c r="BU42" s="15">
        <v>0</v>
      </c>
      <c r="BV42" s="113">
        <v>2249299</v>
      </c>
      <c r="BW42" s="244"/>
      <c r="BX42" s="238">
        <v>98.748618734807181</v>
      </c>
      <c r="BY42" s="157">
        <v>2249299</v>
      </c>
      <c r="BZ42" s="333">
        <v>0</v>
      </c>
      <c r="CA42" s="377"/>
      <c r="CB42" s="12"/>
    </row>
    <row r="43" spans="1:80" ht="13.5" x14ac:dyDescent="0.25">
      <c r="A43" s="395">
        <v>37</v>
      </c>
      <c r="B43" s="7" t="s">
        <v>229</v>
      </c>
      <c r="D43" s="324"/>
      <c r="E43" s="325">
        <v>850680</v>
      </c>
      <c r="F43" s="33">
        <v>4332970</v>
      </c>
      <c r="G43" s="33">
        <v>127088</v>
      </c>
      <c r="H43" s="33">
        <v>0</v>
      </c>
      <c r="I43" s="284">
        <v>5310738</v>
      </c>
      <c r="J43" s="113">
        <v>34632</v>
      </c>
      <c r="K43" s="15">
        <v>668650</v>
      </c>
      <c r="L43" s="15">
        <v>0</v>
      </c>
      <c r="M43" s="15">
        <v>0</v>
      </c>
      <c r="N43" s="284">
        <v>703282</v>
      </c>
      <c r="O43" s="15">
        <v>54736</v>
      </c>
      <c r="P43" s="15">
        <v>160450</v>
      </c>
      <c r="Q43" s="15">
        <v>0</v>
      </c>
      <c r="R43" s="15">
        <v>7</v>
      </c>
      <c r="S43" s="284">
        <v>215193</v>
      </c>
      <c r="T43" s="113">
        <v>93941</v>
      </c>
      <c r="U43" s="15">
        <v>51604</v>
      </c>
      <c r="V43" s="15">
        <v>491</v>
      </c>
      <c r="W43" s="15">
        <v>0</v>
      </c>
      <c r="X43" s="284">
        <v>146036</v>
      </c>
      <c r="Y43" s="113">
        <v>44933</v>
      </c>
      <c r="Z43" s="15">
        <v>825902</v>
      </c>
      <c r="AA43" s="15">
        <v>1653</v>
      </c>
      <c r="AB43" s="15">
        <v>0</v>
      </c>
      <c r="AC43" s="284">
        <v>872488</v>
      </c>
      <c r="AD43" s="113">
        <v>89369</v>
      </c>
      <c r="AE43" s="15">
        <v>40846</v>
      </c>
      <c r="AF43" s="15">
        <v>-47</v>
      </c>
      <c r="AG43" s="15">
        <v>7</v>
      </c>
      <c r="AH43" s="284">
        <v>130175</v>
      </c>
      <c r="AI43" s="113">
        <v>41967</v>
      </c>
      <c r="AJ43" s="15">
        <v>206222</v>
      </c>
      <c r="AK43" s="15">
        <v>5632</v>
      </c>
      <c r="AL43" s="15">
        <v>0</v>
      </c>
      <c r="AM43" s="284">
        <v>253821</v>
      </c>
      <c r="AN43" s="113">
        <v>51151</v>
      </c>
      <c r="AO43" s="15">
        <v>707456</v>
      </c>
      <c r="AP43" s="15">
        <v>13709</v>
      </c>
      <c r="AQ43" s="15">
        <v>0</v>
      </c>
      <c r="AR43" s="284">
        <v>772316</v>
      </c>
      <c r="AS43" s="113">
        <v>49339</v>
      </c>
      <c r="AT43" s="15">
        <v>390516</v>
      </c>
      <c r="AU43" s="15">
        <v>244</v>
      </c>
      <c r="AV43" s="15">
        <v>0</v>
      </c>
      <c r="AW43" s="284">
        <v>440099</v>
      </c>
      <c r="AX43" s="113">
        <v>63499</v>
      </c>
      <c r="AY43" s="15">
        <v>139524</v>
      </c>
      <c r="AZ43" s="15">
        <v>1856</v>
      </c>
      <c r="BA43" s="15">
        <v>0</v>
      </c>
      <c r="BB43" s="284">
        <v>204879</v>
      </c>
      <c r="BC43" s="113">
        <v>38139</v>
      </c>
      <c r="BD43" s="15">
        <v>570660</v>
      </c>
      <c r="BE43" s="15">
        <v>462</v>
      </c>
      <c r="BF43" s="15">
        <v>0</v>
      </c>
      <c r="BG43" s="284">
        <v>609261</v>
      </c>
      <c r="BH43" s="113">
        <v>46233</v>
      </c>
      <c r="BI43" s="15">
        <v>304266</v>
      </c>
      <c r="BJ43" s="15">
        <v>73</v>
      </c>
      <c r="BK43" s="15">
        <v>0</v>
      </c>
      <c r="BL43" s="284">
        <v>350572</v>
      </c>
      <c r="BM43" s="113">
        <v>187551</v>
      </c>
      <c r="BN43" s="15">
        <v>237475</v>
      </c>
      <c r="BO43" s="15">
        <v>70267</v>
      </c>
      <c r="BP43" s="15">
        <v>0</v>
      </c>
      <c r="BQ43" s="284">
        <v>495293</v>
      </c>
      <c r="BR43" s="113">
        <v>795490</v>
      </c>
      <c r="BS43" s="33">
        <v>4303571</v>
      </c>
      <c r="BT43" s="15">
        <v>94340</v>
      </c>
      <c r="BU43" s="15">
        <v>14</v>
      </c>
      <c r="BV43" s="113">
        <v>5193415</v>
      </c>
      <c r="BW43" s="244"/>
      <c r="BX43" s="238">
        <v>97.790834343550742</v>
      </c>
      <c r="BY43" s="157">
        <v>5193415</v>
      </c>
      <c r="BZ43" s="333">
        <v>0</v>
      </c>
      <c r="CA43" s="377"/>
      <c r="CB43" s="12"/>
    </row>
    <row r="44" spans="1:80" ht="13.5" x14ac:dyDescent="0.25">
      <c r="A44" s="395">
        <v>38</v>
      </c>
      <c r="B44" s="185" t="s">
        <v>230</v>
      </c>
      <c r="D44" s="342"/>
      <c r="E44" s="325">
        <v>949529</v>
      </c>
      <c r="F44" s="33">
        <v>473551</v>
      </c>
      <c r="G44" s="33">
        <v>3780</v>
      </c>
      <c r="H44" s="33">
        <v>0</v>
      </c>
      <c r="I44" s="284">
        <v>1426860</v>
      </c>
      <c r="J44" s="113">
        <v>46005</v>
      </c>
      <c r="K44" s="15">
        <v>11</v>
      </c>
      <c r="L44" s="15">
        <v>1072</v>
      </c>
      <c r="M44" s="15">
        <v>0</v>
      </c>
      <c r="N44" s="284">
        <v>47088</v>
      </c>
      <c r="O44" s="15">
        <v>59713</v>
      </c>
      <c r="P44" s="15">
        <v>143631</v>
      </c>
      <c r="Q44" s="15">
        <v>436</v>
      </c>
      <c r="R44" s="15">
        <v>0</v>
      </c>
      <c r="S44" s="284">
        <v>203780</v>
      </c>
      <c r="T44" s="113">
        <v>44346</v>
      </c>
      <c r="U44" s="15">
        <v>33191</v>
      </c>
      <c r="V44" s="15">
        <v>1249</v>
      </c>
      <c r="W44" s="15">
        <v>0</v>
      </c>
      <c r="X44" s="284">
        <v>78786</v>
      </c>
      <c r="Y44" s="113">
        <v>39142</v>
      </c>
      <c r="Z44" s="15">
        <v>98744</v>
      </c>
      <c r="AA44" s="15">
        <v>1629</v>
      </c>
      <c r="AB44" s="15">
        <v>0</v>
      </c>
      <c r="AC44" s="284">
        <v>139515</v>
      </c>
      <c r="AD44" s="113">
        <v>36557</v>
      </c>
      <c r="AE44" s="15">
        <v>141</v>
      </c>
      <c r="AF44" s="15">
        <v>783</v>
      </c>
      <c r="AG44" s="15">
        <v>0</v>
      </c>
      <c r="AH44" s="284">
        <v>37481</v>
      </c>
      <c r="AI44" s="113">
        <v>43258</v>
      </c>
      <c r="AJ44" s="15">
        <v>11</v>
      </c>
      <c r="AK44" s="15">
        <v>117</v>
      </c>
      <c r="AL44" s="15">
        <v>0</v>
      </c>
      <c r="AM44" s="284">
        <v>43386</v>
      </c>
      <c r="AN44" s="113">
        <v>43915</v>
      </c>
      <c r="AO44" s="15">
        <v>99876</v>
      </c>
      <c r="AP44" s="15">
        <v>510</v>
      </c>
      <c r="AQ44" s="15">
        <v>0</v>
      </c>
      <c r="AR44" s="284">
        <v>144301</v>
      </c>
      <c r="AS44" s="113">
        <v>54666</v>
      </c>
      <c r="AT44" s="15">
        <v>-1010</v>
      </c>
      <c r="AU44" s="15">
        <v>756</v>
      </c>
      <c r="AV44" s="15">
        <v>2</v>
      </c>
      <c r="AW44" s="284">
        <v>54414</v>
      </c>
      <c r="AX44" s="113">
        <v>47467</v>
      </c>
      <c r="AY44" s="15">
        <v>3425</v>
      </c>
      <c r="AZ44" s="15">
        <v>902</v>
      </c>
      <c r="BA44" s="15">
        <v>0</v>
      </c>
      <c r="BB44" s="284">
        <v>51794</v>
      </c>
      <c r="BC44" s="113">
        <v>35539</v>
      </c>
      <c r="BD44" s="15">
        <v>82784</v>
      </c>
      <c r="BE44" s="15">
        <v>125</v>
      </c>
      <c r="BF44" s="15">
        <v>0</v>
      </c>
      <c r="BG44" s="284">
        <v>118448</v>
      </c>
      <c r="BH44" s="113">
        <v>94621</v>
      </c>
      <c r="BI44" s="15">
        <v>50147</v>
      </c>
      <c r="BJ44" s="15">
        <v>239000</v>
      </c>
      <c r="BK44" s="15">
        <v>0</v>
      </c>
      <c r="BL44" s="284">
        <v>383768</v>
      </c>
      <c r="BM44" s="113">
        <v>91760</v>
      </c>
      <c r="BN44" s="15">
        <v>-12324</v>
      </c>
      <c r="BO44" s="15">
        <v>10033</v>
      </c>
      <c r="BP44" s="15">
        <v>20</v>
      </c>
      <c r="BQ44" s="284">
        <v>89489</v>
      </c>
      <c r="BR44" s="113">
        <v>636989</v>
      </c>
      <c r="BS44" s="33">
        <v>498627</v>
      </c>
      <c r="BT44" s="15">
        <v>256612</v>
      </c>
      <c r="BU44" s="15">
        <v>22</v>
      </c>
      <c r="BV44" s="113">
        <v>1392250</v>
      </c>
      <c r="BW44" s="244"/>
      <c r="BX44" s="238">
        <v>97.574394124160747</v>
      </c>
      <c r="BY44" s="157">
        <v>1392250</v>
      </c>
      <c r="BZ44" s="333">
        <v>0</v>
      </c>
      <c r="CA44" s="377"/>
      <c r="CB44" s="12"/>
    </row>
    <row r="45" spans="1:80" ht="13.5" x14ac:dyDescent="0.25">
      <c r="A45" s="395">
        <v>39</v>
      </c>
      <c r="B45" s="185" t="s">
        <v>231</v>
      </c>
      <c r="D45" s="342"/>
      <c r="E45" s="325">
        <v>1759525</v>
      </c>
      <c r="F45" s="33">
        <v>7497018</v>
      </c>
      <c r="G45" s="33">
        <v>16729</v>
      </c>
      <c r="H45" s="33">
        <v>0</v>
      </c>
      <c r="I45" s="284">
        <v>9273272</v>
      </c>
      <c r="J45" s="113">
        <v>127284</v>
      </c>
      <c r="K45" s="15">
        <v>1011184</v>
      </c>
      <c r="L45" s="15">
        <v>0</v>
      </c>
      <c r="M45" s="15">
        <v>0</v>
      </c>
      <c r="N45" s="284">
        <v>1138468</v>
      </c>
      <c r="O45" s="15">
        <v>86935</v>
      </c>
      <c r="P45" s="15">
        <v>734162</v>
      </c>
      <c r="Q45" s="15">
        <v>0</v>
      </c>
      <c r="R45" s="15">
        <v>0</v>
      </c>
      <c r="S45" s="284">
        <v>821097</v>
      </c>
      <c r="T45" s="113">
        <v>114405</v>
      </c>
      <c r="U45" s="15">
        <v>571137</v>
      </c>
      <c r="V45" s="15">
        <v>5701</v>
      </c>
      <c r="W45" s="15">
        <v>0</v>
      </c>
      <c r="X45" s="284">
        <v>691243</v>
      </c>
      <c r="Y45" s="113">
        <v>139251</v>
      </c>
      <c r="Z45" s="15">
        <v>286148</v>
      </c>
      <c r="AA45" s="15">
        <v>311</v>
      </c>
      <c r="AB45" s="15">
        <v>0</v>
      </c>
      <c r="AC45" s="284">
        <v>425710</v>
      </c>
      <c r="AD45" s="113">
        <v>149611</v>
      </c>
      <c r="AE45" s="15">
        <v>203952</v>
      </c>
      <c r="AF45" s="15">
        <v>4921</v>
      </c>
      <c r="AG45" s="15">
        <v>0</v>
      </c>
      <c r="AH45" s="284">
        <v>358484</v>
      </c>
      <c r="AI45" s="113">
        <v>129839</v>
      </c>
      <c r="AJ45" s="15">
        <v>448715</v>
      </c>
      <c r="AK45" s="15">
        <v>280</v>
      </c>
      <c r="AL45" s="15">
        <v>0</v>
      </c>
      <c r="AM45" s="284">
        <v>578834</v>
      </c>
      <c r="AN45" s="113">
        <v>119656</v>
      </c>
      <c r="AO45" s="15">
        <v>181264</v>
      </c>
      <c r="AP45" s="15">
        <v>57</v>
      </c>
      <c r="AQ45" s="15">
        <v>0</v>
      </c>
      <c r="AR45" s="284">
        <v>300977</v>
      </c>
      <c r="AS45" s="113">
        <v>133399</v>
      </c>
      <c r="AT45" s="15">
        <v>168670</v>
      </c>
      <c r="AU45" s="15">
        <v>494</v>
      </c>
      <c r="AV45" s="15">
        <v>0</v>
      </c>
      <c r="AW45" s="284">
        <v>302563</v>
      </c>
      <c r="AX45" s="113">
        <v>112256</v>
      </c>
      <c r="AY45" s="15">
        <v>371390</v>
      </c>
      <c r="AZ45" s="15">
        <v>0</v>
      </c>
      <c r="BA45" s="15">
        <v>0</v>
      </c>
      <c r="BB45" s="284">
        <v>483646</v>
      </c>
      <c r="BC45" s="113">
        <v>116911</v>
      </c>
      <c r="BD45" s="15">
        <v>348822</v>
      </c>
      <c r="BE45" s="15">
        <v>640</v>
      </c>
      <c r="BF45" s="15">
        <v>0</v>
      </c>
      <c r="BG45" s="284">
        <v>466373</v>
      </c>
      <c r="BH45" s="113">
        <v>147503</v>
      </c>
      <c r="BI45" s="15">
        <v>867032</v>
      </c>
      <c r="BJ45" s="15">
        <v>224</v>
      </c>
      <c r="BK45" s="15">
        <v>0</v>
      </c>
      <c r="BL45" s="284">
        <v>1014759</v>
      </c>
      <c r="BM45" s="113">
        <v>191866</v>
      </c>
      <c r="BN45" s="15">
        <v>2234749</v>
      </c>
      <c r="BO45" s="15">
        <v>30066</v>
      </c>
      <c r="BP45" s="15">
        <v>929</v>
      </c>
      <c r="BQ45" s="284">
        <v>2457610</v>
      </c>
      <c r="BR45" s="113">
        <v>1568916</v>
      </c>
      <c r="BS45" s="33">
        <v>7427225</v>
      </c>
      <c r="BT45" s="15">
        <v>42694</v>
      </c>
      <c r="BU45" s="15">
        <v>929</v>
      </c>
      <c r="BV45" s="113">
        <v>9039764</v>
      </c>
      <c r="BW45" s="244"/>
      <c r="BX45" s="238">
        <v>97.48192439518651</v>
      </c>
      <c r="BY45" s="157">
        <v>9039764</v>
      </c>
      <c r="BZ45" s="333">
        <v>0</v>
      </c>
      <c r="CA45" s="377"/>
      <c r="CB45" s="12"/>
    </row>
    <row r="46" spans="1:80" ht="12" customHeight="1" x14ac:dyDescent="0.25">
      <c r="A46" s="395">
        <v>40</v>
      </c>
      <c r="B46" s="185" t="s">
        <v>232</v>
      </c>
      <c r="D46" s="342"/>
      <c r="E46" s="325">
        <v>1386016</v>
      </c>
      <c r="F46" s="33">
        <v>53638692</v>
      </c>
      <c r="G46" s="33">
        <v>5277</v>
      </c>
      <c r="H46" s="33">
        <v>2324750</v>
      </c>
      <c r="I46" s="284">
        <v>57354735</v>
      </c>
      <c r="J46" s="113">
        <v>51967</v>
      </c>
      <c r="K46" s="15">
        <v>7903395</v>
      </c>
      <c r="L46" s="15">
        <v>0</v>
      </c>
      <c r="M46" s="15">
        <v>0</v>
      </c>
      <c r="N46" s="284">
        <v>7955362</v>
      </c>
      <c r="O46" s="15">
        <v>84343</v>
      </c>
      <c r="P46" s="15">
        <v>3302592</v>
      </c>
      <c r="Q46" s="15">
        <v>40</v>
      </c>
      <c r="R46" s="15">
        <v>0</v>
      </c>
      <c r="S46" s="284">
        <v>3386975</v>
      </c>
      <c r="T46" s="113">
        <v>63315</v>
      </c>
      <c r="U46" s="15">
        <v>1490693</v>
      </c>
      <c r="V46" s="15">
        <v>34</v>
      </c>
      <c r="W46" s="15">
        <v>0</v>
      </c>
      <c r="X46" s="284">
        <v>1554042</v>
      </c>
      <c r="Y46" s="113">
        <v>70005</v>
      </c>
      <c r="Z46" s="15">
        <v>8449559</v>
      </c>
      <c r="AA46" s="15">
        <v>52</v>
      </c>
      <c r="AB46" s="15">
        <v>0</v>
      </c>
      <c r="AC46" s="284">
        <v>8519616</v>
      </c>
      <c r="AD46" s="113">
        <v>112281</v>
      </c>
      <c r="AE46" s="15">
        <v>3566488</v>
      </c>
      <c r="AF46" s="15">
        <v>581</v>
      </c>
      <c r="AG46" s="15">
        <v>631</v>
      </c>
      <c r="AH46" s="284">
        <v>3679981</v>
      </c>
      <c r="AI46" s="113">
        <v>78163</v>
      </c>
      <c r="AJ46" s="15">
        <v>2426042</v>
      </c>
      <c r="AK46" s="15">
        <v>1466</v>
      </c>
      <c r="AL46" s="15">
        <v>0</v>
      </c>
      <c r="AM46" s="284">
        <v>2505671</v>
      </c>
      <c r="AN46" s="113">
        <v>84540</v>
      </c>
      <c r="AO46" s="15">
        <v>8643106</v>
      </c>
      <c r="AP46" s="15">
        <v>762</v>
      </c>
      <c r="AQ46" s="15">
        <v>0</v>
      </c>
      <c r="AR46" s="284">
        <v>8728408</v>
      </c>
      <c r="AS46" s="113">
        <v>80243</v>
      </c>
      <c r="AT46" s="15">
        <v>4756959</v>
      </c>
      <c r="AU46" s="15">
        <v>1316</v>
      </c>
      <c r="AV46" s="15">
        <v>0</v>
      </c>
      <c r="AW46" s="284">
        <v>4838518</v>
      </c>
      <c r="AX46" s="113">
        <v>91694</v>
      </c>
      <c r="AY46" s="15">
        <v>1138751</v>
      </c>
      <c r="AZ46" s="15">
        <v>648</v>
      </c>
      <c r="BA46" s="15">
        <v>0</v>
      </c>
      <c r="BB46" s="284">
        <v>1231093</v>
      </c>
      <c r="BC46" s="113">
        <v>58095</v>
      </c>
      <c r="BD46" s="15">
        <v>2970545</v>
      </c>
      <c r="BE46" s="15">
        <v>301</v>
      </c>
      <c r="BF46" s="15">
        <v>0</v>
      </c>
      <c r="BG46" s="284">
        <v>3028941</v>
      </c>
      <c r="BH46" s="113">
        <v>69988</v>
      </c>
      <c r="BI46" s="15">
        <v>5556857</v>
      </c>
      <c r="BJ46" s="15">
        <v>1079</v>
      </c>
      <c r="BK46" s="15">
        <v>0</v>
      </c>
      <c r="BL46" s="284">
        <v>5627924</v>
      </c>
      <c r="BM46" s="113">
        <v>233515</v>
      </c>
      <c r="BN46" s="15">
        <v>3454123</v>
      </c>
      <c r="BO46" s="15">
        <v>4764</v>
      </c>
      <c r="BP46" s="15">
        <v>2324752</v>
      </c>
      <c r="BQ46" s="284">
        <v>6017154</v>
      </c>
      <c r="BR46" s="113">
        <v>1078149</v>
      </c>
      <c r="BS46" s="33">
        <v>53659110</v>
      </c>
      <c r="BT46" s="15">
        <v>11043</v>
      </c>
      <c r="BU46" s="15">
        <v>2325383</v>
      </c>
      <c r="BV46" s="113">
        <v>57073685</v>
      </c>
      <c r="BW46" s="244"/>
      <c r="BX46" s="238">
        <v>99.509979428899811</v>
      </c>
      <c r="BY46" s="157">
        <v>57073685</v>
      </c>
      <c r="BZ46" s="333">
        <v>0</v>
      </c>
      <c r="CA46" s="377"/>
      <c r="CB46" s="12"/>
    </row>
    <row r="47" spans="1:80" ht="13.5" x14ac:dyDescent="0.25">
      <c r="A47" s="220">
        <v>41</v>
      </c>
      <c r="B47" s="378" t="s">
        <v>233</v>
      </c>
      <c r="C47" s="479"/>
      <c r="D47" s="176"/>
      <c r="E47" s="325">
        <v>3912007</v>
      </c>
      <c r="F47" s="33">
        <v>8832352</v>
      </c>
      <c r="G47" s="33">
        <v>4249932</v>
      </c>
      <c r="H47" s="33">
        <v>0</v>
      </c>
      <c r="I47" s="284">
        <v>16994291</v>
      </c>
      <c r="J47" s="113">
        <v>146563</v>
      </c>
      <c r="K47" s="15">
        <v>9809</v>
      </c>
      <c r="L47" s="15">
        <v>81382</v>
      </c>
      <c r="M47" s="15">
        <v>0</v>
      </c>
      <c r="N47" s="284">
        <v>237754</v>
      </c>
      <c r="O47" s="15">
        <v>256175</v>
      </c>
      <c r="P47" s="15">
        <v>770443</v>
      </c>
      <c r="Q47" s="15">
        <v>31191</v>
      </c>
      <c r="R47" s="15">
        <v>0</v>
      </c>
      <c r="S47" s="284">
        <v>1057809</v>
      </c>
      <c r="T47" s="113">
        <v>218438</v>
      </c>
      <c r="U47" s="15">
        <v>232244</v>
      </c>
      <c r="V47" s="15">
        <v>22379</v>
      </c>
      <c r="W47" s="15">
        <v>0</v>
      </c>
      <c r="X47" s="284">
        <v>473061</v>
      </c>
      <c r="Y47" s="113">
        <v>186291</v>
      </c>
      <c r="Z47" s="15">
        <v>1118178</v>
      </c>
      <c r="AA47" s="15">
        <v>47338</v>
      </c>
      <c r="AB47" s="15">
        <v>0</v>
      </c>
      <c r="AC47" s="284">
        <v>1351807</v>
      </c>
      <c r="AD47" s="113">
        <v>343660</v>
      </c>
      <c r="AE47" s="15">
        <v>501714</v>
      </c>
      <c r="AF47" s="15">
        <v>348689</v>
      </c>
      <c r="AG47" s="15">
        <v>0</v>
      </c>
      <c r="AH47" s="284">
        <v>1194063</v>
      </c>
      <c r="AI47" s="113">
        <v>346114</v>
      </c>
      <c r="AJ47" s="15">
        <v>1396184</v>
      </c>
      <c r="AK47" s="15">
        <v>225620</v>
      </c>
      <c r="AL47" s="15">
        <v>0</v>
      </c>
      <c r="AM47" s="284">
        <v>1967918</v>
      </c>
      <c r="AN47" s="113">
        <v>196418</v>
      </c>
      <c r="AO47" s="15">
        <v>530313</v>
      </c>
      <c r="AP47" s="15">
        <v>213219</v>
      </c>
      <c r="AQ47" s="15">
        <v>0</v>
      </c>
      <c r="AR47" s="284">
        <v>939950</v>
      </c>
      <c r="AS47" s="113">
        <v>346050</v>
      </c>
      <c r="AT47" s="15">
        <v>790036</v>
      </c>
      <c r="AU47" s="15">
        <v>67587</v>
      </c>
      <c r="AV47" s="15">
        <v>0</v>
      </c>
      <c r="AW47" s="284">
        <v>1203673</v>
      </c>
      <c r="AX47" s="113">
        <v>502868</v>
      </c>
      <c r="AY47" s="15">
        <v>647630</v>
      </c>
      <c r="AZ47" s="15">
        <v>229390</v>
      </c>
      <c r="BA47" s="15">
        <v>0</v>
      </c>
      <c r="BB47" s="284">
        <v>1379888</v>
      </c>
      <c r="BC47" s="113">
        <v>178445</v>
      </c>
      <c r="BD47" s="15">
        <v>182414</v>
      </c>
      <c r="BE47" s="15">
        <v>143338</v>
      </c>
      <c r="BF47" s="15">
        <v>0</v>
      </c>
      <c r="BG47" s="284">
        <v>504197</v>
      </c>
      <c r="BH47" s="113">
        <v>269245</v>
      </c>
      <c r="BI47" s="15">
        <v>741336</v>
      </c>
      <c r="BJ47" s="15">
        <v>129374</v>
      </c>
      <c r="BK47" s="15">
        <v>0</v>
      </c>
      <c r="BL47" s="284">
        <v>1139955</v>
      </c>
      <c r="BM47" s="113">
        <v>535340</v>
      </c>
      <c r="BN47" s="15">
        <v>1930342</v>
      </c>
      <c r="BO47" s="15">
        <v>515584</v>
      </c>
      <c r="BP47" s="15">
        <v>0</v>
      </c>
      <c r="BQ47" s="284">
        <v>2981266</v>
      </c>
      <c r="BR47" s="113">
        <v>3525607</v>
      </c>
      <c r="BS47" s="33">
        <v>8850643</v>
      </c>
      <c r="BT47" s="15">
        <v>2055091</v>
      </c>
      <c r="BU47" s="15">
        <v>0</v>
      </c>
      <c r="BV47" s="113">
        <v>14431341</v>
      </c>
      <c r="BW47" s="244"/>
      <c r="BX47" s="238">
        <v>84.91875889379557</v>
      </c>
      <c r="BY47" s="157">
        <v>14431341</v>
      </c>
      <c r="BZ47" s="333">
        <v>0</v>
      </c>
      <c r="CA47" s="478"/>
      <c r="CB47" s="12"/>
    </row>
    <row r="48" spans="1:80" x14ac:dyDescent="0.2">
      <c r="A48" s="118" t="s">
        <v>234</v>
      </c>
      <c r="B48" s="185"/>
      <c r="D48" s="123"/>
      <c r="E48" s="337">
        <v>254488165</v>
      </c>
      <c r="F48" s="439">
        <v>668378413</v>
      </c>
      <c r="G48" s="439">
        <v>14835462</v>
      </c>
      <c r="H48" s="439">
        <v>87647697</v>
      </c>
      <c r="I48" s="294">
        <v>1025349737</v>
      </c>
      <c r="J48" s="337">
        <v>17622572</v>
      </c>
      <c r="K48" s="439">
        <v>45213323</v>
      </c>
      <c r="L48" s="439">
        <v>324568</v>
      </c>
      <c r="M48" s="439">
        <v>4835</v>
      </c>
      <c r="N48" s="294">
        <v>63165298</v>
      </c>
      <c r="O48" s="439">
        <v>19267389</v>
      </c>
      <c r="P48" s="439">
        <v>50862165</v>
      </c>
      <c r="Q48" s="439">
        <v>861947</v>
      </c>
      <c r="R48" s="439">
        <v>1003876</v>
      </c>
      <c r="S48" s="294">
        <v>71995377</v>
      </c>
      <c r="T48" s="337">
        <v>18476452</v>
      </c>
      <c r="U48" s="439">
        <v>42244408</v>
      </c>
      <c r="V48" s="439">
        <v>15761</v>
      </c>
      <c r="W48" s="439">
        <v>475861</v>
      </c>
      <c r="X48" s="294">
        <v>61212482</v>
      </c>
      <c r="Y48" s="337">
        <v>18789001</v>
      </c>
      <c r="Z48" s="439">
        <v>95242085</v>
      </c>
      <c r="AA48" s="439">
        <v>518145</v>
      </c>
      <c r="AB48" s="439">
        <v>3806670</v>
      </c>
      <c r="AC48" s="294">
        <v>118355901</v>
      </c>
      <c r="AD48" s="337">
        <v>19456847</v>
      </c>
      <c r="AE48" s="439">
        <v>57620690</v>
      </c>
      <c r="AF48" s="439">
        <v>905002</v>
      </c>
      <c r="AG48" s="439">
        <v>5002462</v>
      </c>
      <c r="AH48" s="294">
        <v>82985001</v>
      </c>
      <c r="AI48" s="337">
        <v>19716963</v>
      </c>
      <c r="AJ48" s="439">
        <v>52080089</v>
      </c>
      <c r="AK48" s="439">
        <v>867648</v>
      </c>
      <c r="AL48" s="439">
        <v>3018261</v>
      </c>
      <c r="AM48" s="294">
        <v>75682961</v>
      </c>
      <c r="AN48" s="337">
        <v>20480283</v>
      </c>
      <c r="AO48" s="439">
        <v>60271078</v>
      </c>
      <c r="AP48" s="439">
        <v>1268269</v>
      </c>
      <c r="AQ48" s="439">
        <v>2002731</v>
      </c>
      <c r="AR48" s="294">
        <v>84022361</v>
      </c>
      <c r="AS48" s="337">
        <v>20140301</v>
      </c>
      <c r="AT48" s="439">
        <v>46929931</v>
      </c>
      <c r="AU48" s="439">
        <v>886111</v>
      </c>
      <c r="AV48" s="439">
        <v>3781537</v>
      </c>
      <c r="AW48" s="294">
        <v>71737880</v>
      </c>
      <c r="AX48" s="439">
        <v>19986153</v>
      </c>
      <c r="AY48" s="439">
        <v>65592854</v>
      </c>
      <c r="AZ48" s="439">
        <v>775078</v>
      </c>
      <c r="BA48" s="439">
        <v>16688036</v>
      </c>
      <c r="BB48" s="294">
        <v>103042121</v>
      </c>
      <c r="BC48" s="439">
        <v>18393853</v>
      </c>
      <c r="BD48" s="439">
        <v>39828146</v>
      </c>
      <c r="BE48" s="439">
        <v>568295</v>
      </c>
      <c r="BF48" s="439">
        <v>30302676</v>
      </c>
      <c r="BG48" s="294">
        <v>89092970</v>
      </c>
      <c r="BH48" s="337">
        <v>19957851</v>
      </c>
      <c r="BI48" s="439">
        <v>37629190</v>
      </c>
      <c r="BJ48" s="439">
        <v>1118619</v>
      </c>
      <c r="BK48" s="439">
        <v>13156560</v>
      </c>
      <c r="BL48" s="294">
        <v>71862220</v>
      </c>
      <c r="BM48" s="337">
        <v>27018638</v>
      </c>
      <c r="BN48" s="439">
        <v>73473284</v>
      </c>
      <c r="BO48" s="439">
        <v>3324534</v>
      </c>
      <c r="BP48" s="439">
        <v>6403063</v>
      </c>
      <c r="BQ48" s="294">
        <v>110219519</v>
      </c>
      <c r="BR48" s="337">
        <v>239306303</v>
      </c>
      <c r="BS48" s="439">
        <v>666987243</v>
      </c>
      <c r="BT48" s="439">
        <v>11433977</v>
      </c>
      <c r="BU48" s="439">
        <v>85646568</v>
      </c>
      <c r="BV48" s="294">
        <v>1003374091</v>
      </c>
      <c r="BW48" s="244"/>
      <c r="BX48" s="238">
        <v>97.856765822723375</v>
      </c>
      <c r="BZ48" s="94"/>
    </row>
    <row r="49" spans="1:80" x14ac:dyDescent="0.2">
      <c r="A49" s="84" t="s">
        <v>235</v>
      </c>
      <c r="B49" s="185"/>
      <c r="D49" s="123"/>
      <c r="E49" s="290"/>
      <c r="F49" s="20"/>
      <c r="G49" s="20"/>
      <c r="H49" s="20"/>
      <c r="I49" s="95"/>
      <c r="J49" s="290"/>
      <c r="K49" s="20"/>
      <c r="L49" s="20"/>
      <c r="M49" s="20"/>
      <c r="N49" s="95"/>
      <c r="O49" s="20"/>
      <c r="P49" s="20"/>
      <c r="Q49" s="20"/>
      <c r="R49" s="20"/>
      <c r="S49" s="95"/>
      <c r="T49" s="290"/>
      <c r="U49" s="20"/>
      <c r="V49" s="20"/>
      <c r="W49" s="20"/>
      <c r="X49" s="95"/>
      <c r="Y49" s="290"/>
      <c r="Z49" s="20"/>
      <c r="AA49" s="20"/>
      <c r="AB49" s="20"/>
      <c r="AC49" s="95"/>
      <c r="AD49" s="290"/>
      <c r="AE49" s="20"/>
      <c r="AF49" s="20"/>
      <c r="AG49" s="20"/>
      <c r="AH49" s="95"/>
      <c r="AI49" s="290"/>
      <c r="AJ49" s="20"/>
      <c r="AK49" s="20"/>
      <c r="AL49" s="20"/>
      <c r="AM49" s="95"/>
      <c r="AN49" s="290"/>
      <c r="AO49" s="20"/>
      <c r="AP49" s="20"/>
      <c r="AQ49" s="20"/>
      <c r="AR49" s="95"/>
      <c r="AS49" s="290"/>
      <c r="AT49" s="20"/>
      <c r="AU49" s="20"/>
      <c r="AV49" s="20"/>
      <c r="AW49" s="95"/>
      <c r="AX49" s="20"/>
      <c r="AY49" s="20"/>
      <c r="AZ49" s="20"/>
      <c r="BA49" s="20"/>
      <c r="BB49" s="95"/>
      <c r="BC49" s="20"/>
      <c r="BD49" s="20"/>
      <c r="BE49" s="20"/>
      <c r="BF49" s="20"/>
      <c r="BG49" s="95"/>
      <c r="BH49" s="290"/>
      <c r="BI49" s="20"/>
      <c r="BJ49" s="20"/>
      <c r="BK49" s="20"/>
      <c r="BL49" s="95"/>
      <c r="BM49" s="290"/>
      <c r="BN49" s="20"/>
      <c r="BO49" s="20"/>
      <c r="BP49" s="20"/>
      <c r="BQ49" s="95"/>
      <c r="BR49" s="290"/>
      <c r="BS49" s="20"/>
      <c r="BT49" s="20"/>
      <c r="BU49" s="20"/>
      <c r="BV49" s="95"/>
      <c r="BW49" s="244"/>
      <c r="BX49" s="238"/>
      <c r="BY49" s="53"/>
      <c r="BZ49" s="94"/>
    </row>
    <row r="50" spans="1:80" x14ac:dyDescent="0.2">
      <c r="A50" s="118" t="s">
        <v>20</v>
      </c>
      <c r="D50" s="52"/>
      <c r="E50" s="186"/>
      <c r="F50" s="22"/>
      <c r="G50" s="22"/>
      <c r="H50" s="22"/>
      <c r="I50" s="95"/>
      <c r="J50" s="186"/>
      <c r="K50" s="22"/>
      <c r="L50" s="22"/>
      <c r="M50" s="22"/>
      <c r="N50" s="95"/>
      <c r="O50" s="22"/>
      <c r="P50" s="22"/>
      <c r="Q50" s="22"/>
      <c r="R50" s="22"/>
      <c r="S50" s="290"/>
      <c r="T50" s="186"/>
      <c r="U50" s="22"/>
      <c r="V50" s="22"/>
      <c r="W50" s="22"/>
      <c r="X50" s="290"/>
      <c r="Y50" s="186"/>
      <c r="Z50" s="22"/>
      <c r="AA50" s="22"/>
      <c r="AB50" s="22"/>
      <c r="AC50" s="290"/>
      <c r="AD50" s="186"/>
      <c r="AE50" s="22"/>
      <c r="AF50" s="22"/>
      <c r="AG50" s="22"/>
      <c r="AH50" s="290"/>
      <c r="AI50" s="186"/>
      <c r="AJ50" s="22"/>
      <c r="AK50" s="22"/>
      <c r="AL50" s="22"/>
      <c r="AM50" s="290"/>
      <c r="AN50" s="186"/>
      <c r="AO50" s="22"/>
      <c r="AP50" s="22"/>
      <c r="AQ50" s="22"/>
      <c r="AR50" s="95"/>
      <c r="AS50" s="22"/>
      <c r="AT50" s="22"/>
      <c r="AU50" s="22"/>
      <c r="AV50" s="22"/>
      <c r="AW50" s="95"/>
      <c r="AX50" s="22"/>
      <c r="AY50" s="22"/>
      <c r="AZ50" s="22"/>
      <c r="BA50" s="22"/>
      <c r="BB50" s="95"/>
      <c r="BC50" s="22"/>
      <c r="BD50" s="22"/>
      <c r="BE50" s="22"/>
      <c r="BF50" s="22"/>
      <c r="BG50" s="95"/>
      <c r="BH50" s="186"/>
      <c r="BI50" s="22"/>
      <c r="BJ50" s="22"/>
      <c r="BK50" s="22"/>
      <c r="BL50" s="95"/>
      <c r="BM50" s="186"/>
      <c r="BN50" s="22"/>
      <c r="BO50" s="22"/>
      <c r="BP50" s="22"/>
      <c r="BQ50" s="95"/>
      <c r="BR50" s="186"/>
      <c r="BS50" s="22"/>
      <c r="BT50" s="22"/>
      <c r="BU50" s="22"/>
      <c r="BV50" s="290"/>
      <c r="BW50" s="335"/>
      <c r="BX50" s="238"/>
      <c r="BY50" s="53"/>
      <c r="BZ50" s="94"/>
    </row>
    <row r="51" spans="1:80" x14ac:dyDescent="0.2">
      <c r="A51" s="395" t="s">
        <v>236</v>
      </c>
      <c r="B51" s="436"/>
      <c r="C51" s="436"/>
      <c r="D51" s="52"/>
      <c r="E51" s="33">
        <v>7715</v>
      </c>
      <c r="F51" s="33">
        <v>0</v>
      </c>
      <c r="G51" s="33">
        <v>0</v>
      </c>
      <c r="H51" s="33">
        <v>0</v>
      </c>
      <c r="I51" s="284">
        <v>7715</v>
      </c>
      <c r="J51" s="325">
        <v>475</v>
      </c>
      <c r="K51" s="33">
        <v>0</v>
      </c>
      <c r="L51" s="33">
        <v>0</v>
      </c>
      <c r="M51" s="33">
        <v>0</v>
      </c>
      <c r="N51" s="284">
        <v>475</v>
      </c>
      <c r="O51" s="33">
        <v>475</v>
      </c>
      <c r="P51" s="33">
        <v>0</v>
      </c>
      <c r="Q51" s="33">
        <v>0</v>
      </c>
      <c r="R51" s="33">
        <v>0</v>
      </c>
      <c r="S51" s="284">
        <v>475</v>
      </c>
      <c r="T51" s="33">
        <v>475</v>
      </c>
      <c r="U51" s="33">
        <v>0</v>
      </c>
      <c r="V51" s="33">
        <v>0</v>
      </c>
      <c r="W51" s="33">
        <v>0</v>
      </c>
      <c r="X51" s="284">
        <v>475</v>
      </c>
      <c r="Y51" s="33">
        <v>475</v>
      </c>
      <c r="Z51" s="33">
        <v>0</v>
      </c>
      <c r="AA51" s="33">
        <v>0</v>
      </c>
      <c r="AB51" s="33">
        <v>0</v>
      </c>
      <c r="AC51" s="284">
        <v>475</v>
      </c>
      <c r="AD51" s="33">
        <v>475</v>
      </c>
      <c r="AE51" s="33">
        <v>0</v>
      </c>
      <c r="AF51" s="33">
        <v>0</v>
      </c>
      <c r="AG51" s="33">
        <v>0</v>
      </c>
      <c r="AH51" s="284">
        <v>475</v>
      </c>
      <c r="AI51" s="33">
        <v>475</v>
      </c>
      <c r="AJ51" s="33">
        <v>0</v>
      </c>
      <c r="AK51" s="33">
        <v>0</v>
      </c>
      <c r="AL51" s="33">
        <v>0</v>
      </c>
      <c r="AM51" s="284">
        <v>475</v>
      </c>
      <c r="AN51" s="33">
        <v>475</v>
      </c>
      <c r="AO51" s="33">
        <v>0</v>
      </c>
      <c r="AP51" s="33">
        <v>0</v>
      </c>
      <c r="AQ51" s="33">
        <v>0</v>
      </c>
      <c r="AR51" s="284">
        <v>475</v>
      </c>
      <c r="AS51" s="33">
        <v>475</v>
      </c>
      <c r="AT51" s="33">
        <v>0</v>
      </c>
      <c r="AU51" s="33">
        <v>0</v>
      </c>
      <c r="AV51" s="33">
        <v>0</v>
      </c>
      <c r="AW51" s="284">
        <v>475</v>
      </c>
      <c r="AX51" s="33">
        <v>475</v>
      </c>
      <c r="AY51" s="33">
        <v>0</v>
      </c>
      <c r="AZ51" s="33">
        <v>0</v>
      </c>
      <c r="BA51" s="33">
        <v>0</v>
      </c>
      <c r="BB51" s="284">
        <v>475</v>
      </c>
      <c r="BC51" s="33">
        <v>475</v>
      </c>
      <c r="BD51" s="33">
        <v>0</v>
      </c>
      <c r="BE51" s="33">
        <v>0</v>
      </c>
      <c r="BF51" s="33">
        <v>0</v>
      </c>
      <c r="BG51" s="284">
        <v>475</v>
      </c>
      <c r="BH51" s="33">
        <v>475</v>
      </c>
      <c r="BI51" s="33">
        <v>0</v>
      </c>
      <c r="BJ51" s="33">
        <v>0</v>
      </c>
      <c r="BK51" s="33">
        <v>0</v>
      </c>
      <c r="BL51" s="284">
        <v>475</v>
      </c>
      <c r="BM51" s="33">
        <v>475</v>
      </c>
      <c r="BN51" s="33">
        <v>0</v>
      </c>
      <c r="BO51" s="33">
        <v>0</v>
      </c>
      <c r="BP51" s="33">
        <v>0</v>
      </c>
      <c r="BQ51" s="284">
        <v>475</v>
      </c>
      <c r="BR51" s="33">
        <v>5700</v>
      </c>
      <c r="BS51" s="33">
        <v>0</v>
      </c>
      <c r="BT51" s="33">
        <v>0</v>
      </c>
      <c r="BU51" s="33">
        <v>0</v>
      </c>
      <c r="BV51" s="284">
        <v>5700</v>
      </c>
      <c r="BW51" s="244"/>
      <c r="BX51" s="238">
        <v>73.88204795852235</v>
      </c>
      <c r="BY51" s="157">
        <v>5700</v>
      </c>
      <c r="BZ51" s="19">
        <v>0</v>
      </c>
      <c r="CA51" s="308"/>
      <c r="CB51" s="411"/>
    </row>
    <row r="52" spans="1:80" x14ac:dyDescent="0.2">
      <c r="A52" s="395" t="s">
        <v>237</v>
      </c>
      <c r="B52" s="436"/>
      <c r="D52" s="123" t="s">
        <v>73</v>
      </c>
      <c r="E52" s="33">
        <v>476474</v>
      </c>
      <c r="F52" s="33">
        <v>0</v>
      </c>
      <c r="G52" s="33">
        <v>0</v>
      </c>
      <c r="H52" s="33">
        <v>0</v>
      </c>
      <c r="I52" s="284">
        <v>476474</v>
      </c>
      <c r="J52" s="325">
        <v>42263</v>
      </c>
      <c r="K52" s="33">
        <v>0</v>
      </c>
      <c r="L52" s="33">
        <v>0</v>
      </c>
      <c r="M52" s="33">
        <v>0</v>
      </c>
      <c r="N52" s="284">
        <v>42263</v>
      </c>
      <c r="O52" s="33">
        <v>42263</v>
      </c>
      <c r="P52" s="33">
        <v>0</v>
      </c>
      <c r="Q52" s="33">
        <v>0</v>
      </c>
      <c r="R52" s="33">
        <v>0</v>
      </c>
      <c r="S52" s="284">
        <v>42263</v>
      </c>
      <c r="T52" s="33">
        <v>42263</v>
      </c>
      <c r="U52" s="33">
        <v>0</v>
      </c>
      <c r="V52" s="33">
        <v>0</v>
      </c>
      <c r="W52" s="33">
        <v>0</v>
      </c>
      <c r="X52" s="284">
        <v>42263</v>
      </c>
      <c r="Y52" s="33">
        <v>42263</v>
      </c>
      <c r="Z52" s="33">
        <v>0</v>
      </c>
      <c r="AA52" s="33">
        <v>0</v>
      </c>
      <c r="AB52" s="33">
        <v>0</v>
      </c>
      <c r="AC52" s="284">
        <v>42263</v>
      </c>
      <c r="AD52" s="33">
        <v>42263</v>
      </c>
      <c r="AE52" s="33">
        <v>0</v>
      </c>
      <c r="AF52" s="33">
        <v>0</v>
      </c>
      <c r="AG52" s="33">
        <v>0</v>
      </c>
      <c r="AH52" s="284">
        <v>42263</v>
      </c>
      <c r="AI52" s="33">
        <v>42263</v>
      </c>
      <c r="AJ52" s="33">
        <v>0</v>
      </c>
      <c r="AK52" s="33">
        <v>0</v>
      </c>
      <c r="AL52" s="33">
        <v>0</v>
      </c>
      <c r="AM52" s="284">
        <v>42263</v>
      </c>
      <c r="AN52" s="33">
        <v>42263</v>
      </c>
      <c r="AO52" s="33">
        <v>0</v>
      </c>
      <c r="AP52" s="33">
        <v>0</v>
      </c>
      <c r="AQ52" s="33">
        <v>0</v>
      </c>
      <c r="AR52" s="284">
        <v>42263</v>
      </c>
      <c r="AS52" s="33">
        <v>42263</v>
      </c>
      <c r="AT52" s="33">
        <v>0</v>
      </c>
      <c r="AU52" s="33">
        <v>0</v>
      </c>
      <c r="AV52" s="33">
        <v>0</v>
      </c>
      <c r="AW52" s="284">
        <v>42263</v>
      </c>
      <c r="AX52" s="33">
        <v>42263</v>
      </c>
      <c r="AY52" s="33">
        <v>0</v>
      </c>
      <c r="AZ52" s="33">
        <v>0</v>
      </c>
      <c r="BA52" s="33">
        <v>0</v>
      </c>
      <c r="BB52" s="284">
        <v>42263</v>
      </c>
      <c r="BC52" s="33">
        <v>32263</v>
      </c>
      <c r="BD52" s="33">
        <v>0</v>
      </c>
      <c r="BE52" s="33">
        <v>0</v>
      </c>
      <c r="BF52" s="33">
        <v>0</v>
      </c>
      <c r="BG52" s="284">
        <v>32263</v>
      </c>
      <c r="BH52" s="33">
        <v>32263</v>
      </c>
      <c r="BI52" s="33">
        <v>0</v>
      </c>
      <c r="BJ52" s="33">
        <v>0</v>
      </c>
      <c r="BK52" s="33">
        <v>0</v>
      </c>
      <c r="BL52" s="284">
        <v>32263</v>
      </c>
      <c r="BM52" s="33">
        <v>31581</v>
      </c>
      <c r="BN52" s="33">
        <v>0</v>
      </c>
      <c r="BO52" s="33">
        <v>0</v>
      </c>
      <c r="BP52" s="33">
        <v>0</v>
      </c>
      <c r="BQ52" s="284">
        <v>31581</v>
      </c>
      <c r="BR52" s="33">
        <v>476474</v>
      </c>
      <c r="BS52" s="33">
        <v>0</v>
      </c>
      <c r="BT52" s="33">
        <v>0</v>
      </c>
      <c r="BU52" s="33">
        <v>0</v>
      </c>
      <c r="BV52" s="284">
        <v>476474</v>
      </c>
      <c r="BW52" s="244"/>
      <c r="BX52" s="238">
        <v>100</v>
      </c>
      <c r="BY52" s="157">
        <v>0</v>
      </c>
      <c r="BZ52" s="19">
        <v>476474</v>
      </c>
      <c r="CA52" s="308"/>
      <c r="CB52" s="411"/>
    </row>
    <row r="53" spans="1:80" x14ac:dyDescent="0.2">
      <c r="A53" s="395" t="s">
        <v>238</v>
      </c>
      <c r="B53" s="436"/>
      <c r="D53" s="207"/>
      <c r="E53" s="33">
        <v>233027798</v>
      </c>
      <c r="F53" s="33">
        <v>0</v>
      </c>
      <c r="G53" s="33">
        <v>0</v>
      </c>
      <c r="H53" s="33">
        <v>0</v>
      </c>
      <c r="I53" s="284">
        <v>233027798</v>
      </c>
      <c r="J53" s="325">
        <v>4156462.4270000001</v>
      </c>
      <c r="K53" s="33">
        <v>0</v>
      </c>
      <c r="L53" s="33">
        <v>0</v>
      </c>
      <c r="M53" s="33">
        <v>0</v>
      </c>
      <c r="N53" s="284">
        <v>4156462.4270000001</v>
      </c>
      <c r="O53" s="33">
        <v>1746959.1300000001</v>
      </c>
      <c r="P53" s="33">
        <v>0</v>
      </c>
      <c r="Q53" s="33">
        <v>0</v>
      </c>
      <c r="R53" s="33">
        <v>0</v>
      </c>
      <c r="S53" s="284">
        <v>1746959.1300000001</v>
      </c>
      <c r="T53" s="33">
        <v>23287136</v>
      </c>
      <c r="U53" s="33">
        <v>0</v>
      </c>
      <c r="V53" s="33">
        <v>0</v>
      </c>
      <c r="W53" s="33">
        <v>0</v>
      </c>
      <c r="X53" s="284">
        <v>23287136</v>
      </c>
      <c r="Y53" s="33">
        <v>33793248</v>
      </c>
      <c r="Z53" s="33">
        <v>0</v>
      </c>
      <c r="AA53" s="33">
        <v>0</v>
      </c>
      <c r="AB53" s="33">
        <v>0</v>
      </c>
      <c r="AC53" s="284">
        <v>33793248</v>
      </c>
      <c r="AD53" s="33">
        <v>32588390.123</v>
      </c>
      <c r="AE53" s="33">
        <v>0</v>
      </c>
      <c r="AF53" s="33">
        <v>0</v>
      </c>
      <c r="AG53" s="33">
        <v>0</v>
      </c>
      <c r="AH53" s="284">
        <v>32588390.123</v>
      </c>
      <c r="AI53" s="33">
        <v>20719704.243000001</v>
      </c>
      <c r="AJ53" s="33">
        <v>0</v>
      </c>
      <c r="AK53" s="33">
        <v>0</v>
      </c>
      <c r="AL53" s="33">
        <v>0</v>
      </c>
      <c r="AM53" s="284">
        <v>20719704.243000001</v>
      </c>
      <c r="AN53" s="33">
        <v>3593963.963</v>
      </c>
      <c r="AO53" s="33">
        <v>0</v>
      </c>
      <c r="AP53" s="33">
        <v>0</v>
      </c>
      <c r="AQ53" s="33">
        <v>0</v>
      </c>
      <c r="AR53" s="30">
        <v>3593963.963</v>
      </c>
      <c r="AS53" s="33">
        <v>2242145.0050000004</v>
      </c>
      <c r="AT53" s="33">
        <v>0</v>
      </c>
      <c r="AU53" s="33">
        <v>0</v>
      </c>
      <c r="AV53" s="33">
        <v>0</v>
      </c>
      <c r="AW53" s="30">
        <v>2242145.0050000004</v>
      </c>
      <c r="AX53" s="33">
        <v>23505078</v>
      </c>
      <c r="AY53" s="33">
        <v>0</v>
      </c>
      <c r="AZ53" s="33">
        <v>0</v>
      </c>
      <c r="BA53" s="33">
        <v>0</v>
      </c>
      <c r="BB53" s="30">
        <v>23505078</v>
      </c>
      <c r="BC53" s="33">
        <v>33703384.236999996</v>
      </c>
      <c r="BD53" s="33">
        <v>0</v>
      </c>
      <c r="BE53" s="33">
        <v>0</v>
      </c>
      <c r="BF53" s="33">
        <v>0</v>
      </c>
      <c r="BG53" s="30">
        <v>33703384.236999996</v>
      </c>
      <c r="BH53" s="33">
        <v>32103379.975990001</v>
      </c>
      <c r="BI53" s="33">
        <v>0</v>
      </c>
      <c r="BJ53" s="33">
        <v>0</v>
      </c>
      <c r="BK53" s="33">
        <v>0</v>
      </c>
      <c r="BL53" s="30">
        <v>32103379.975990001</v>
      </c>
      <c r="BM53" s="33">
        <v>21155807</v>
      </c>
      <c r="BN53" s="33">
        <v>0</v>
      </c>
      <c r="BO53" s="33">
        <v>0</v>
      </c>
      <c r="BP53" s="33">
        <v>0</v>
      </c>
      <c r="BQ53" s="30">
        <v>21155807</v>
      </c>
      <c r="BR53" s="33">
        <v>232595658.10398999</v>
      </c>
      <c r="BS53" s="33">
        <v>0</v>
      </c>
      <c r="BT53" s="33">
        <v>0</v>
      </c>
      <c r="BU53" s="33">
        <v>0</v>
      </c>
      <c r="BV53" s="284">
        <v>232595658.10398999</v>
      </c>
      <c r="BW53" s="244"/>
      <c r="BX53" s="238">
        <v>99.814554358012685</v>
      </c>
      <c r="BZ53" s="19"/>
      <c r="CA53" s="308"/>
      <c r="CB53" s="411"/>
    </row>
    <row r="54" spans="1:80" s="25" customFormat="1" x14ac:dyDescent="0.2">
      <c r="A54" s="363" t="s">
        <v>118</v>
      </c>
      <c r="D54" s="207"/>
      <c r="E54" s="28">
        <v>232449798</v>
      </c>
      <c r="F54" s="28">
        <v>0</v>
      </c>
      <c r="G54" s="28">
        <v>0</v>
      </c>
      <c r="H54" s="28">
        <v>0</v>
      </c>
      <c r="I54" s="454">
        <v>232449798</v>
      </c>
      <c r="J54" s="463">
        <v>4134676.6850000001</v>
      </c>
      <c r="K54" s="28">
        <v>0</v>
      </c>
      <c r="L54" s="28">
        <v>0</v>
      </c>
      <c r="M54" s="28">
        <v>0</v>
      </c>
      <c r="N54" s="454">
        <v>4134676.6850000001</v>
      </c>
      <c r="O54" s="28">
        <v>1746663.6</v>
      </c>
      <c r="P54" s="28">
        <v>0</v>
      </c>
      <c r="Q54" s="28">
        <v>0</v>
      </c>
      <c r="R54" s="28">
        <v>0</v>
      </c>
      <c r="S54" s="454">
        <v>1746663.6</v>
      </c>
      <c r="T54" s="28">
        <v>23286764</v>
      </c>
      <c r="U54" s="28">
        <v>0</v>
      </c>
      <c r="V54" s="28">
        <v>0</v>
      </c>
      <c r="W54" s="28">
        <v>0</v>
      </c>
      <c r="X54" s="454">
        <v>23286764</v>
      </c>
      <c r="Y54" s="260">
        <v>33793154.909999996</v>
      </c>
      <c r="Z54" s="28">
        <v>0</v>
      </c>
      <c r="AA54" s="28">
        <v>0</v>
      </c>
      <c r="AB54" s="28">
        <v>0</v>
      </c>
      <c r="AC54" s="454">
        <v>33793154.909999996</v>
      </c>
      <c r="AD54" s="28">
        <v>32588003.640999999</v>
      </c>
      <c r="AE54" s="28">
        <v>0</v>
      </c>
      <c r="AF54" s="28">
        <v>0</v>
      </c>
      <c r="AG54" s="28">
        <v>0</v>
      </c>
      <c r="AH54" s="454">
        <v>32588003.640999999</v>
      </c>
      <c r="AI54" s="28">
        <v>20719641.107999999</v>
      </c>
      <c r="AJ54" s="28">
        <v>0</v>
      </c>
      <c r="AK54" s="28">
        <v>0</v>
      </c>
      <c r="AL54" s="28">
        <v>0</v>
      </c>
      <c r="AM54" s="454">
        <v>20719641.107999999</v>
      </c>
      <c r="AN54" s="28">
        <v>3229087.1039999998</v>
      </c>
      <c r="AO54" s="28">
        <v>0</v>
      </c>
      <c r="AP54" s="28">
        <v>0</v>
      </c>
      <c r="AQ54" s="28">
        <v>0</v>
      </c>
      <c r="AR54" s="454">
        <v>3229087.1039999998</v>
      </c>
      <c r="AS54" s="28">
        <v>2242055.5410000002</v>
      </c>
      <c r="AT54" s="28">
        <v>0</v>
      </c>
      <c r="AU54" s="28">
        <v>0</v>
      </c>
      <c r="AV54" s="28">
        <v>0</v>
      </c>
      <c r="AW54" s="454">
        <v>2242055.5410000002</v>
      </c>
      <c r="AX54" s="28">
        <v>23504930</v>
      </c>
      <c r="AY54" s="28">
        <v>0</v>
      </c>
      <c r="AZ54" s="28">
        <v>0</v>
      </c>
      <c r="BA54" s="28">
        <v>0</v>
      </c>
      <c r="BB54" s="454">
        <v>23504930</v>
      </c>
      <c r="BC54" s="28">
        <v>33703219.071999997</v>
      </c>
      <c r="BD54" s="28">
        <v>0</v>
      </c>
      <c r="BE54" s="28">
        <v>0</v>
      </c>
      <c r="BF54" s="28">
        <v>0</v>
      </c>
      <c r="BG54" s="454">
        <v>33703219.071999997</v>
      </c>
      <c r="BH54" s="28">
        <v>32093807</v>
      </c>
      <c r="BI54" s="28">
        <v>0</v>
      </c>
      <c r="BJ54" s="28">
        <v>0</v>
      </c>
      <c r="BK54" s="28">
        <v>0</v>
      </c>
      <c r="BL54" s="454">
        <v>32093807</v>
      </c>
      <c r="BM54" s="28">
        <v>21113388</v>
      </c>
      <c r="BN54" s="28">
        <v>0</v>
      </c>
      <c r="BO54" s="28">
        <v>0</v>
      </c>
      <c r="BP54" s="28">
        <v>0</v>
      </c>
      <c r="BQ54" s="454">
        <v>21113388</v>
      </c>
      <c r="BR54" s="28">
        <v>232155390.66099998</v>
      </c>
      <c r="BS54" s="28">
        <v>0</v>
      </c>
      <c r="BT54" s="28">
        <v>0</v>
      </c>
      <c r="BU54" s="28">
        <v>0</v>
      </c>
      <c r="BV54" s="454">
        <v>232155390.66099998</v>
      </c>
      <c r="BW54" s="268"/>
      <c r="BX54" s="238">
        <v>99.873345840033807</v>
      </c>
      <c r="BY54" s="157"/>
      <c r="BZ54" s="19"/>
      <c r="CB54" s="411"/>
    </row>
    <row r="55" spans="1:80" s="25" customFormat="1" x14ac:dyDescent="0.2">
      <c r="A55" s="363" t="s">
        <v>239</v>
      </c>
      <c r="D55" s="207"/>
      <c r="E55" s="28">
        <v>578000</v>
      </c>
      <c r="F55" s="28">
        <v>0</v>
      </c>
      <c r="G55" s="28">
        <v>0</v>
      </c>
      <c r="H55" s="28">
        <v>0</v>
      </c>
      <c r="I55" s="454">
        <v>578000</v>
      </c>
      <c r="J55" s="463">
        <v>21785.741999999998</v>
      </c>
      <c r="K55" s="28">
        <v>0</v>
      </c>
      <c r="L55" s="28">
        <v>0</v>
      </c>
      <c r="M55" s="28">
        <v>0</v>
      </c>
      <c r="N55" s="454">
        <v>21785.741999999998</v>
      </c>
      <c r="O55" s="28">
        <v>295.52999999999997</v>
      </c>
      <c r="P55" s="28">
        <v>0</v>
      </c>
      <c r="Q55" s="28">
        <v>0</v>
      </c>
      <c r="R55" s="28">
        <v>0</v>
      </c>
      <c r="S55" s="454">
        <v>295.52999999999997</v>
      </c>
      <c r="T55" s="28">
        <v>372</v>
      </c>
      <c r="U55" s="28">
        <v>0</v>
      </c>
      <c r="V55" s="28">
        <v>0</v>
      </c>
      <c r="W55" s="28">
        <v>0</v>
      </c>
      <c r="X55" s="454">
        <v>372</v>
      </c>
      <c r="Y55" s="260">
        <v>93.09</v>
      </c>
      <c r="Z55" s="28">
        <v>0</v>
      </c>
      <c r="AA55" s="28">
        <v>0</v>
      </c>
      <c r="AB55" s="28">
        <v>0</v>
      </c>
      <c r="AC55" s="284">
        <v>93.09</v>
      </c>
      <c r="AD55" s="28">
        <v>386.48200000000003</v>
      </c>
      <c r="AE55" s="28">
        <v>0</v>
      </c>
      <c r="AF55" s="28">
        <v>0</v>
      </c>
      <c r="AG55" s="28">
        <v>0</v>
      </c>
      <c r="AH55" s="454">
        <v>386.48200000000003</v>
      </c>
      <c r="AI55" s="28">
        <v>63.134999999999998</v>
      </c>
      <c r="AJ55" s="28">
        <v>0</v>
      </c>
      <c r="AK55" s="28">
        <v>0</v>
      </c>
      <c r="AL55" s="28">
        <v>0</v>
      </c>
      <c r="AM55" s="454">
        <v>63.134999999999998</v>
      </c>
      <c r="AN55" s="28">
        <v>364876.859</v>
      </c>
      <c r="AO55" s="28">
        <v>0</v>
      </c>
      <c r="AP55" s="28">
        <v>0</v>
      </c>
      <c r="AQ55" s="28">
        <v>0</v>
      </c>
      <c r="AR55" s="454">
        <v>364876.859</v>
      </c>
      <c r="AS55" s="28">
        <v>89.463999999999999</v>
      </c>
      <c r="AT55" s="28">
        <v>0</v>
      </c>
      <c r="AU55" s="28">
        <v>0</v>
      </c>
      <c r="AV55" s="28">
        <v>0</v>
      </c>
      <c r="AW55" s="454">
        <v>89.463999999999999</v>
      </c>
      <c r="AX55" s="28">
        <v>148</v>
      </c>
      <c r="AY55" s="28">
        <v>0</v>
      </c>
      <c r="AZ55" s="28">
        <v>0</v>
      </c>
      <c r="BA55" s="28">
        <v>0</v>
      </c>
      <c r="BB55" s="454">
        <v>148</v>
      </c>
      <c r="BC55" s="28">
        <v>165.16499999999999</v>
      </c>
      <c r="BD55" s="28">
        <v>0</v>
      </c>
      <c r="BE55" s="28">
        <v>0</v>
      </c>
      <c r="BF55" s="28">
        <v>0</v>
      </c>
      <c r="BG55" s="454">
        <v>165.16499999999999</v>
      </c>
      <c r="BH55" s="28">
        <v>9572.9759900000008</v>
      </c>
      <c r="BI55" s="28">
        <v>0</v>
      </c>
      <c r="BJ55" s="28">
        <v>0</v>
      </c>
      <c r="BK55" s="28">
        <v>0</v>
      </c>
      <c r="BL55" s="454">
        <v>9572.9759900000008</v>
      </c>
      <c r="BM55" s="28">
        <v>42419</v>
      </c>
      <c r="BN55" s="28">
        <v>0</v>
      </c>
      <c r="BO55" s="28">
        <v>0</v>
      </c>
      <c r="BP55" s="28">
        <v>0</v>
      </c>
      <c r="BQ55" s="454">
        <v>42419</v>
      </c>
      <c r="BR55" s="28">
        <v>440267.44298999995</v>
      </c>
      <c r="BS55" s="28">
        <v>0</v>
      </c>
      <c r="BT55" s="28">
        <v>0</v>
      </c>
      <c r="BU55" s="28">
        <v>0</v>
      </c>
      <c r="BV55" s="454">
        <v>440267.44298999995</v>
      </c>
      <c r="BW55" s="268"/>
      <c r="BX55" s="238"/>
      <c r="BY55" s="157"/>
      <c r="BZ55" s="19"/>
      <c r="CA55" s="308"/>
      <c r="CB55" s="411"/>
    </row>
    <row r="56" spans="1:80" x14ac:dyDescent="0.2">
      <c r="A56" s="395" t="s">
        <v>240</v>
      </c>
      <c r="B56" s="436"/>
      <c r="D56" s="123"/>
      <c r="E56" s="33">
        <v>0</v>
      </c>
      <c r="F56" s="28">
        <v>520717021</v>
      </c>
      <c r="G56" s="33">
        <v>0</v>
      </c>
      <c r="H56" s="33">
        <v>0</v>
      </c>
      <c r="I56" s="284">
        <v>520717021</v>
      </c>
      <c r="J56" s="325">
        <v>0</v>
      </c>
      <c r="K56" s="33">
        <v>44872627</v>
      </c>
      <c r="L56" s="33">
        <v>0</v>
      </c>
      <c r="M56" s="33">
        <v>0</v>
      </c>
      <c r="N56" s="284">
        <v>44872627</v>
      </c>
      <c r="O56" s="33">
        <v>0</v>
      </c>
      <c r="P56" s="33">
        <v>44872627</v>
      </c>
      <c r="Q56" s="33">
        <v>0</v>
      </c>
      <c r="R56" s="33">
        <v>0</v>
      </c>
      <c r="S56" s="284">
        <v>44872627</v>
      </c>
      <c r="T56" s="33">
        <v>0</v>
      </c>
      <c r="U56" s="33">
        <v>44872627</v>
      </c>
      <c r="V56" s="33">
        <v>0</v>
      </c>
      <c r="W56" s="33">
        <v>0</v>
      </c>
      <c r="X56" s="284">
        <v>44872627</v>
      </c>
      <c r="Y56" s="33">
        <v>0</v>
      </c>
      <c r="Z56" s="33">
        <v>44872627</v>
      </c>
      <c r="AA56" s="33">
        <v>0</v>
      </c>
      <c r="AB56" s="33">
        <v>0</v>
      </c>
      <c r="AC56" s="284">
        <v>44872627</v>
      </c>
      <c r="AD56" s="33">
        <v>0</v>
      </c>
      <c r="AE56" s="33">
        <v>44872627</v>
      </c>
      <c r="AF56" s="33">
        <v>0</v>
      </c>
      <c r="AG56" s="33">
        <v>0</v>
      </c>
      <c r="AH56" s="284">
        <v>44872627</v>
      </c>
      <c r="AI56" s="33">
        <v>0</v>
      </c>
      <c r="AJ56" s="33">
        <v>44872627</v>
      </c>
      <c r="AK56" s="33">
        <v>0</v>
      </c>
      <c r="AL56" s="33">
        <v>0</v>
      </c>
      <c r="AM56" s="284">
        <v>44872627</v>
      </c>
      <c r="AN56" s="33">
        <v>0</v>
      </c>
      <c r="AO56" s="33">
        <v>44872627</v>
      </c>
      <c r="AP56" s="33">
        <v>0</v>
      </c>
      <c r="AQ56" s="33">
        <v>0</v>
      </c>
      <c r="AR56" s="284">
        <v>44872627</v>
      </c>
      <c r="AS56" s="33">
        <v>0</v>
      </c>
      <c r="AT56" s="33">
        <v>44872626</v>
      </c>
      <c r="AU56" s="33">
        <v>0</v>
      </c>
      <c r="AV56" s="33">
        <v>0</v>
      </c>
      <c r="AW56" s="284">
        <v>44872626</v>
      </c>
      <c r="AX56" s="33">
        <v>0</v>
      </c>
      <c r="AY56" s="33">
        <v>44872625</v>
      </c>
      <c r="AZ56" s="33">
        <v>0</v>
      </c>
      <c r="BA56" s="33">
        <v>0</v>
      </c>
      <c r="BB56" s="284">
        <v>44872625</v>
      </c>
      <c r="BC56" s="33">
        <v>0</v>
      </c>
      <c r="BD56" s="33">
        <v>38954457</v>
      </c>
      <c r="BE56" s="33">
        <v>0</v>
      </c>
      <c r="BF56" s="33">
        <v>0</v>
      </c>
      <c r="BG56" s="284">
        <v>38954457</v>
      </c>
      <c r="BH56" s="33">
        <v>0</v>
      </c>
      <c r="BI56" s="33">
        <v>38954457</v>
      </c>
      <c r="BJ56" s="33">
        <v>0</v>
      </c>
      <c r="BK56" s="33">
        <v>0</v>
      </c>
      <c r="BL56" s="284">
        <v>38954457</v>
      </c>
      <c r="BM56" s="33">
        <v>0</v>
      </c>
      <c r="BN56" s="33">
        <v>38954467</v>
      </c>
      <c r="BO56" s="33">
        <v>0</v>
      </c>
      <c r="BP56" s="33">
        <v>0</v>
      </c>
      <c r="BQ56" s="284">
        <v>38954467</v>
      </c>
      <c r="BR56" s="33">
        <v>0</v>
      </c>
      <c r="BS56" s="33">
        <v>520717021</v>
      </c>
      <c r="BT56" s="33">
        <v>0</v>
      </c>
      <c r="BU56" s="33">
        <v>0</v>
      </c>
      <c r="BV56" s="284">
        <v>520717021</v>
      </c>
      <c r="BW56" s="244"/>
      <c r="BX56" s="238">
        <v>100</v>
      </c>
      <c r="BY56" s="157">
        <v>534743899</v>
      </c>
      <c r="BZ56" s="19">
        <v>0</v>
      </c>
      <c r="CA56" s="308"/>
      <c r="CB56" s="411"/>
    </row>
    <row r="57" spans="1:80" ht="13.5" customHeight="1" x14ac:dyDescent="0.2">
      <c r="A57" s="395" t="s">
        <v>241</v>
      </c>
      <c r="B57" s="436"/>
      <c r="D57" s="52"/>
      <c r="E57" s="33">
        <v>0</v>
      </c>
      <c r="F57" s="33">
        <v>14026878</v>
      </c>
      <c r="G57" s="33">
        <v>0</v>
      </c>
      <c r="H57" s="33">
        <v>0</v>
      </c>
      <c r="I57" s="284">
        <v>14026878</v>
      </c>
      <c r="J57" s="325">
        <v>0</v>
      </c>
      <c r="K57" s="33">
        <v>0</v>
      </c>
      <c r="L57" s="33">
        <v>0</v>
      </c>
      <c r="M57" s="33">
        <v>0</v>
      </c>
      <c r="N57" s="284">
        <v>0</v>
      </c>
      <c r="O57" s="33">
        <v>0</v>
      </c>
      <c r="P57" s="33">
        <v>0</v>
      </c>
      <c r="Q57" s="33">
        <v>0</v>
      </c>
      <c r="R57" s="33">
        <v>0</v>
      </c>
      <c r="S57" s="284">
        <v>0</v>
      </c>
      <c r="T57" s="33">
        <v>0</v>
      </c>
      <c r="U57" s="33">
        <v>0</v>
      </c>
      <c r="V57" s="33">
        <v>0</v>
      </c>
      <c r="W57" s="33">
        <v>0</v>
      </c>
      <c r="X57" s="284">
        <v>0</v>
      </c>
      <c r="Y57" s="33">
        <v>0</v>
      </c>
      <c r="Z57" s="33">
        <v>0</v>
      </c>
      <c r="AA57" s="33">
        <v>0</v>
      </c>
      <c r="AB57" s="33">
        <v>0</v>
      </c>
      <c r="AC57" s="284">
        <v>0</v>
      </c>
      <c r="AD57" s="33">
        <v>0</v>
      </c>
      <c r="AE57" s="33">
        <v>4675628</v>
      </c>
      <c r="AF57" s="33">
        <v>0</v>
      </c>
      <c r="AG57" s="33">
        <v>0</v>
      </c>
      <c r="AH57" s="284">
        <v>4675628</v>
      </c>
      <c r="AI57" s="33">
        <v>0</v>
      </c>
      <c r="AJ57" s="33">
        <v>0</v>
      </c>
      <c r="AK57" s="33">
        <v>0</v>
      </c>
      <c r="AL57" s="33">
        <v>0</v>
      </c>
      <c r="AM57" s="284">
        <v>0</v>
      </c>
      <c r="AN57" s="33">
        <v>0</v>
      </c>
      <c r="AO57" s="33">
        <v>0</v>
      </c>
      <c r="AP57" s="33">
        <v>0</v>
      </c>
      <c r="AQ57" s="33">
        <v>0</v>
      </c>
      <c r="AR57" s="284">
        <v>0</v>
      </c>
      <c r="AS57" s="33">
        <v>0</v>
      </c>
      <c r="AT57" s="33">
        <v>0</v>
      </c>
      <c r="AU57" s="33">
        <v>0</v>
      </c>
      <c r="AV57" s="33">
        <v>0</v>
      </c>
      <c r="AW57" s="284">
        <v>0</v>
      </c>
      <c r="AX57" s="33">
        <v>0</v>
      </c>
      <c r="AY57" s="33">
        <v>4675628</v>
      </c>
      <c r="AZ57" s="33">
        <v>0</v>
      </c>
      <c r="BA57" s="33">
        <v>0</v>
      </c>
      <c r="BB57" s="284">
        <v>4675628</v>
      </c>
      <c r="BC57" s="33">
        <v>0</v>
      </c>
      <c r="BD57" s="33">
        <v>0</v>
      </c>
      <c r="BE57" s="33">
        <v>0</v>
      </c>
      <c r="BF57" s="33">
        <v>0</v>
      </c>
      <c r="BG57" s="284">
        <v>0</v>
      </c>
      <c r="BH57" s="33">
        <v>0</v>
      </c>
      <c r="BI57" s="33">
        <v>0</v>
      </c>
      <c r="BJ57" s="33">
        <v>0</v>
      </c>
      <c r="BK57" s="33">
        <v>0</v>
      </c>
      <c r="BL57" s="284">
        <v>0</v>
      </c>
      <c r="BM57" s="33">
        <v>0</v>
      </c>
      <c r="BN57" s="33">
        <v>4675622</v>
      </c>
      <c r="BO57" s="33">
        <v>0</v>
      </c>
      <c r="BP57" s="33">
        <v>0</v>
      </c>
      <c r="BQ57" s="284">
        <v>4675622</v>
      </c>
      <c r="BR57" s="33">
        <v>0</v>
      </c>
      <c r="BS57" s="33">
        <v>14026878</v>
      </c>
      <c r="BT57" s="33">
        <v>0</v>
      </c>
      <c r="BU57" s="33">
        <v>0</v>
      </c>
      <c r="BV57" s="284">
        <v>14026878</v>
      </c>
      <c r="BW57" s="244"/>
      <c r="BX57" s="238">
        <v>100</v>
      </c>
      <c r="BZ57" s="19"/>
      <c r="CA57" s="308"/>
      <c r="CB57" s="411"/>
    </row>
    <row r="58" spans="1:80" ht="12.75" customHeight="1" x14ac:dyDescent="0.2">
      <c r="A58" s="395" t="s">
        <v>242</v>
      </c>
      <c r="B58" s="436"/>
      <c r="D58" s="123" t="s">
        <v>103</v>
      </c>
      <c r="E58" s="33">
        <v>0</v>
      </c>
      <c r="F58" s="33">
        <v>0</v>
      </c>
      <c r="G58" s="33">
        <v>0</v>
      </c>
      <c r="H58" s="33">
        <v>177615</v>
      </c>
      <c r="I58" s="284">
        <v>177615</v>
      </c>
      <c r="J58" s="325">
        <v>0</v>
      </c>
      <c r="K58" s="33">
        <v>0</v>
      </c>
      <c r="L58" s="33">
        <v>0</v>
      </c>
      <c r="M58" s="33">
        <v>18</v>
      </c>
      <c r="N58" s="284">
        <v>18</v>
      </c>
      <c r="O58" s="33">
        <v>0</v>
      </c>
      <c r="P58" s="33">
        <v>0</v>
      </c>
      <c r="Q58" s="33">
        <v>0</v>
      </c>
      <c r="R58" s="33">
        <v>111334</v>
      </c>
      <c r="S58" s="284">
        <v>111334</v>
      </c>
      <c r="T58" s="33">
        <v>0</v>
      </c>
      <c r="U58" s="33">
        <v>0</v>
      </c>
      <c r="V58" s="33">
        <v>0</v>
      </c>
      <c r="W58" s="33">
        <v>2</v>
      </c>
      <c r="X58" s="284">
        <v>2</v>
      </c>
      <c r="Y58" s="33">
        <v>0</v>
      </c>
      <c r="Z58" s="33">
        <v>0</v>
      </c>
      <c r="AA58" s="33">
        <v>0</v>
      </c>
      <c r="AB58" s="33">
        <v>0</v>
      </c>
      <c r="AC58" s="284">
        <v>0</v>
      </c>
      <c r="AD58" s="33">
        <v>0</v>
      </c>
      <c r="AE58" s="33">
        <v>0</v>
      </c>
      <c r="AF58" s="33">
        <v>0</v>
      </c>
      <c r="AG58" s="33">
        <v>1</v>
      </c>
      <c r="AH58" s="284">
        <v>1</v>
      </c>
      <c r="AI58" s="33">
        <v>0</v>
      </c>
      <c r="AJ58" s="33">
        <v>0</v>
      </c>
      <c r="AK58" s="33">
        <v>0</v>
      </c>
      <c r="AL58" s="33">
        <v>66260</v>
      </c>
      <c r="AM58" s="284">
        <v>66260</v>
      </c>
      <c r="AN58" s="33">
        <v>0</v>
      </c>
      <c r="AO58" s="33">
        <v>0</v>
      </c>
      <c r="AP58" s="33">
        <v>0</v>
      </c>
      <c r="AQ58" s="33">
        <v>260</v>
      </c>
      <c r="AR58" s="284">
        <v>260</v>
      </c>
      <c r="AS58" s="33">
        <v>0</v>
      </c>
      <c r="AT58" s="33">
        <v>0</v>
      </c>
      <c r="AU58" s="33">
        <v>0</v>
      </c>
      <c r="AV58" s="33">
        <v>0</v>
      </c>
      <c r="AW58" s="284">
        <v>0</v>
      </c>
      <c r="AX58" s="33">
        <v>0</v>
      </c>
      <c r="AY58" s="33">
        <v>0</v>
      </c>
      <c r="AZ58" s="33">
        <v>0</v>
      </c>
      <c r="BA58" s="33">
        <v>2</v>
      </c>
      <c r="BB58" s="284">
        <v>2</v>
      </c>
      <c r="BC58" s="33">
        <v>0</v>
      </c>
      <c r="BD58" s="33">
        <v>0</v>
      </c>
      <c r="BE58" s="33">
        <v>0</v>
      </c>
      <c r="BF58" s="33">
        <v>8</v>
      </c>
      <c r="BG58" s="284">
        <v>8</v>
      </c>
      <c r="BH58" s="33">
        <v>0</v>
      </c>
      <c r="BI58" s="33">
        <v>0</v>
      </c>
      <c r="BJ58" s="33">
        <v>0</v>
      </c>
      <c r="BK58" s="33">
        <v>410372</v>
      </c>
      <c r="BL58" s="284">
        <v>410372</v>
      </c>
      <c r="BM58" s="33">
        <v>0</v>
      </c>
      <c r="BN58" s="33">
        <v>0</v>
      </c>
      <c r="BO58" s="33">
        <v>0</v>
      </c>
      <c r="BP58" s="33">
        <v>86</v>
      </c>
      <c r="BQ58" s="284">
        <v>86</v>
      </c>
      <c r="BR58" s="33">
        <v>0</v>
      </c>
      <c r="BS58" s="33">
        <v>0</v>
      </c>
      <c r="BT58" s="33">
        <v>0</v>
      </c>
      <c r="BU58" s="33">
        <v>588343</v>
      </c>
      <c r="BV58" s="284">
        <v>588343</v>
      </c>
      <c r="BW58" s="244"/>
      <c r="BX58" s="238">
        <v>331.24623483376968</v>
      </c>
      <c r="BZ58" s="19"/>
      <c r="CA58" s="308"/>
      <c r="CB58" s="411"/>
    </row>
    <row r="59" spans="1:80" x14ac:dyDescent="0.2">
      <c r="A59" s="395" t="s">
        <v>243</v>
      </c>
      <c r="B59" s="436"/>
      <c r="D59" s="123"/>
      <c r="E59" s="33">
        <v>0</v>
      </c>
      <c r="F59" s="33">
        <v>120001</v>
      </c>
      <c r="G59" s="33">
        <v>0</v>
      </c>
      <c r="H59" s="33">
        <v>0</v>
      </c>
      <c r="I59" s="284">
        <v>120001</v>
      </c>
      <c r="J59" s="325">
        <v>0</v>
      </c>
      <c r="K59" s="33">
        <v>0</v>
      </c>
      <c r="L59" s="33">
        <v>0</v>
      </c>
      <c r="M59" s="33">
        <v>0</v>
      </c>
      <c r="N59" s="284">
        <v>0</v>
      </c>
      <c r="O59" s="33">
        <v>0</v>
      </c>
      <c r="P59" s="33">
        <v>0</v>
      </c>
      <c r="Q59" s="33">
        <v>0</v>
      </c>
      <c r="R59" s="33">
        <v>0</v>
      </c>
      <c r="S59" s="284">
        <v>0</v>
      </c>
      <c r="T59" s="33">
        <v>0</v>
      </c>
      <c r="U59" s="33">
        <v>40000</v>
      </c>
      <c r="V59" s="33">
        <v>0</v>
      </c>
      <c r="W59" s="33">
        <v>0</v>
      </c>
      <c r="X59" s="284">
        <v>40000</v>
      </c>
      <c r="Y59" s="33">
        <v>0</v>
      </c>
      <c r="Z59" s="33">
        <v>0</v>
      </c>
      <c r="AA59" s="33">
        <v>0</v>
      </c>
      <c r="AB59" s="33">
        <v>0</v>
      </c>
      <c r="AC59" s="284">
        <v>0</v>
      </c>
      <c r="AD59" s="33">
        <v>0</v>
      </c>
      <c r="AE59" s="33">
        <v>0</v>
      </c>
      <c r="AF59" s="33">
        <v>0</v>
      </c>
      <c r="AG59" s="33">
        <v>0</v>
      </c>
      <c r="AH59" s="284">
        <v>0</v>
      </c>
      <c r="AI59" s="33">
        <v>0</v>
      </c>
      <c r="AJ59" s="33">
        <v>30000</v>
      </c>
      <c r="AK59" s="33">
        <v>0</v>
      </c>
      <c r="AL59" s="33">
        <v>0</v>
      </c>
      <c r="AM59" s="284">
        <v>30000</v>
      </c>
      <c r="AN59" s="33">
        <v>0</v>
      </c>
      <c r="AO59" s="33">
        <v>0</v>
      </c>
      <c r="AP59" s="33">
        <v>0</v>
      </c>
      <c r="AQ59" s="33">
        <v>0</v>
      </c>
      <c r="AR59" s="284">
        <v>0</v>
      </c>
      <c r="AS59" s="33">
        <v>0</v>
      </c>
      <c r="AT59" s="33">
        <v>0</v>
      </c>
      <c r="AU59" s="33">
        <v>0</v>
      </c>
      <c r="AV59" s="33">
        <v>0</v>
      </c>
      <c r="AW59" s="284">
        <v>0</v>
      </c>
      <c r="AX59" s="33">
        <v>0</v>
      </c>
      <c r="AY59" s="33">
        <v>0</v>
      </c>
      <c r="AZ59" s="33">
        <v>0</v>
      </c>
      <c r="BA59" s="33">
        <v>0</v>
      </c>
      <c r="BB59" s="284">
        <v>0</v>
      </c>
      <c r="BC59" s="33">
        <v>0</v>
      </c>
      <c r="BD59" s="33">
        <v>0</v>
      </c>
      <c r="BE59" s="33">
        <v>0</v>
      </c>
      <c r="BF59" s="33">
        <v>0</v>
      </c>
      <c r="BG59" s="284">
        <v>0</v>
      </c>
      <c r="BH59" s="33">
        <v>0</v>
      </c>
      <c r="BI59" s="33">
        <v>50000</v>
      </c>
      <c r="BJ59" s="33">
        <v>0</v>
      </c>
      <c r="BK59" s="33">
        <v>0</v>
      </c>
      <c r="BL59" s="284">
        <v>50000</v>
      </c>
      <c r="BM59" s="33">
        <v>0</v>
      </c>
      <c r="BN59" s="33">
        <v>0</v>
      </c>
      <c r="BO59" s="33">
        <v>0</v>
      </c>
      <c r="BP59" s="33">
        <v>0</v>
      </c>
      <c r="BQ59" s="284">
        <v>0</v>
      </c>
      <c r="BR59" s="33">
        <v>0</v>
      </c>
      <c r="BS59" s="33">
        <v>120000</v>
      </c>
      <c r="BT59" s="33">
        <v>0</v>
      </c>
      <c r="BU59" s="33">
        <v>0</v>
      </c>
      <c r="BV59" s="284">
        <v>120000</v>
      </c>
      <c r="BW59" s="244"/>
      <c r="BX59" s="238">
        <v>99.999166673611057</v>
      </c>
      <c r="BZ59" s="19"/>
      <c r="CA59" s="308"/>
      <c r="CB59" s="411"/>
    </row>
    <row r="60" spans="1:80" x14ac:dyDescent="0.2">
      <c r="A60" s="395" t="s">
        <v>244</v>
      </c>
      <c r="B60" s="436"/>
      <c r="D60" s="123"/>
      <c r="E60" s="33"/>
      <c r="F60" s="33"/>
      <c r="G60" s="33"/>
      <c r="H60" s="33"/>
      <c r="I60" s="284"/>
      <c r="J60" s="33"/>
      <c r="K60" s="33"/>
      <c r="L60" s="33"/>
      <c r="M60" s="33"/>
      <c r="N60" s="284"/>
      <c r="O60" s="33"/>
      <c r="P60" s="33"/>
      <c r="Q60" s="33"/>
      <c r="R60" s="33"/>
      <c r="S60" s="284"/>
      <c r="T60" s="33"/>
      <c r="U60" s="33"/>
      <c r="V60" s="33"/>
      <c r="W60" s="33"/>
      <c r="X60" s="284"/>
      <c r="Y60" s="33"/>
      <c r="Z60" s="33"/>
      <c r="AA60" s="33"/>
      <c r="AB60" s="33"/>
      <c r="AC60" s="30"/>
      <c r="AD60" s="33"/>
      <c r="AE60" s="33"/>
      <c r="AF60" s="33"/>
      <c r="AG60" s="33"/>
      <c r="AH60" s="284"/>
      <c r="AI60" s="33"/>
      <c r="AJ60" s="33"/>
      <c r="AK60" s="33"/>
      <c r="AL60" s="33"/>
      <c r="AM60" s="284"/>
      <c r="AN60" s="33"/>
      <c r="AO60" s="33"/>
      <c r="AP60" s="33"/>
      <c r="AQ60" s="33"/>
      <c r="AR60" s="284"/>
      <c r="AS60" s="33"/>
      <c r="AT60" s="33"/>
      <c r="AU60" s="33"/>
      <c r="AV60" s="33"/>
      <c r="AW60" s="284"/>
      <c r="AX60" s="33"/>
      <c r="AY60" s="33"/>
      <c r="AZ60" s="33"/>
      <c r="BA60" s="33"/>
      <c r="BB60" s="284"/>
      <c r="BC60" s="33"/>
      <c r="BD60" s="33"/>
      <c r="BE60" s="33"/>
      <c r="BF60" s="33"/>
      <c r="BG60" s="284"/>
      <c r="BH60" s="33"/>
      <c r="BI60" s="33"/>
      <c r="BJ60" s="33"/>
      <c r="BK60" s="33"/>
      <c r="BL60" s="284"/>
      <c r="BM60" s="33"/>
      <c r="BN60" s="33"/>
      <c r="BO60" s="33"/>
      <c r="BP60" s="33"/>
      <c r="BQ60" s="284"/>
      <c r="BR60" s="33"/>
      <c r="BS60" s="33"/>
      <c r="BT60" s="33"/>
      <c r="BU60" s="33"/>
      <c r="BV60" s="284"/>
      <c r="BW60" s="244"/>
      <c r="BX60" s="238"/>
      <c r="BZ60" s="19"/>
      <c r="CB60" s="411"/>
    </row>
    <row r="61" spans="1:80" x14ac:dyDescent="0.2">
      <c r="A61" s="161" t="s">
        <v>245</v>
      </c>
      <c r="B61" s="436"/>
      <c r="D61" s="123" t="s">
        <v>106</v>
      </c>
      <c r="E61" s="33">
        <v>0</v>
      </c>
      <c r="F61" s="33">
        <v>0</v>
      </c>
      <c r="G61" s="33">
        <v>0</v>
      </c>
      <c r="H61" s="33">
        <v>217761</v>
      </c>
      <c r="I61" s="284">
        <v>217761</v>
      </c>
      <c r="J61" s="33">
        <v>0</v>
      </c>
      <c r="K61" s="33">
        <v>0</v>
      </c>
      <c r="L61" s="33">
        <v>0</v>
      </c>
      <c r="M61" s="33">
        <v>0</v>
      </c>
      <c r="N61" s="30">
        <v>0</v>
      </c>
      <c r="O61" s="33">
        <v>0</v>
      </c>
      <c r="P61" s="33">
        <v>0</v>
      </c>
      <c r="Q61" s="33">
        <v>0</v>
      </c>
      <c r="R61" s="33">
        <v>0</v>
      </c>
      <c r="S61" s="30">
        <v>0</v>
      </c>
      <c r="T61" s="33">
        <v>0</v>
      </c>
      <c r="U61" s="33">
        <v>0</v>
      </c>
      <c r="V61" s="33">
        <v>0</v>
      </c>
      <c r="W61" s="33">
        <v>0</v>
      </c>
      <c r="X61" s="30">
        <v>0</v>
      </c>
      <c r="Y61" s="33">
        <v>0</v>
      </c>
      <c r="Z61" s="33">
        <v>0</v>
      </c>
      <c r="AA61" s="33">
        <v>0</v>
      </c>
      <c r="AB61" s="33">
        <v>0</v>
      </c>
      <c r="AC61" s="454">
        <v>0</v>
      </c>
      <c r="AD61" s="33">
        <v>0</v>
      </c>
      <c r="AE61" s="33">
        <v>0</v>
      </c>
      <c r="AF61" s="33">
        <v>0</v>
      </c>
      <c r="AG61" s="33">
        <v>0</v>
      </c>
      <c r="AH61" s="30">
        <v>0</v>
      </c>
      <c r="AI61" s="33">
        <v>0</v>
      </c>
      <c r="AJ61" s="33">
        <v>0</v>
      </c>
      <c r="AK61" s="33">
        <v>0</v>
      </c>
      <c r="AL61" s="33">
        <v>217761</v>
      </c>
      <c r="AM61" s="284">
        <v>217761</v>
      </c>
      <c r="AN61" s="33">
        <v>0</v>
      </c>
      <c r="AO61" s="33">
        <v>0</v>
      </c>
      <c r="AP61" s="33">
        <v>0</v>
      </c>
      <c r="AQ61" s="33">
        <v>0</v>
      </c>
      <c r="AR61" s="30">
        <v>0</v>
      </c>
      <c r="AS61" s="33">
        <v>0</v>
      </c>
      <c r="AT61" s="33">
        <v>0</v>
      </c>
      <c r="AU61" s="33">
        <v>0</v>
      </c>
      <c r="AV61" s="33">
        <v>0</v>
      </c>
      <c r="AW61" s="284">
        <v>0</v>
      </c>
      <c r="AX61" s="33">
        <v>0</v>
      </c>
      <c r="AY61" s="33">
        <v>0</v>
      </c>
      <c r="AZ61" s="33">
        <v>0</v>
      </c>
      <c r="BA61" s="33">
        <v>0</v>
      </c>
      <c r="BB61" s="30">
        <v>0</v>
      </c>
      <c r="BC61" s="33">
        <v>0</v>
      </c>
      <c r="BD61" s="33">
        <v>0</v>
      </c>
      <c r="BE61" s="33">
        <v>0</v>
      </c>
      <c r="BF61" s="33">
        <v>0</v>
      </c>
      <c r="BG61" s="30">
        <v>0</v>
      </c>
      <c r="BH61" s="33">
        <v>0</v>
      </c>
      <c r="BI61" s="33">
        <v>0</v>
      </c>
      <c r="BJ61" s="33">
        <v>0</v>
      </c>
      <c r="BK61" s="33">
        <v>266904</v>
      </c>
      <c r="BL61" s="30">
        <v>266904</v>
      </c>
      <c r="BM61" s="33">
        <v>0</v>
      </c>
      <c r="BN61" s="33">
        <v>0</v>
      </c>
      <c r="BO61" s="33">
        <v>0</v>
      </c>
      <c r="BP61" s="33">
        <v>0</v>
      </c>
      <c r="BQ61" s="30">
        <v>0</v>
      </c>
      <c r="BR61" s="33">
        <v>0</v>
      </c>
      <c r="BS61" s="33">
        <v>0</v>
      </c>
      <c r="BT61" s="33">
        <v>0</v>
      </c>
      <c r="BU61" s="33">
        <v>484665</v>
      </c>
      <c r="BV61" s="284">
        <v>484665</v>
      </c>
      <c r="BW61" s="244"/>
      <c r="BX61" s="238"/>
      <c r="BZ61" s="19"/>
      <c r="CB61" s="411"/>
    </row>
    <row r="62" spans="1:80" x14ac:dyDescent="0.2">
      <c r="A62" s="6"/>
      <c r="B62" s="436" t="s">
        <v>246</v>
      </c>
      <c r="E62" s="28">
        <v>0</v>
      </c>
      <c r="F62" s="28">
        <v>0</v>
      </c>
      <c r="G62" s="28">
        <v>0</v>
      </c>
      <c r="H62" s="28">
        <v>143395</v>
      </c>
      <c r="I62" s="454">
        <v>143395</v>
      </c>
      <c r="J62" s="463"/>
      <c r="K62" s="28"/>
      <c r="L62" s="28"/>
      <c r="M62" s="28"/>
      <c r="N62" s="454"/>
      <c r="O62" s="28"/>
      <c r="P62" s="28"/>
      <c r="Q62" s="28"/>
      <c r="R62" s="28"/>
      <c r="S62" s="454"/>
      <c r="T62" s="28"/>
      <c r="U62" s="28"/>
      <c r="V62" s="28"/>
      <c r="W62" s="28"/>
      <c r="X62" s="454"/>
      <c r="Y62" s="28"/>
      <c r="Z62" s="28"/>
      <c r="AA62" s="28"/>
      <c r="AB62" s="28"/>
      <c r="AC62" s="454"/>
      <c r="AD62" s="28"/>
      <c r="AE62" s="28"/>
      <c r="AF62" s="28"/>
      <c r="AG62" s="28"/>
      <c r="AH62" s="454"/>
      <c r="AI62" s="28">
        <v>0</v>
      </c>
      <c r="AJ62" s="28">
        <v>0</v>
      </c>
      <c r="AK62" s="28">
        <v>0</v>
      </c>
      <c r="AL62" s="28">
        <v>143395</v>
      </c>
      <c r="AM62" s="454">
        <v>143395</v>
      </c>
      <c r="AN62" s="28">
        <v>0</v>
      </c>
      <c r="AO62" s="28">
        <v>0</v>
      </c>
      <c r="AP62" s="28">
        <v>0</v>
      </c>
      <c r="AQ62" s="28">
        <v>0</v>
      </c>
      <c r="AR62" s="454">
        <v>0</v>
      </c>
      <c r="AS62" s="28">
        <v>0</v>
      </c>
      <c r="AT62" s="28">
        <v>0</v>
      </c>
      <c r="AU62" s="28">
        <v>0</v>
      </c>
      <c r="AV62" s="28">
        <v>0</v>
      </c>
      <c r="AW62" s="284">
        <v>0</v>
      </c>
      <c r="AX62" s="28">
        <v>0</v>
      </c>
      <c r="AY62" s="28">
        <v>0</v>
      </c>
      <c r="AZ62" s="28">
        <v>0</v>
      </c>
      <c r="BA62" s="28">
        <v>0</v>
      </c>
      <c r="BB62" s="454">
        <v>0</v>
      </c>
      <c r="BC62" s="28">
        <v>0</v>
      </c>
      <c r="BD62" s="28">
        <v>0</v>
      </c>
      <c r="BE62" s="28">
        <v>0</v>
      </c>
      <c r="BF62" s="28">
        <v>0</v>
      </c>
      <c r="BG62" s="454">
        <v>0</v>
      </c>
      <c r="BH62" s="28">
        <v>0</v>
      </c>
      <c r="BI62" s="28">
        <v>0</v>
      </c>
      <c r="BJ62" s="28">
        <v>0</v>
      </c>
      <c r="BK62" s="28">
        <v>266904</v>
      </c>
      <c r="BL62" s="284">
        <v>266904</v>
      </c>
      <c r="BM62" s="28">
        <v>0</v>
      </c>
      <c r="BN62" s="28">
        <v>0</v>
      </c>
      <c r="BO62" s="28">
        <v>0</v>
      </c>
      <c r="BP62" s="28">
        <v>0</v>
      </c>
      <c r="BQ62" s="454">
        <v>0</v>
      </c>
      <c r="BR62" s="28">
        <v>0</v>
      </c>
      <c r="BS62" s="28">
        <v>0</v>
      </c>
      <c r="BT62" s="28">
        <v>0</v>
      </c>
      <c r="BU62" s="28">
        <v>143395</v>
      </c>
      <c r="BV62" s="284">
        <v>143395</v>
      </c>
      <c r="BW62" s="244"/>
      <c r="BX62" s="238"/>
      <c r="BY62" s="157">
        <v>410298</v>
      </c>
      <c r="BZ62" s="19">
        <v>1</v>
      </c>
      <c r="CB62" s="411"/>
    </row>
    <row r="63" spans="1:80" x14ac:dyDescent="0.2">
      <c r="A63" s="6"/>
      <c r="B63" s="436" t="s">
        <v>624</v>
      </c>
      <c r="E63" s="28">
        <v>0</v>
      </c>
      <c r="F63" s="28">
        <v>0</v>
      </c>
      <c r="G63" s="28">
        <v>0</v>
      </c>
      <c r="H63" s="28">
        <v>0</v>
      </c>
      <c r="I63" s="454">
        <v>0</v>
      </c>
      <c r="J63" s="463"/>
      <c r="K63" s="28"/>
      <c r="L63" s="28"/>
      <c r="M63" s="28"/>
      <c r="N63" s="454"/>
      <c r="O63" s="28"/>
      <c r="P63" s="28"/>
      <c r="Q63" s="28"/>
      <c r="R63" s="28"/>
      <c r="S63" s="454"/>
      <c r="T63" s="28"/>
      <c r="U63" s="28"/>
      <c r="V63" s="28"/>
      <c r="W63" s="28"/>
      <c r="X63" s="454"/>
      <c r="Y63" s="28"/>
      <c r="Z63" s="28"/>
      <c r="AA63" s="28"/>
      <c r="AB63" s="28"/>
      <c r="AC63" s="454"/>
      <c r="AD63" s="28"/>
      <c r="AE63" s="28"/>
      <c r="AF63" s="28"/>
      <c r="AG63" s="28"/>
      <c r="AH63" s="454"/>
      <c r="AI63" s="28"/>
      <c r="AJ63" s="28"/>
      <c r="AK63" s="28"/>
      <c r="AL63" s="28"/>
      <c r="AM63" s="454"/>
      <c r="AN63" s="28"/>
      <c r="AO63" s="28"/>
      <c r="AP63" s="28"/>
      <c r="AQ63" s="28"/>
      <c r="AR63" s="454"/>
      <c r="AS63" s="28"/>
      <c r="AT63" s="28"/>
      <c r="AU63" s="28"/>
      <c r="AV63" s="28"/>
      <c r="AW63" s="284"/>
      <c r="AX63" s="28"/>
      <c r="AY63" s="28"/>
      <c r="AZ63" s="28"/>
      <c r="BA63" s="28"/>
      <c r="BB63" s="454"/>
      <c r="BC63" s="28"/>
      <c r="BD63" s="28"/>
      <c r="BE63" s="28"/>
      <c r="BF63" s="28"/>
      <c r="BG63" s="454"/>
      <c r="BH63" s="28"/>
      <c r="BI63" s="28"/>
      <c r="BJ63" s="28"/>
      <c r="BK63" s="28"/>
      <c r="BL63" s="284"/>
      <c r="BM63" s="28">
        <v>0</v>
      </c>
      <c r="BN63" s="28">
        <v>0</v>
      </c>
      <c r="BO63" s="28">
        <v>0</v>
      </c>
      <c r="BP63" s="28">
        <v>0</v>
      </c>
      <c r="BQ63" s="454">
        <v>0</v>
      </c>
      <c r="BR63" s="28"/>
      <c r="BS63" s="28"/>
      <c r="BT63" s="28"/>
      <c r="BU63" s="28">
        <f>410299-143395</f>
        <v>266904</v>
      </c>
      <c r="BV63" s="284">
        <v>266904</v>
      </c>
      <c r="BW63" s="244"/>
      <c r="BX63" s="238"/>
      <c r="BZ63" s="19"/>
      <c r="CB63" s="411"/>
    </row>
    <row r="64" spans="1:80" x14ac:dyDescent="0.2">
      <c r="A64" s="395"/>
      <c r="B64" s="7" t="s">
        <v>247</v>
      </c>
      <c r="D64" s="123"/>
      <c r="E64" s="28">
        <v>0</v>
      </c>
      <c r="F64" s="28">
        <v>0</v>
      </c>
      <c r="G64" s="28">
        <v>0</v>
      </c>
      <c r="H64" s="28">
        <v>74366</v>
      </c>
      <c r="I64" s="454">
        <v>74366</v>
      </c>
      <c r="J64" s="463">
        <v>0</v>
      </c>
      <c r="K64" s="28">
        <v>0</v>
      </c>
      <c r="L64" s="28">
        <v>0</v>
      </c>
      <c r="M64" s="28">
        <v>0</v>
      </c>
      <c r="N64" s="454">
        <v>0</v>
      </c>
      <c r="O64" s="28">
        <v>0</v>
      </c>
      <c r="P64" s="28">
        <v>0</v>
      </c>
      <c r="Q64" s="28">
        <v>0</v>
      </c>
      <c r="R64" s="28">
        <v>0</v>
      </c>
      <c r="S64" s="454">
        <v>0</v>
      </c>
      <c r="T64" s="28">
        <v>0</v>
      </c>
      <c r="U64" s="28">
        <v>0</v>
      </c>
      <c r="V64" s="28">
        <v>0</v>
      </c>
      <c r="W64" s="28">
        <v>0</v>
      </c>
      <c r="X64" s="454">
        <v>0</v>
      </c>
      <c r="Y64" s="28">
        <v>0</v>
      </c>
      <c r="Z64" s="28">
        <v>0</v>
      </c>
      <c r="AA64" s="28">
        <v>0</v>
      </c>
      <c r="AB64" s="28">
        <v>0</v>
      </c>
      <c r="AC64" s="30">
        <v>0</v>
      </c>
      <c r="AD64" s="28">
        <v>0</v>
      </c>
      <c r="AE64" s="28">
        <v>0</v>
      </c>
      <c r="AF64" s="28">
        <v>0</v>
      </c>
      <c r="AG64" s="28">
        <v>0</v>
      </c>
      <c r="AH64" s="454">
        <v>0</v>
      </c>
      <c r="AI64" s="28">
        <v>0</v>
      </c>
      <c r="AJ64" s="28">
        <v>0</v>
      </c>
      <c r="AK64" s="28">
        <v>0</v>
      </c>
      <c r="AL64" s="28">
        <v>74366</v>
      </c>
      <c r="AM64" s="454">
        <v>74366</v>
      </c>
      <c r="AN64" s="28">
        <v>0</v>
      </c>
      <c r="AO64" s="28">
        <v>0</v>
      </c>
      <c r="AP64" s="28">
        <v>0</v>
      </c>
      <c r="AQ64" s="28">
        <v>0</v>
      </c>
      <c r="AR64" s="454">
        <v>0</v>
      </c>
      <c r="AS64" s="28">
        <v>0</v>
      </c>
      <c r="AT64" s="28">
        <v>0</v>
      </c>
      <c r="AU64" s="28">
        <v>0</v>
      </c>
      <c r="AV64" s="28">
        <v>0</v>
      </c>
      <c r="AW64" s="454">
        <v>0</v>
      </c>
      <c r="AX64" s="28">
        <v>0</v>
      </c>
      <c r="AY64" s="28">
        <v>0</v>
      </c>
      <c r="AZ64" s="28">
        <v>0</v>
      </c>
      <c r="BA64" s="28">
        <v>0</v>
      </c>
      <c r="BB64" s="454">
        <v>0</v>
      </c>
      <c r="BC64" s="28">
        <v>0</v>
      </c>
      <c r="BD64" s="28">
        <v>0</v>
      </c>
      <c r="BE64" s="28">
        <v>0</v>
      </c>
      <c r="BF64" s="28">
        <v>0</v>
      </c>
      <c r="BG64" s="454">
        <v>0</v>
      </c>
      <c r="BH64" s="28">
        <v>0</v>
      </c>
      <c r="BI64" s="28">
        <v>0</v>
      </c>
      <c r="BJ64" s="28">
        <v>0</v>
      </c>
      <c r="BK64" s="28">
        <v>0</v>
      </c>
      <c r="BL64" s="284">
        <v>0</v>
      </c>
      <c r="BM64" s="28">
        <v>0</v>
      </c>
      <c r="BN64" s="28">
        <v>0</v>
      </c>
      <c r="BO64" s="28">
        <v>0</v>
      </c>
      <c r="BP64" s="28">
        <v>0</v>
      </c>
      <c r="BQ64" s="454">
        <v>0</v>
      </c>
      <c r="BR64" s="28">
        <v>0</v>
      </c>
      <c r="BS64" s="28">
        <v>0</v>
      </c>
      <c r="BT64" s="28">
        <v>0</v>
      </c>
      <c r="BU64" s="28">
        <v>74366</v>
      </c>
      <c r="BV64" s="284">
        <v>74366</v>
      </c>
      <c r="BW64" s="244"/>
      <c r="BX64" s="238"/>
      <c r="BZ64" s="19"/>
      <c r="CA64" s="308"/>
      <c r="CB64" s="411"/>
    </row>
    <row r="65" spans="1:80" hidden="1" x14ac:dyDescent="0.2">
      <c r="A65" s="161" t="s">
        <v>248</v>
      </c>
      <c r="B65" s="436"/>
      <c r="D65" s="123" t="s">
        <v>141</v>
      </c>
      <c r="E65" s="33">
        <v>0</v>
      </c>
      <c r="F65" s="33">
        <v>0</v>
      </c>
      <c r="G65" s="33">
        <v>0</v>
      </c>
      <c r="H65" s="33">
        <v>0</v>
      </c>
      <c r="I65" s="284">
        <v>0</v>
      </c>
      <c r="J65" s="33">
        <v>0</v>
      </c>
      <c r="K65" s="33">
        <v>0</v>
      </c>
      <c r="L65" s="33">
        <v>0</v>
      </c>
      <c r="M65" s="33">
        <v>0</v>
      </c>
      <c r="N65" s="30">
        <v>0</v>
      </c>
      <c r="O65" s="33">
        <v>0</v>
      </c>
      <c r="P65" s="33">
        <v>0</v>
      </c>
      <c r="Q65" s="33">
        <v>0</v>
      </c>
      <c r="R65" s="33">
        <v>0</v>
      </c>
      <c r="S65" s="30">
        <v>0</v>
      </c>
      <c r="T65" s="33">
        <v>0</v>
      </c>
      <c r="U65" s="33">
        <v>0</v>
      </c>
      <c r="V65" s="33">
        <v>0</v>
      </c>
      <c r="W65" s="33">
        <v>0</v>
      </c>
      <c r="X65" s="30">
        <v>0</v>
      </c>
      <c r="Y65" s="33">
        <v>0</v>
      </c>
      <c r="Z65" s="33">
        <v>0</v>
      </c>
      <c r="AA65" s="33">
        <v>0</v>
      </c>
      <c r="AB65" s="33">
        <v>0</v>
      </c>
      <c r="AC65" s="284">
        <v>0</v>
      </c>
      <c r="AD65" s="33">
        <v>0</v>
      </c>
      <c r="AE65" s="33">
        <v>0</v>
      </c>
      <c r="AF65" s="33">
        <v>0</v>
      </c>
      <c r="AG65" s="33">
        <v>0</v>
      </c>
      <c r="AH65" s="30">
        <v>0</v>
      </c>
      <c r="AI65" s="33">
        <v>0</v>
      </c>
      <c r="AJ65" s="33">
        <v>0</v>
      </c>
      <c r="AK65" s="33">
        <v>0</v>
      </c>
      <c r="AL65" s="33">
        <v>6571667</v>
      </c>
      <c r="AM65" s="284">
        <v>6571667</v>
      </c>
      <c r="AN65" s="33">
        <v>0</v>
      </c>
      <c r="AO65" s="33">
        <v>0</v>
      </c>
      <c r="AP65" s="33">
        <v>0</v>
      </c>
      <c r="AQ65" s="33">
        <v>0</v>
      </c>
      <c r="AR65" s="30">
        <v>0</v>
      </c>
      <c r="AS65" s="33">
        <v>0</v>
      </c>
      <c r="AT65" s="33">
        <v>0</v>
      </c>
      <c r="AU65" s="33">
        <v>0</v>
      </c>
      <c r="AV65" s="33">
        <v>0</v>
      </c>
      <c r="AW65" s="30">
        <v>0</v>
      </c>
      <c r="AX65" s="33">
        <v>0</v>
      </c>
      <c r="AY65" s="33">
        <v>0</v>
      </c>
      <c r="AZ65" s="33">
        <v>0</v>
      </c>
      <c r="BA65" s="33">
        <v>-6571667</v>
      </c>
      <c r="BB65" s="30">
        <v>-6571667</v>
      </c>
      <c r="BC65" s="33">
        <v>0</v>
      </c>
      <c r="BD65" s="33">
        <v>0</v>
      </c>
      <c r="BE65" s="33">
        <v>0</v>
      </c>
      <c r="BF65" s="33">
        <v>0</v>
      </c>
      <c r="BG65" s="30">
        <v>0</v>
      </c>
      <c r="BH65" s="33">
        <v>0</v>
      </c>
      <c r="BI65" s="33">
        <v>0</v>
      </c>
      <c r="BJ65" s="33">
        <v>0</v>
      </c>
      <c r="BK65" s="33">
        <v>0</v>
      </c>
      <c r="BL65" s="284">
        <v>0</v>
      </c>
      <c r="BM65" s="33">
        <v>0</v>
      </c>
      <c r="BN65" s="33">
        <v>0</v>
      </c>
      <c r="BO65" s="33">
        <v>0</v>
      </c>
      <c r="BP65" s="33">
        <v>0</v>
      </c>
      <c r="BQ65" s="30">
        <v>0</v>
      </c>
      <c r="BR65" s="33">
        <v>0</v>
      </c>
      <c r="BS65" s="33">
        <v>0</v>
      </c>
      <c r="BT65" s="33">
        <v>0</v>
      </c>
      <c r="BU65" s="33">
        <v>0</v>
      </c>
      <c r="BV65" s="284">
        <v>0</v>
      </c>
      <c r="BW65" s="244"/>
      <c r="BX65" s="238"/>
      <c r="BZ65" s="19"/>
      <c r="CA65" s="308"/>
      <c r="CB65" s="411"/>
    </row>
    <row r="66" spans="1:80" hidden="1" x14ac:dyDescent="0.2">
      <c r="A66" s="395"/>
      <c r="B66" s="436" t="s">
        <v>24</v>
      </c>
      <c r="D66" s="123"/>
      <c r="E66" s="33">
        <v>0</v>
      </c>
      <c r="F66" s="33">
        <v>0</v>
      </c>
      <c r="G66" s="33">
        <v>0</v>
      </c>
      <c r="H66" s="33">
        <v>0</v>
      </c>
      <c r="I66" s="284">
        <v>0</v>
      </c>
      <c r="J66" s="325"/>
      <c r="K66" s="33"/>
      <c r="L66" s="33"/>
      <c r="M66" s="33"/>
      <c r="N66" s="284"/>
      <c r="O66" s="33"/>
      <c r="P66" s="33"/>
      <c r="Q66" s="33"/>
      <c r="R66" s="33"/>
      <c r="S66" s="284"/>
      <c r="T66" s="33"/>
      <c r="U66" s="33"/>
      <c r="V66" s="33"/>
      <c r="W66" s="33"/>
      <c r="X66" s="284"/>
      <c r="Y66" s="33"/>
      <c r="Z66" s="33"/>
      <c r="AA66" s="33"/>
      <c r="AB66" s="33"/>
      <c r="AC66" s="284"/>
      <c r="AD66" s="33"/>
      <c r="AE66" s="33"/>
      <c r="AF66" s="33"/>
      <c r="AG66" s="33"/>
      <c r="AH66" s="284"/>
      <c r="AI66" s="33">
        <v>0</v>
      </c>
      <c r="AJ66" s="33">
        <v>0</v>
      </c>
      <c r="AK66" s="33">
        <v>0</v>
      </c>
      <c r="AL66" s="33">
        <v>6571667</v>
      </c>
      <c r="AM66" s="284">
        <v>6571667</v>
      </c>
      <c r="AN66" s="33">
        <v>0</v>
      </c>
      <c r="AO66" s="33">
        <v>0</v>
      </c>
      <c r="AP66" s="33">
        <v>0</v>
      </c>
      <c r="AQ66" s="33">
        <v>0</v>
      </c>
      <c r="AR66" s="284">
        <v>0</v>
      </c>
      <c r="AS66" s="33">
        <v>0</v>
      </c>
      <c r="AT66" s="33">
        <v>0</v>
      </c>
      <c r="AU66" s="33">
        <v>0</v>
      </c>
      <c r="AV66" s="33">
        <v>0</v>
      </c>
      <c r="AW66" s="284">
        <v>0</v>
      </c>
      <c r="AX66" s="33">
        <v>0</v>
      </c>
      <c r="AY66" s="33">
        <v>0</v>
      </c>
      <c r="AZ66" s="33">
        <v>0</v>
      </c>
      <c r="BA66" s="33">
        <v>-6571667</v>
      </c>
      <c r="BB66" s="284">
        <v>-6571667</v>
      </c>
      <c r="BC66" s="33"/>
      <c r="BD66" s="33"/>
      <c r="BE66" s="33"/>
      <c r="BF66" s="33"/>
      <c r="BG66" s="284"/>
      <c r="BH66" s="33"/>
      <c r="BI66" s="33"/>
      <c r="BJ66" s="33"/>
      <c r="BK66" s="33"/>
      <c r="BL66" s="284">
        <v>0</v>
      </c>
      <c r="BM66" s="33"/>
      <c r="BN66" s="33"/>
      <c r="BO66" s="33"/>
      <c r="BP66" s="33"/>
      <c r="BQ66" s="284"/>
      <c r="BR66" s="28">
        <v>0</v>
      </c>
      <c r="BS66" s="28">
        <v>0</v>
      </c>
      <c r="BT66" s="28">
        <v>0</v>
      </c>
      <c r="BU66" s="28">
        <v>0</v>
      </c>
      <c r="BV66" s="454">
        <v>0</v>
      </c>
      <c r="BW66" s="244"/>
      <c r="BX66" s="238"/>
      <c r="BZ66" s="19"/>
      <c r="CA66" s="308"/>
      <c r="CB66" s="411"/>
    </row>
    <row r="67" spans="1:80" x14ac:dyDescent="0.2">
      <c r="A67" s="395" t="s">
        <v>249</v>
      </c>
      <c r="B67" s="436"/>
      <c r="C67" s="436"/>
      <c r="D67" s="52"/>
      <c r="E67" s="33">
        <v>0</v>
      </c>
      <c r="F67" s="33">
        <v>10174611</v>
      </c>
      <c r="G67" s="33">
        <v>0</v>
      </c>
      <c r="H67" s="33">
        <v>0</v>
      </c>
      <c r="I67" s="284">
        <v>10174611</v>
      </c>
      <c r="J67" s="325">
        <v>0</v>
      </c>
      <c r="K67" s="33">
        <v>1745798</v>
      </c>
      <c r="L67" s="33">
        <v>0</v>
      </c>
      <c r="M67" s="33">
        <v>0</v>
      </c>
      <c r="N67" s="284">
        <v>1745798</v>
      </c>
      <c r="O67" s="33">
        <v>0</v>
      </c>
      <c r="P67" s="33">
        <v>1447692</v>
      </c>
      <c r="Q67" s="33">
        <v>0</v>
      </c>
      <c r="R67" s="33">
        <v>0</v>
      </c>
      <c r="S67" s="284">
        <v>1447692</v>
      </c>
      <c r="T67" s="33">
        <v>0</v>
      </c>
      <c r="U67" s="33">
        <v>1118322</v>
      </c>
      <c r="V67" s="33">
        <v>0</v>
      </c>
      <c r="W67" s="33">
        <v>0</v>
      </c>
      <c r="X67" s="284">
        <v>1118322</v>
      </c>
      <c r="Y67" s="33">
        <v>0</v>
      </c>
      <c r="Z67" s="33">
        <v>54518</v>
      </c>
      <c r="AA67" s="33">
        <v>0</v>
      </c>
      <c r="AB67" s="33">
        <v>0</v>
      </c>
      <c r="AC67" s="284">
        <v>54518</v>
      </c>
      <c r="AD67" s="33">
        <v>0</v>
      </c>
      <c r="AE67" s="33">
        <v>92107</v>
      </c>
      <c r="AF67" s="33">
        <v>0</v>
      </c>
      <c r="AG67" s="33">
        <v>0</v>
      </c>
      <c r="AH67" s="284">
        <v>92107</v>
      </c>
      <c r="AI67" s="33">
        <v>0</v>
      </c>
      <c r="AJ67" s="33">
        <v>75474</v>
      </c>
      <c r="AK67" s="33">
        <v>0</v>
      </c>
      <c r="AL67" s="33">
        <v>0</v>
      </c>
      <c r="AM67" s="284">
        <v>75474</v>
      </c>
      <c r="AN67" s="33">
        <v>0</v>
      </c>
      <c r="AO67" s="33">
        <v>169312</v>
      </c>
      <c r="AP67" s="33">
        <v>0</v>
      </c>
      <c r="AQ67" s="33">
        <v>0</v>
      </c>
      <c r="AR67" s="284">
        <v>169312</v>
      </c>
      <c r="AS67" s="33">
        <v>0</v>
      </c>
      <c r="AT67" s="33">
        <v>1460680</v>
      </c>
      <c r="AU67" s="33">
        <v>0</v>
      </c>
      <c r="AV67" s="33">
        <v>0</v>
      </c>
      <c r="AW67" s="284">
        <v>1460680</v>
      </c>
      <c r="AX67" s="33">
        <v>0</v>
      </c>
      <c r="AY67" s="33">
        <v>1486244</v>
      </c>
      <c r="AZ67" s="33">
        <v>0</v>
      </c>
      <c r="BA67" s="33">
        <v>0</v>
      </c>
      <c r="BB67" s="284">
        <v>1486244</v>
      </c>
      <c r="BC67" s="33">
        <v>0</v>
      </c>
      <c r="BD67" s="33">
        <v>1665558</v>
      </c>
      <c r="BE67" s="33">
        <v>0</v>
      </c>
      <c r="BF67" s="33">
        <v>0</v>
      </c>
      <c r="BG67" s="284">
        <v>1665558</v>
      </c>
      <c r="BH67" s="33">
        <v>0</v>
      </c>
      <c r="BI67" s="33">
        <v>1635698</v>
      </c>
      <c r="BJ67" s="33">
        <v>0</v>
      </c>
      <c r="BK67" s="33">
        <v>0</v>
      </c>
      <c r="BL67" s="284">
        <v>1635698</v>
      </c>
      <c r="BM67" s="33">
        <v>0</v>
      </c>
      <c r="BN67" s="33">
        <v>1461571</v>
      </c>
      <c r="BO67" s="33">
        <v>0</v>
      </c>
      <c r="BP67" s="33">
        <v>0</v>
      </c>
      <c r="BQ67" s="284">
        <v>1461571</v>
      </c>
      <c r="BR67" s="33">
        <v>0</v>
      </c>
      <c r="BS67" s="33">
        <v>12412974</v>
      </c>
      <c r="BT67" s="33">
        <v>0</v>
      </c>
      <c r="BU67" s="33">
        <v>0</v>
      </c>
      <c r="BV67" s="284">
        <v>12412974</v>
      </c>
      <c r="BW67" s="244"/>
      <c r="BX67" s="238">
        <v>121.99949462441364</v>
      </c>
      <c r="BY67" s="157">
        <v>12412974</v>
      </c>
      <c r="BZ67" s="19">
        <v>0</v>
      </c>
      <c r="CA67" s="308"/>
      <c r="CB67" s="411"/>
    </row>
    <row r="68" spans="1:80" x14ac:dyDescent="0.2">
      <c r="A68" s="395" t="s">
        <v>250</v>
      </c>
      <c r="B68" s="436"/>
      <c r="D68" s="52"/>
      <c r="E68" s="33">
        <v>2364318</v>
      </c>
      <c r="F68" s="33">
        <v>78141</v>
      </c>
      <c r="G68" s="33">
        <v>0</v>
      </c>
      <c r="H68" s="33">
        <v>0</v>
      </c>
      <c r="I68" s="284">
        <v>2442459</v>
      </c>
      <c r="J68" s="325">
        <v>183244</v>
      </c>
      <c r="K68" s="33">
        <v>2943</v>
      </c>
      <c r="L68" s="33">
        <v>0</v>
      </c>
      <c r="M68" s="33">
        <v>0</v>
      </c>
      <c r="N68" s="284">
        <v>186187</v>
      </c>
      <c r="O68" s="33">
        <v>176962</v>
      </c>
      <c r="P68" s="33">
        <v>2357</v>
      </c>
      <c r="Q68" s="33">
        <v>0</v>
      </c>
      <c r="R68" s="33">
        <v>0</v>
      </c>
      <c r="S68" s="284">
        <v>179319</v>
      </c>
      <c r="T68" s="33">
        <v>170758</v>
      </c>
      <c r="U68" s="33">
        <v>3390</v>
      </c>
      <c r="V68" s="33">
        <v>0</v>
      </c>
      <c r="W68" s="33">
        <v>0</v>
      </c>
      <c r="X68" s="284">
        <v>174148</v>
      </c>
      <c r="Y68" s="33">
        <v>172932</v>
      </c>
      <c r="Z68" s="33">
        <v>2942</v>
      </c>
      <c r="AA68" s="33">
        <v>0</v>
      </c>
      <c r="AB68" s="33">
        <v>0</v>
      </c>
      <c r="AC68" s="284">
        <v>175874</v>
      </c>
      <c r="AD68" s="33">
        <v>174882</v>
      </c>
      <c r="AE68" s="33">
        <v>1456</v>
      </c>
      <c r="AF68" s="33">
        <v>0</v>
      </c>
      <c r="AG68" s="33">
        <v>0</v>
      </c>
      <c r="AH68" s="284">
        <v>176338</v>
      </c>
      <c r="AI68" s="33">
        <v>176606</v>
      </c>
      <c r="AJ68" s="33">
        <v>5120</v>
      </c>
      <c r="AK68" s="33">
        <v>0</v>
      </c>
      <c r="AL68" s="33">
        <v>0</v>
      </c>
      <c r="AM68" s="284">
        <v>181726</v>
      </c>
      <c r="AN68" s="33">
        <v>174450</v>
      </c>
      <c r="AO68" s="33">
        <v>2043</v>
      </c>
      <c r="AP68" s="33">
        <v>0</v>
      </c>
      <c r="AQ68" s="33">
        <v>0</v>
      </c>
      <c r="AR68" s="284">
        <v>176493</v>
      </c>
      <c r="AS68" s="33">
        <v>175730</v>
      </c>
      <c r="AT68" s="33">
        <v>4459</v>
      </c>
      <c r="AU68" s="33">
        <v>0</v>
      </c>
      <c r="AV68" s="33">
        <v>0</v>
      </c>
      <c r="AW68" s="284">
        <v>180189</v>
      </c>
      <c r="AX68" s="33">
        <v>176605</v>
      </c>
      <c r="AY68" s="33">
        <v>2114</v>
      </c>
      <c r="AZ68" s="33">
        <v>0</v>
      </c>
      <c r="BA68" s="33">
        <v>0</v>
      </c>
      <c r="BB68" s="284">
        <v>178719</v>
      </c>
      <c r="BC68" s="33">
        <v>172324</v>
      </c>
      <c r="BD68" s="33">
        <v>5394</v>
      </c>
      <c r="BE68" s="33">
        <v>0</v>
      </c>
      <c r="BF68" s="33">
        <v>0</v>
      </c>
      <c r="BG68" s="284">
        <v>177718</v>
      </c>
      <c r="BH68" s="33">
        <v>173332</v>
      </c>
      <c r="BI68" s="33">
        <v>3193</v>
      </c>
      <c r="BJ68" s="33">
        <v>0</v>
      </c>
      <c r="BK68" s="33">
        <v>0</v>
      </c>
      <c r="BL68" s="284">
        <v>176525</v>
      </c>
      <c r="BM68" s="33">
        <v>176975</v>
      </c>
      <c r="BN68" s="33">
        <v>6859</v>
      </c>
      <c r="BO68" s="33">
        <v>0</v>
      </c>
      <c r="BP68" s="33">
        <v>0</v>
      </c>
      <c r="BQ68" s="284">
        <v>183834</v>
      </c>
      <c r="BR68" s="33">
        <v>2104800</v>
      </c>
      <c r="BS68" s="33">
        <v>42270</v>
      </c>
      <c r="BT68" s="33">
        <v>0</v>
      </c>
      <c r="BU68" s="33">
        <v>0</v>
      </c>
      <c r="BV68" s="284">
        <v>2147070</v>
      </c>
      <c r="BW68" s="244"/>
      <c r="BX68" s="238">
        <v>87.906081535043171</v>
      </c>
      <c r="BY68" s="157">
        <v>2147070</v>
      </c>
      <c r="BZ68" s="19">
        <v>0</v>
      </c>
      <c r="CA68" s="308"/>
      <c r="CB68" s="411"/>
    </row>
    <row r="69" spans="1:80" x14ac:dyDescent="0.2">
      <c r="A69" s="469" t="s">
        <v>251</v>
      </c>
      <c r="B69" s="106"/>
      <c r="D69" s="52"/>
      <c r="E69" s="33">
        <v>991212</v>
      </c>
      <c r="F69" s="33">
        <v>126719</v>
      </c>
      <c r="G69" s="33">
        <v>0</v>
      </c>
      <c r="H69" s="33">
        <v>0</v>
      </c>
      <c r="I69" s="284">
        <v>1117931</v>
      </c>
      <c r="J69" s="325">
        <v>76516</v>
      </c>
      <c r="K69" s="33">
        <v>6553</v>
      </c>
      <c r="L69" s="33">
        <v>0</v>
      </c>
      <c r="M69" s="33">
        <v>0</v>
      </c>
      <c r="N69" s="284">
        <v>83069</v>
      </c>
      <c r="O69" s="33">
        <v>79279</v>
      </c>
      <c r="P69" s="33">
        <v>201</v>
      </c>
      <c r="Q69" s="33">
        <v>0</v>
      </c>
      <c r="R69" s="33">
        <v>0</v>
      </c>
      <c r="S69" s="284">
        <v>79480</v>
      </c>
      <c r="T69" s="33">
        <v>87330</v>
      </c>
      <c r="U69" s="33">
        <v>15499</v>
      </c>
      <c r="V69" s="33">
        <v>0</v>
      </c>
      <c r="W69" s="33">
        <v>0</v>
      </c>
      <c r="X69" s="284">
        <v>102829</v>
      </c>
      <c r="Y69" s="33">
        <v>75484</v>
      </c>
      <c r="Z69" s="33">
        <v>5571</v>
      </c>
      <c r="AA69" s="33">
        <v>0</v>
      </c>
      <c r="AB69" s="33">
        <v>0</v>
      </c>
      <c r="AC69" s="284">
        <v>81055</v>
      </c>
      <c r="AD69" s="33">
        <v>85469</v>
      </c>
      <c r="AE69" s="33">
        <v>10643</v>
      </c>
      <c r="AF69" s="33">
        <v>0</v>
      </c>
      <c r="AG69" s="33">
        <v>0</v>
      </c>
      <c r="AH69" s="284">
        <v>96112</v>
      </c>
      <c r="AI69" s="33">
        <v>81309</v>
      </c>
      <c r="AJ69" s="33">
        <v>3830</v>
      </c>
      <c r="AK69" s="33">
        <v>0</v>
      </c>
      <c r="AL69" s="33">
        <v>0</v>
      </c>
      <c r="AM69" s="284">
        <v>85139</v>
      </c>
      <c r="AN69" s="33">
        <v>80327</v>
      </c>
      <c r="AO69" s="33">
        <v>1763</v>
      </c>
      <c r="AP69" s="33">
        <v>0</v>
      </c>
      <c r="AQ69" s="33">
        <v>0</v>
      </c>
      <c r="AR69" s="284">
        <v>82090</v>
      </c>
      <c r="AS69" s="33">
        <v>84943</v>
      </c>
      <c r="AT69" s="33">
        <v>279</v>
      </c>
      <c r="AU69" s="33">
        <v>0</v>
      </c>
      <c r="AV69" s="33">
        <v>0</v>
      </c>
      <c r="AW69" s="284">
        <v>85222</v>
      </c>
      <c r="AX69" s="33">
        <v>78836</v>
      </c>
      <c r="AY69" s="33">
        <v>9051</v>
      </c>
      <c r="AZ69" s="33">
        <v>0</v>
      </c>
      <c r="BA69" s="33">
        <v>0</v>
      </c>
      <c r="BB69" s="284">
        <v>87887</v>
      </c>
      <c r="BC69" s="33">
        <v>77178</v>
      </c>
      <c r="BD69" s="33">
        <v>7809</v>
      </c>
      <c r="BE69" s="33">
        <v>0</v>
      </c>
      <c r="BF69" s="33">
        <v>0</v>
      </c>
      <c r="BG69" s="284">
        <v>84987</v>
      </c>
      <c r="BH69" s="33">
        <v>83404</v>
      </c>
      <c r="BI69" s="33">
        <v>280</v>
      </c>
      <c r="BJ69" s="33">
        <v>0</v>
      </c>
      <c r="BK69" s="33">
        <v>0</v>
      </c>
      <c r="BL69" s="284">
        <v>83684</v>
      </c>
      <c r="BM69" s="33">
        <v>83241</v>
      </c>
      <c r="BN69" s="33">
        <v>8891</v>
      </c>
      <c r="BO69" s="33">
        <v>0</v>
      </c>
      <c r="BP69" s="33">
        <v>228</v>
      </c>
      <c r="BQ69" s="284">
        <v>92360</v>
      </c>
      <c r="BR69" s="33">
        <v>973316</v>
      </c>
      <c r="BS69" s="33">
        <v>70370</v>
      </c>
      <c r="BT69" s="33">
        <v>0</v>
      </c>
      <c r="BU69" s="33">
        <v>228</v>
      </c>
      <c r="BV69" s="284">
        <v>1043914</v>
      </c>
      <c r="BW69" s="244"/>
      <c r="BX69" s="238">
        <v>93.379108370731288</v>
      </c>
      <c r="BY69" s="157">
        <v>1043914</v>
      </c>
      <c r="BZ69" s="19">
        <v>0</v>
      </c>
      <c r="CA69" s="308"/>
      <c r="CB69" s="411"/>
    </row>
    <row r="70" spans="1:80" x14ac:dyDescent="0.2">
      <c r="A70" s="304" t="s">
        <v>252</v>
      </c>
      <c r="B70" s="408"/>
      <c r="C70" s="479"/>
      <c r="D70" s="176"/>
      <c r="E70" s="33">
        <v>0</v>
      </c>
      <c r="F70" s="33">
        <v>10997</v>
      </c>
      <c r="G70" s="33">
        <v>0</v>
      </c>
      <c r="H70" s="33">
        <v>0</v>
      </c>
      <c r="I70" s="284">
        <v>10997</v>
      </c>
      <c r="J70" s="325">
        <v>0</v>
      </c>
      <c r="K70" s="33">
        <v>0</v>
      </c>
      <c r="L70" s="33">
        <v>0</v>
      </c>
      <c r="M70" s="33">
        <v>0</v>
      </c>
      <c r="N70" s="284">
        <v>0</v>
      </c>
      <c r="O70" s="33">
        <v>0</v>
      </c>
      <c r="P70" s="33">
        <v>0</v>
      </c>
      <c r="Q70" s="33">
        <v>0</v>
      </c>
      <c r="R70" s="33">
        <v>0</v>
      </c>
      <c r="S70" s="284">
        <v>0</v>
      </c>
      <c r="T70" s="33">
        <v>0</v>
      </c>
      <c r="U70" s="33">
        <v>0</v>
      </c>
      <c r="V70" s="33">
        <v>0</v>
      </c>
      <c r="W70" s="33">
        <v>0</v>
      </c>
      <c r="X70" s="284">
        <v>0</v>
      </c>
      <c r="Y70" s="33">
        <v>0</v>
      </c>
      <c r="Z70" s="33">
        <v>0</v>
      </c>
      <c r="AA70" s="33">
        <v>0</v>
      </c>
      <c r="AB70" s="33">
        <v>0</v>
      </c>
      <c r="AC70" s="284">
        <v>0</v>
      </c>
      <c r="AD70" s="33">
        <v>0</v>
      </c>
      <c r="AE70" s="33">
        <v>0</v>
      </c>
      <c r="AF70" s="33">
        <v>0</v>
      </c>
      <c r="AG70" s="33">
        <v>0</v>
      </c>
      <c r="AH70" s="284">
        <v>0</v>
      </c>
      <c r="AI70" s="33">
        <v>0</v>
      </c>
      <c r="AJ70" s="33">
        <v>0</v>
      </c>
      <c r="AK70" s="33">
        <v>0</v>
      </c>
      <c r="AL70" s="33">
        <v>0</v>
      </c>
      <c r="AM70" s="284">
        <v>0</v>
      </c>
      <c r="AN70" s="33">
        <v>0</v>
      </c>
      <c r="AO70" s="33">
        <v>0</v>
      </c>
      <c r="AP70" s="33">
        <v>0</v>
      </c>
      <c r="AQ70" s="33">
        <v>0</v>
      </c>
      <c r="AR70" s="284">
        <v>0</v>
      </c>
      <c r="AS70" s="33">
        <v>0</v>
      </c>
      <c r="AT70" s="33">
        <v>0</v>
      </c>
      <c r="AU70" s="33">
        <v>0</v>
      </c>
      <c r="AV70" s="33">
        <v>0</v>
      </c>
      <c r="AW70" s="284">
        <v>0</v>
      </c>
      <c r="AX70" s="33">
        <v>0</v>
      </c>
      <c r="AY70" s="33">
        <v>0</v>
      </c>
      <c r="AZ70" s="33">
        <v>0</v>
      </c>
      <c r="BA70" s="33">
        <v>0</v>
      </c>
      <c r="BB70" s="284">
        <v>0</v>
      </c>
      <c r="BC70" s="33">
        <v>0</v>
      </c>
      <c r="BD70" s="33">
        <v>0</v>
      </c>
      <c r="BE70" s="33">
        <v>0</v>
      </c>
      <c r="BF70" s="33">
        <v>0</v>
      </c>
      <c r="BG70" s="284">
        <v>0</v>
      </c>
      <c r="BH70" s="33">
        <v>0</v>
      </c>
      <c r="BI70" s="33">
        <v>0</v>
      </c>
      <c r="BJ70" s="33">
        <v>0</v>
      </c>
      <c r="BK70" s="33">
        <v>0</v>
      </c>
      <c r="BL70" s="284">
        <v>0</v>
      </c>
      <c r="BM70" s="33">
        <v>0</v>
      </c>
      <c r="BN70" s="33">
        <v>0</v>
      </c>
      <c r="BO70" s="33">
        <v>0</v>
      </c>
      <c r="BP70" s="33">
        <v>0</v>
      </c>
      <c r="BQ70" s="284">
        <v>0</v>
      </c>
      <c r="BR70" s="33">
        <v>0</v>
      </c>
      <c r="BS70" s="33">
        <v>0</v>
      </c>
      <c r="BT70" s="33">
        <v>0</v>
      </c>
      <c r="BU70" s="33">
        <v>0</v>
      </c>
      <c r="BV70" s="284">
        <v>0</v>
      </c>
      <c r="BW70" s="244"/>
      <c r="BX70" s="238">
        <v>0</v>
      </c>
      <c r="BZ70" s="152"/>
    </row>
    <row r="71" spans="1:80" x14ac:dyDescent="0.2">
      <c r="A71" s="118" t="s">
        <v>253</v>
      </c>
      <c r="B71" s="185"/>
      <c r="D71" s="52"/>
      <c r="E71" s="337">
        <v>236867517</v>
      </c>
      <c r="F71" s="439">
        <v>545254368</v>
      </c>
      <c r="G71" s="439">
        <v>0</v>
      </c>
      <c r="H71" s="439">
        <v>395376</v>
      </c>
      <c r="I71" s="203">
        <v>782517261</v>
      </c>
      <c r="J71" s="359">
        <v>4458960.4269999983</v>
      </c>
      <c r="K71" s="460">
        <v>46627921</v>
      </c>
      <c r="L71" s="460">
        <v>0</v>
      </c>
      <c r="M71" s="460">
        <v>18</v>
      </c>
      <c r="N71" s="203">
        <v>51086899.427000001</v>
      </c>
      <c r="O71" s="460">
        <v>2045938.1300000001</v>
      </c>
      <c r="P71" s="460">
        <v>46322877</v>
      </c>
      <c r="Q71" s="460">
        <v>0</v>
      </c>
      <c r="R71" s="460">
        <v>111334</v>
      </c>
      <c r="S71" s="203">
        <v>48480149.129999995</v>
      </c>
      <c r="T71" s="359">
        <v>23587962</v>
      </c>
      <c r="U71" s="460">
        <v>46049838</v>
      </c>
      <c r="V71" s="460">
        <v>0</v>
      </c>
      <c r="W71" s="460">
        <v>2</v>
      </c>
      <c r="X71" s="203">
        <v>69637802</v>
      </c>
      <c r="Y71" s="359">
        <v>34084402</v>
      </c>
      <c r="Z71" s="460">
        <v>44935658</v>
      </c>
      <c r="AA71" s="460">
        <v>0</v>
      </c>
      <c r="AB71" s="460">
        <v>0</v>
      </c>
      <c r="AC71" s="203">
        <v>79020060</v>
      </c>
      <c r="AD71" s="359">
        <v>32891479.123</v>
      </c>
      <c r="AE71" s="460">
        <v>49652461</v>
      </c>
      <c r="AF71" s="460">
        <v>0</v>
      </c>
      <c r="AG71" s="460">
        <v>1</v>
      </c>
      <c r="AH71" s="359">
        <v>82543941.122999996</v>
      </c>
      <c r="AI71" s="359">
        <v>21020357.242999993</v>
      </c>
      <c r="AJ71" s="460">
        <v>44987051</v>
      </c>
      <c r="AK71" s="460">
        <v>0</v>
      </c>
      <c r="AL71" s="460">
        <v>6855688</v>
      </c>
      <c r="AM71" s="359">
        <v>72863096.243000001</v>
      </c>
      <c r="AN71" s="359">
        <v>3891478.963</v>
      </c>
      <c r="AO71" s="460">
        <v>45045745</v>
      </c>
      <c r="AP71" s="460">
        <v>0</v>
      </c>
      <c r="AQ71" s="155">
        <v>260</v>
      </c>
      <c r="AR71" s="359">
        <v>48937483.963</v>
      </c>
      <c r="AS71" s="460">
        <v>2545556.0049999994</v>
      </c>
      <c r="AT71" s="460">
        <v>46338044</v>
      </c>
      <c r="AU71" s="460">
        <v>0</v>
      </c>
      <c r="AV71" s="460">
        <v>0</v>
      </c>
      <c r="AW71" s="359">
        <v>48883600.004999995</v>
      </c>
      <c r="AX71" s="460">
        <v>23803257</v>
      </c>
      <c r="AY71" s="460">
        <v>51045662</v>
      </c>
      <c r="AZ71" s="460">
        <v>0</v>
      </c>
      <c r="BA71" s="460">
        <v>-6571665</v>
      </c>
      <c r="BB71" s="203">
        <v>68277254</v>
      </c>
      <c r="BC71" s="460">
        <v>33985624.236999996</v>
      </c>
      <c r="BD71" s="460">
        <v>40633218</v>
      </c>
      <c r="BE71" s="460">
        <v>0</v>
      </c>
      <c r="BF71" s="460">
        <v>8</v>
      </c>
      <c r="BG71" s="203">
        <v>74618850.236999989</v>
      </c>
      <c r="BH71" s="460">
        <v>32392853.975989994</v>
      </c>
      <c r="BI71" s="460">
        <v>40643628</v>
      </c>
      <c r="BJ71" s="460">
        <v>0</v>
      </c>
      <c r="BK71" s="460">
        <v>677276</v>
      </c>
      <c r="BL71" s="203">
        <v>73713757.975989997</v>
      </c>
      <c r="BM71" s="460">
        <v>21448079</v>
      </c>
      <c r="BN71" s="460">
        <v>45107410</v>
      </c>
      <c r="BO71" s="460">
        <v>0</v>
      </c>
      <c r="BP71" s="460">
        <v>314</v>
      </c>
      <c r="BQ71" s="203">
        <v>66555803</v>
      </c>
      <c r="BR71" s="359">
        <v>236155948.10398999</v>
      </c>
      <c r="BS71" s="460">
        <v>547389513</v>
      </c>
      <c r="BT71" s="460">
        <v>0</v>
      </c>
      <c r="BU71" s="460">
        <v>1073236</v>
      </c>
      <c r="BV71" s="331">
        <v>784618697.10398996</v>
      </c>
      <c r="BW71" s="451"/>
      <c r="BX71" s="238">
        <v>100.2685482108477</v>
      </c>
    </row>
    <row r="72" spans="1:80" x14ac:dyDescent="0.2">
      <c r="A72" s="228" t="s">
        <v>185</v>
      </c>
      <c r="B72" s="385"/>
      <c r="C72" s="282"/>
      <c r="D72" s="102"/>
      <c r="E72" s="301">
        <v>491355682</v>
      </c>
      <c r="F72" s="301">
        <v>1213632781</v>
      </c>
      <c r="G72" s="301">
        <v>14835462</v>
      </c>
      <c r="H72" s="301">
        <v>88043073</v>
      </c>
      <c r="I72" s="404">
        <v>1807866998</v>
      </c>
      <c r="J72" s="199">
        <v>22081532.426999997</v>
      </c>
      <c r="K72" s="199">
        <v>91841244</v>
      </c>
      <c r="L72" s="199">
        <v>324568</v>
      </c>
      <c r="M72" s="199">
        <v>4853</v>
      </c>
      <c r="N72" s="356">
        <v>114252197.427</v>
      </c>
      <c r="O72" s="301">
        <v>21313327.129999999</v>
      </c>
      <c r="P72" s="301">
        <v>97185042</v>
      </c>
      <c r="Q72" s="301">
        <v>861947</v>
      </c>
      <c r="R72" s="301">
        <v>1115210</v>
      </c>
      <c r="S72" s="356">
        <v>120475526.13</v>
      </c>
      <c r="T72" s="301">
        <v>42064414</v>
      </c>
      <c r="U72" s="301">
        <v>88294246</v>
      </c>
      <c r="V72" s="301">
        <v>15761</v>
      </c>
      <c r="W72" s="301">
        <v>475863</v>
      </c>
      <c r="X72" s="356">
        <v>130850284</v>
      </c>
      <c r="Y72" s="199">
        <v>52873403</v>
      </c>
      <c r="Z72" s="199">
        <v>140177743</v>
      </c>
      <c r="AA72" s="199">
        <v>518145</v>
      </c>
      <c r="AB72" s="199">
        <v>3806670</v>
      </c>
      <c r="AC72" s="356">
        <v>197375961</v>
      </c>
      <c r="AD72" s="199">
        <v>52348326.122999996</v>
      </c>
      <c r="AE72" s="199">
        <v>107273151</v>
      </c>
      <c r="AF72" s="199">
        <v>905002</v>
      </c>
      <c r="AG72" s="199">
        <v>5002463</v>
      </c>
      <c r="AH72" s="356">
        <v>165528942.123</v>
      </c>
      <c r="AI72" s="199">
        <v>40737320.242999993</v>
      </c>
      <c r="AJ72" s="199">
        <v>97067140</v>
      </c>
      <c r="AK72" s="199">
        <v>867648</v>
      </c>
      <c r="AL72" s="199">
        <v>9873949</v>
      </c>
      <c r="AM72" s="404">
        <v>148546057.243</v>
      </c>
      <c r="AN72" s="199">
        <v>24371761.963</v>
      </c>
      <c r="AO72" s="199">
        <v>105316823</v>
      </c>
      <c r="AP72" s="199">
        <v>1268269</v>
      </c>
      <c r="AQ72" s="199">
        <v>2002991</v>
      </c>
      <c r="AR72" s="404">
        <v>132959844.963</v>
      </c>
      <c r="AS72" s="199">
        <v>22685857.004999999</v>
      </c>
      <c r="AT72" s="199">
        <v>93267975</v>
      </c>
      <c r="AU72" s="199">
        <v>886111</v>
      </c>
      <c r="AV72" s="199">
        <v>3781537</v>
      </c>
      <c r="AW72" s="404">
        <v>120621480.005</v>
      </c>
      <c r="AX72" s="199">
        <v>43789410</v>
      </c>
      <c r="AY72" s="199">
        <v>116638516</v>
      </c>
      <c r="AZ72" s="199">
        <v>775078</v>
      </c>
      <c r="BA72" s="199">
        <v>10116371</v>
      </c>
      <c r="BB72" s="356">
        <v>171319375</v>
      </c>
      <c r="BC72" s="199">
        <v>52379477.236999996</v>
      </c>
      <c r="BD72" s="199">
        <v>80461364</v>
      </c>
      <c r="BE72" s="199">
        <v>568295</v>
      </c>
      <c r="BF72" s="199">
        <v>30302684</v>
      </c>
      <c r="BG72" s="356">
        <v>163711820.23699999</v>
      </c>
      <c r="BH72" s="199">
        <v>52350704.975989997</v>
      </c>
      <c r="BI72" s="199">
        <v>78272818</v>
      </c>
      <c r="BJ72" s="199">
        <v>1118619</v>
      </c>
      <c r="BK72" s="199">
        <v>13833836</v>
      </c>
      <c r="BL72" s="356">
        <v>145575977.97599</v>
      </c>
      <c r="BM72" s="199">
        <v>48466717</v>
      </c>
      <c r="BN72" s="199">
        <v>118580694</v>
      </c>
      <c r="BO72" s="199">
        <v>3324534</v>
      </c>
      <c r="BP72" s="199">
        <v>6403377</v>
      </c>
      <c r="BQ72" s="356">
        <v>176775322</v>
      </c>
      <c r="BR72" s="199">
        <v>475462251.10398996</v>
      </c>
      <c r="BS72" s="199">
        <v>1214376756</v>
      </c>
      <c r="BT72" s="199">
        <v>11433977</v>
      </c>
      <c r="BU72" s="199">
        <v>86719804</v>
      </c>
      <c r="BV72" s="456">
        <v>1787992788.1039901</v>
      </c>
      <c r="BW72" s="451"/>
      <c r="BX72" s="238">
        <v>98.900681857791739</v>
      </c>
    </row>
    <row r="73" spans="1:80" hidden="1" x14ac:dyDescent="0.2">
      <c r="A73" s="84"/>
      <c r="B73" s="185"/>
      <c r="D73" s="123"/>
      <c r="E73" s="15"/>
      <c r="F73" s="15"/>
      <c r="G73" s="15"/>
      <c r="H73" s="15"/>
      <c r="I73" s="472"/>
      <c r="J73" s="15"/>
      <c r="K73" s="15"/>
      <c r="L73" s="15"/>
      <c r="M73" s="15"/>
      <c r="N73" s="284"/>
      <c r="O73" s="15"/>
      <c r="P73" s="15"/>
      <c r="Q73" s="15"/>
      <c r="R73" s="15"/>
      <c r="S73" s="284"/>
      <c r="T73" s="15"/>
      <c r="U73" s="15"/>
      <c r="V73" s="15"/>
      <c r="W73" s="15"/>
      <c r="X73" s="284"/>
      <c r="Y73" s="15"/>
      <c r="Z73" s="15"/>
      <c r="AA73" s="15"/>
      <c r="AB73" s="15"/>
      <c r="AC73" s="284"/>
      <c r="AD73" s="15"/>
      <c r="AE73" s="15"/>
      <c r="AF73" s="15"/>
      <c r="AG73" s="15"/>
      <c r="AH73" s="284"/>
      <c r="AI73" s="15"/>
      <c r="AJ73" s="15"/>
      <c r="AK73" s="15"/>
      <c r="AL73" s="15"/>
      <c r="AM73" s="472"/>
      <c r="AN73" s="15"/>
      <c r="AO73" s="15"/>
      <c r="AP73" s="15"/>
      <c r="AQ73" s="15"/>
      <c r="AR73" s="472"/>
      <c r="AS73" s="15"/>
      <c r="AT73" s="15"/>
      <c r="AU73" s="15"/>
      <c r="AV73" s="15"/>
      <c r="AW73" s="284"/>
      <c r="AX73" s="15"/>
      <c r="AY73" s="15"/>
      <c r="AZ73" s="15"/>
      <c r="BA73" s="15"/>
      <c r="BB73" s="284"/>
      <c r="BC73" s="15"/>
      <c r="BD73" s="15"/>
      <c r="BE73" s="15"/>
      <c r="BF73" s="15"/>
      <c r="BG73" s="284"/>
      <c r="BH73" s="15"/>
      <c r="BI73" s="15"/>
      <c r="BJ73" s="15"/>
      <c r="BK73" s="15"/>
      <c r="BL73" s="284"/>
      <c r="BM73" s="15"/>
      <c r="BN73" s="15"/>
      <c r="BO73" s="15"/>
      <c r="BP73" s="15"/>
      <c r="BQ73" s="284"/>
      <c r="BR73" s="15"/>
      <c r="BS73" s="15"/>
      <c r="BT73" s="15"/>
      <c r="BU73" s="15"/>
      <c r="BV73" s="251"/>
      <c r="BW73" s="12"/>
      <c r="BX73" s="238"/>
    </row>
    <row r="74" spans="1:80" x14ac:dyDescent="0.2">
      <c r="A74" s="84" t="s">
        <v>27</v>
      </c>
      <c r="B74" s="185"/>
      <c r="D74" s="52"/>
      <c r="E74" s="15">
        <v>0</v>
      </c>
      <c r="F74" s="15">
        <v>0</v>
      </c>
      <c r="G74" s="15">
        <v>0</v>
      </c>
      <c r="H74" s="15">
        <v>0</v>
      </c>
      <c r="I74" s="284">
        <v>-3692917</v>
      </c>
      <c r="J74" s="15">
        <v>0</v>
      </c>
      <c r="K74" s="15">
        <v>0</v>
      </c>
      <c r="L74" s="15">
        <v>0</v>
      </c>
      <c r="M74" s="15">
        <v>0</v>
      </c>
      <c r="N74" s="284">
        <v>0</v>
      </c>
      <c r="O74" s="15">
        <v>0</v>
      </c>
      <c r="P74" s="15">
        <v>0</v>
      </c>
      <c r="Q74" s="15">
        <v>0</v>
      </c>
      <c r="R74" s="15">
        <v>0</v>
      </c>
      <c r="S74" s="284">
        <v>0</v>
      </c>
      <c r="T74" s="15">
        <v>0</v>
      </c>
      <c r="U74" s="15">
        <v>0</v>
      </c>
      <c r="V74" s="15">
        <v>0</v>
      </c>
      <c r="W74" s="15">
        <v>0</v>
      </c>
      <c r="X74" s="284">
        <v>0</v>
      </c>
      <c r="Y74" s="15">
        <v>0</v>
      </c>
      <c r="Z74" s="15">
        <v>0</v>
      </c>
      <c r="AA74" s="15">
        <v>0</v>
      </c>
      <c r="AB74" s="15">
        <v>0</v>
      </c>
      <c r="AC74" s="284">
        <v>0</v>
      </c>
      <c r="AD74" s="15">
        <v>0</v>
      </c>
      <c r="AE74" s="15">
        <v>0</v>
      </c>
      <c r="AF74" s="15">
        <v>0</v>
      </c>
      <c r="AG74" s="15">
        <v>0</v>
      </c>
      <c r="AH74" s="284">
        <v>0</v>
      </c>
      <c r="AI74" s="15">
        <v>0</v>
      </c>
      <c r="AJ74" s="15">
        <v>0</v>
      </c>
      <c r="AK74" s="15">
        <v>0</v>
      </c>
      <c r="AL74" s="15">
        <v>0</v>
      </c>
      <c r="AM74" s="284">
        <v>0</v>
      </c>
      <c r="AN74" s="15">
        <v>0</v>
      </c>
      <c r="AO74" s="15">
        <v>0</v>
      </c>
      <c r="AP74" s="15">
        <v>0</v>
      </c>
      <c r="AQ74" s="15">
        <v>0</v>
      </c>
      <c r="AR74" s="284">
        <v>0</v>
      </c>
      <c r="AS74" s="15">
        <v>0</v>
      </c>
      <c r="AT74" s="15">
        <v>0</v>
      </c>
      <c r="AU74" s="15">
        <v>0</v>
      </c>
      <c r="AV74" s="15">
        <v>0</v>
      </c>
      <c r="AW74" s="284">
        <v>0</v>
      </c>
      <c r="AX74" s="15">
        <v>0</v>
      </c>
      <c r="AY74" s="15">
        <v>0</v>
      </c>
      <c r="AZ74" s="15">
        <v>0</v>
      </c>
      <c r="BA74" s="15">
        <v>0</v>
      </c>
      <c r="BB74" s="284">
        <v>0</v>
      </c>
      <c r="BC74" s="15">
        <v>0</v>
      </c>
      <c r="BD74" s="15">
        <v>0</v>
      </c>
      <c r="BE74" s="15">
        <v>0</v>
      </c>
      <c r="BF74" s="15">
        <v>0</v>
      </c>
      <c r="BG74" s="284">
        <v>0</v>
      </c>
      <c r="BH74" s="15">
        <v>0</v>
      </c>
      <c r="BI74" s="15">
        <v>0</v>
      </c>
      <c r="BJ74" s="15">
        <v>0</v>
      </c>
      <c r="BK74" s="15">
        <v>0</v>
      </c>
      <c r="BL74" s="284">
        <v>0</v>
      </c>
      <c r="BM74" s="15">
        <v>0</v>
      </c>
      <c r="BN74" s="15">
        <v>0</v>
      </c>
      <c r="BO74" s="15">
        <v>0</v>
      </c>
      <c r="BP74" s="15">
        <v>0</v>
      </c>
      <c r="BQ74" s="284">
        <v>0</v>
      </c>
      <c r="BR74" s="15">
        <v>0</v>
      </c>
      <c r="BS74" s="15">
        <v>0</v>
      </c>
      <c r="BT74" s="15">
        <v>0</v>
      </c>
      <c r="BU74" s="15">
        <v>0</v>
      </c>
      <c r="BV74" s="85">
        <v>0</v>
      </c>
      <c r="BW74" s="12"/>
      <c r="BX74" s="238">
        <v>0</v>
      </c>
    </row>
    <row r="75" spans="1:80" x14ac:dyDescent="0.2">
      <c r="A75" s="151" t="s">
        <v>254</v>
      </c>
      <c r="B75" s="326"/>
      <c r="C75" s="189"/>
      <c r="D75" s="346"/>
      <c r="E75" s="460">
        <v>491355682</v>
      </c>
      <c r="F75" s="460">
        <v>1213632781</v>
      </c>
      <c r="G75" s="460">
        <v>14835462</v>
      </c>
      <c r="H75" s="460">
        <v>88043073</v>
      </c>
      <c r="I75" s="203">
        <v>1804174081</v>
      </c>
      <c r="J75" s="460">
        <v>22081532.426999997</v>
      </c>
      <c r="K75" s="460">
        <v>91841244</v>
      </c>
      <c r="L75" s="460">
        <v>324568</v>
      </c>
      <c r="M75" s="460">
        <v>4853</v>
      </c>
      <c r="N75" s="203">
        <v>114252197.427</v>
      </c>
      <c r="O75" s="460">
        <v>21313327.129999999</v>
      </c>
      <c r="P75" s="460">
        <v>97185042</v>
      </c>
      <c r="Q75" s="460">
        <v>861947</v>
      </c>
      <c r="R75" s="460">
        <v>1115210</v>
      </c>
      <c r="S75" s="203">
        <v>120475526.13</v>
      </c>
      <c r="T75" s="460">
        <v>42064414</v>
      </c>
      <c r="U75" s="460">
        <v>88294246</v>
      </c>
      <c r="V75" s="460">
        <v>15761</v>
      </c>
      <c r="W75" s="460">
        <v>475863</v>
      </c>
      <c r="X75" s="203">
        <v>130850284</v>
      </c>
      <c r="Y75" s="460">
        <v>52873403</v>
      </c>
      <c r="Z75" s="460">
        <v>140177743</v>
      </c>
      <c r="AA75" s="460">
        <v>518145</v>
      </c>
      <c r="AB75" s="460">
        <v>3806670</v>
      </c>
      <c r="AC75" s="203">
        <v>197375961</v>
      </c>
      <c r="AD75" s="460">
        <v>52348326.122999996</v>
      </c>
      <c r="AE75" s="460">
        <v>107273151</v>
      </c>
      <c r="AF75" s="460">
        <v>905002</v>
      </c>
      <c r="AG75" s="460">
        <v>5002463</v>
      </c>
      <c r="AH75" s="203">
        <v>165528942.123</v>
      </c>
      <c r="AI75" s="460">
        <v>40737320.242999993</v>
      </c>
      <c r="AJ75" s="460">
        <v>97067140</v>
      </c>
      <c r="AK75" s="460">
        <v>867648</v>
      </c>
      <c r="AL75" s="460">
        <v>9873949</v>
      </c>
      <c r="AM75" s="203">
        <v>148546057.243</v>
      </c>
      <c r="AN75" s="460">
        <v>24371761.963</v>
      </c>
      <c r="AO75" s="460">
        <v>105316823</v>
      </c>
      <c r="AP75" s="460">
        <v>1268269</v>
      </c>
      <c r="AQ75" s="460">
        <v>2002991</v>
      </c>
      <c r="AR75" s="203">
        <v>132959844.963</v>
      </c>
      <c r="AS75" s="460">
        <v>22685857.004999999</v>
      </c>
      <c r="AT75" s="460">
        <v>93267975</v>
      </c>
      <c r="AU75" s="460">
        <v>886111</v>
      </c>
      <c r="AV75" s="460">
        <v>3781537</v>
      </c>
      <c r="AW75" s="203">
        <v>120621480.005</v>
      </c>
      <c r="AX75" s="460">
        <v>43789410</v>
      </c>
      <c r="AY75" s="460">
        <v>116638516</v>
      </c>
      <c r="AZ75" s="460">
        <v>775078</v>
      </c>
      <c r="BA75" s="460">
        <v>10116371</v>
      </c>
      <c r="BB75" s="203">
        <v>171319375</v>
      </c>
      <c r="BC75" s="460">
        <v>52379477.236999996</v>
      </c>
      <c r="BD75" s="460">
        <v>80461364</v>
      </c>
      <c r="BE75" s="460">
        <v>568295</v>
      </c>
      <c r="BF75" s="460">
        <v>30302684</v>
      </c>
      <c r="BG75" s="203">
        <v>163711820.23699999</v>
      </c>
      <c r="BH75" s="460">
        <v>52350704.975989997</v>
      </c>
      <c r="BI75" s="460">
        <v>78272818</v>
      </c>
      <c r="BJ75" s="460">
        <v>1118619</v>
      </c>
      <c r="BK75" s="460">
        <v>13833836</v>
      </c>
      <c r="BL75" s="203">
        <v>145575977.97599</v>
      </c>
      <c r="BM75" s="460">
        <v>48466717</v>
      </c>
      <c r="BN75" s="460">
        <v>118580694</v>
      </c>
      <c r="BO75" s="460">
        <v>3324534</v>
      </c>
      <c r="BP75" s="460">
        <v>6403377</v>
      </c>
      <c r="BQ75" s="203">
        <v>176775322</v>
      </c>
      <c r="BR75" s="460">
        <v>475462251.10398996</v>
      </c>
      <c r="BS75" s="460">
        <v>1214376756</v>
      </c>
      <c r="BT75" s="460">
        <v>11433977</v>
      </c>
      <c r="BU75" s="460">
        <v>86719804</v>
      </c>
      <c r="BV75" s="331">
        <v>1787992788.1039901</v>
      </c>
      <c r="BW75" s="449"/>
      <c r="BX75" s="238">
        <v>99.103119091088971</v>
      </c>
    </row>
    <row r="76" spans="1:80" x14ac:dyDescent="0.2">
      <c r="A76" s="25" t="s">
        <v>255</v>
      </c>
      <c r="B76" s="98"/>
      <c r="C76" s="98"/>
      <c r="D76" s="98"/>
      <c r="E76" s="98"/>
      <c r="F76" s="98"/>
      <c r="G76" s="98"/>
      <c r="H76" s="98"/>
      <c r="I76" s="221"/>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X76" s="238"/>
    </row>
    <row r="77" spans="1:80" x14ac:dyDescent="0.2">
      <c r="A77" s="25" t="s">
        <v>256</v>
      </c>
      <c r="B77" s="98"/>
      <c r="C77" s="98"/>
      <c r="D77" s="98"/>
      <c r="E77" s="98"/>
      <c r="F77" s="98"/>
      <c r="G77" s="98"/>
      <c r="H77" s="98"/>
      <c r="I77" s="221"/>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X77" s="238"/>
    </row>
    <row r="78" spans="1:80" x14ac:dyDescent="0.2">
      <c r="A78" s="25" t="s">
        <v>257</v>
      </c>
      <c r="B78" s="98"/>
      <c r="C78" s="98"/>
      <c r="D78" s="98"/>
      <c r="E78" s="98"/>
      <c r="F78" s="98"/>
      <c r="G78" s="98"/>
      <c r="H78" s="98"/>
      <c r="I78" s="221"/>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X78" s="238"/>
    </row>
    <row r="79" spans="1:80" x14ac:dyDescent="0.2">
      <c r="A79" s="25" t="s">
        <v>258</v>
      </c>
      <c r="B79" s="98"/>
      <c r="C79" s="98"/>
      <c r="D79" s="98"/>
      <c r="E79" s="98"/>
      <c r="F79" s="98"/>
      <c r="G79" s="98"/>
      <c r="H79" s="98"/>
      <c r="I79" s="221"/>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X79" s="238"/>
    </row>
    <row r="80" spans="1:80" hidden="1" x14ac:dyDescent="0.2">
      <c r="A80" s="25" t="s">
        <v>259</v>
      </c>
      <c r="B80" s="98"/>
      <c r="C80" s="98"/>
      <c r="D80" s="98"/>
      <c r="E80" s="98"/>
      <c r="F80" s="98"/>
      <c r="G80" s="98"/>
      <c r="H80" s="98"/>
      <c r="I80" s="221"/>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K80" s="53"/>
      <c r="AL80" s="53"/>
      <c r="AM80" s="53"/>
      <c r="AN80" s="53"/>
      <c r="AO80" s="53"/>
      <c r="AP80" s="53"/>
      <c r="AQ80" s="53"/>
      <c r="AR80" s="53"/>
      <c r="AS80" s="53"/>
      <c r="AT80" s="53"/>
      <c r="AU80" s="53"/>
      <c r="AV80" s="53"/>
      <c r="AW80" s="53"/>
      <c r="AX80" s="53"/>
      <c r="AY80" s="53"/>
      <c r="AZ80" s="53"/>
      <c r="BA80" s="53"/>
      <c r="BB80" s="53"/>
      <c r="BC80" s="53"/>
      <c r="BD80" s="53"/>
      <c r="BE80" s="53"/>
      <c r="BF80" s="53"/>
      <c r="BG80" s="53"/>
      <c r="BH80" s="53"/>
      <c r="BI80" s="53"/>
      <c r="BJ80" s="53"/>
      <c r="BK80" s="53"/>
      <c r="BL80" s="53"/>
      <c r="BM80" s="53"/>
      <c r="BN80" s="53"/>
      <c r="BO80" s="53"/>
      <c r="BP80" s="53"/>
      <c r="BQ80" s="53"/>
      <c r="BR80" s="53"/>
      <c r="BS80" s="53"/>
      <c r="BT80" s="53"/>
      <c r="BU80" s="53"/>
      <c r="BV80" s="53"/>
      <c r="BX80" s="238"/>
    </row>
    <row r="81" spans="1:76" x14ac:dyDescent="0.2">
      <c r="A81" s="25" t="s">
        <v>260</v>
      </c>
      <c r="B81" s="25"/>
      <c r="C81" s="25"/>
      <c r="D81" s="25"/>
      <c r="E81" s="25"/>
      <c r="F81" s="25"/>
      <c r="G81" s="25"/>
      <c r="H81" s="25"/>
      <c r="I81" s="12"/>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X81" s="238"/>
    </row>
    <row r="82" spans="1:76" x14ac:dyDescent="0.2">
      <c r="A82" s="25"/>
      <c r="B82" s="98"/>
      <c r="C82" s="98"/>
      <c r="D82" s="98"/>
      <c r="E82" s="98"/>
      <c r="F82" s="98"/>
      <c r="G82" s="98"/>
      <c r="H82" s="98"/>
      <c r="I82" s="221"/>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X82" s="238"/>
    </row>
    <row r="83" spans="1:76" x14ac:dyDescent="0.2">
      <c r="I83" s="20"/>
      <c r="AS83" s="12"/>
      <c r="BX83" s="238"/>
    </row>
    <row r="84" spans="1:76" x14ac:dyDescent="0.2">
      <c r="BX84" s="238"/>
    </row>
    <row r="85" spans="1:76" x14ac:dyDescent="0.2">
      <c r="B85" s="368"/>
      <c r="C85" s="185"/>
      <c r="D85" s="185"/>
      <c r="E85" s="429"/>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c r="BL85" s="53"/>
      <c r="BM85" s="53"/>
      <c r="BN85" s="53"/>
      <c r="BO85" s="53"/>
      <c r="BP85" s="53"/>
      <c r="BQ85" s="53"/>
      <c r="BR85" s="53"/>
      <c r="BS85" s="53"/>
      <c r="BT85" s="53"/>
      <c r="BU85" s="53"/>
      <c r="BV85" s="53"/>
      <c r="BX85" s="238"/>
    </row>
    <row r="86" spans="1:76" x14ac:dyDescent="0.2">
      <c r="B86" s="368"/>
      <c r="C86" s="185"/>
      <c r="D86" s="185"/>
      <c r="E86" s="429"/>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c r="BX86" s="238"/>
    </row>
    <row r="87" spans="1:76" x14ac:dyDescent="0.2">
      <c r="B87" s="368"/>
      <c r="C87" s="185"/>
      <c r="D87" s="185"/>
      <c r="E87" s="429"/>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X87" s="238"/>
    </row>
    <row r="88" spans="1:76" x14ac:dyDescent="0.2">
      <c r="B88" s="368"/>
      <c r="C88" s="185"/>
      <c r="D88" s="185"/>
      <c r="E88" s="429"/>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X88" s="238"/>
    </row>
    <row r="89" spans="1:76" x14ac:dyDescent="0.2">
      <c r="B89" s="368"/>
      <c r="C89" s="185"/>
      <c r="D89" s="185"/>
      <c r="E89" s="429"/>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X89" s="238"/>
    </row>
    <row r="90" spans="1:76" x14ac:dyDescent="0.2">
      <c r="B90" s="368"/>
      <c r="C90" s="185"/>
      <c r="D90" s="185"/>
      <c r="E90" s="429"/>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X90" s="238"/>
    </row>
    <row r="91" spans="1:76" x14ac:dyDescent="0.2">
      <c r="B91" s="368"/>
      <c r="C91" s="185"/>
      <c r="D91" s="185"/>
      <c r="E91" s="429"/>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X91" s="238"/>
    </row>
    <row r="92" spans="1:76" x14ac:dyDescent="0.2">
      <c r="B92" s="368"/>
      <c r="C92" s="185"/>
      <c r="D92" s="185"/>
      <c r="E92" s="429"/>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X92" s="238"/>
    </row>
    <row r="93" spans="1:76" x14ac:dyDescent="0.2">
      <c r="B93" s="368"/>
      <c r="C93" s="185"/>
      <c r="D93" s="185"/>
      <c r="E93" s="429"/>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X93" s="238"/>
    </row>
    <row r="94" spans="1:76" x14ac:dyDescent="0.2">
      <c r="B94" s="368"/>
      <c r="C94" s="185"/>
      <c r="D94" s="185"/>
      <c r="E94" s="429"/>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X94" s="238"/>
    </row>
    <row r="95" spans="1:76" x14ac:dyDescent="0.2">
      <c r="B95" s="368"/>
      <c r="C95" s="185"/>
      <c r="D95" s="185"/>
      <c r="E95" s="429"/>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X95" s="238"/>
    </row>
    <row r="96" spans="1:76" x14ac:dyDescent="0.2">
      <c r="B96" s="368"/>
      <c r="C96" s="185"/>
      <c r="D96" s="185"/>
      <c r="E96" s="429"/>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X96" s="238"/>
    </row>
    <row r="97" spans="2:76" x14ac:dyDescent="0.2">
      <c r="B97" s="368"/>
      <c r="C97" s="185"/>
      <c r="D97" s="185"/>
      <c r="E97" s="429"/>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X97" s="238"/>
    </row>
    <row r="98" spans="2:76" x14ac:dyDescent="0.2">
      <c r="B98" s="368"/>
      <c r="C98" s="185"/>
      <c r="D98" s="185"/>
      <c r="E98" s="429"/>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X98" s="238"/>
    </row>
    <row r="99" spans="2:76" x14ac:dyDescent="0.2">
      <c r="B99" s="368"/>
      <c r="C99" s="185"/>
      <c r="D99" s="185"/>
      <c r="E99" s="429"/>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X99" s="238"/>
    </row>
    <row r="100" spans="2:76" x14ac:dyDescent="0.2">
      <c r="B100" s="368"/>
      <c r="C100" s="185"/>
      <c r="D100" s="185"/>
      <c r="E100" s="429"/>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X100" s="238"/>
    </row>
    <row r="101" spans="2:76" x14ac:dyDescent="0.2">
      <c r="B101" s="368"/>
      <c r="C101" s="185"/>
      <c r="D101" s="185"/>
      <c r="E101" s="429"/>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X101" s="238"/>
    </row>
    <row r="102" spans="2:76" x14ac:dyDescent="0.2">
      <c r="B102" s="368"/>
      <c r="C102" s="185"/>
      <c r="D102" s="185"/>
      <c r="E102" s="429"/>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X102" s="238"/>
    </row>
    <row r="103" spans="2:76" x14ac:dyDescent="0.2">
      <c r="B103" s="368"/>
      <c r="C103" s="185"/>
      <c r="D103" s="185"/>
      <c r="E103" s="429"/>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X103" s="238"/>
    </row>
    <row r="104" spans="2:76" x14ac:dyDescent="0.2">
      <c r="B104" s="368"/>
      <c r="C104" s="185"/>
      <c r="D104" s="185"/>
      <c r="E104" s="429"/>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X104" s="238"/>
    </row>
    <row r="105" spans="2:76" x14ac:dyDescent="0.2">
      <c r="B105" s="368"/>
      <c r="C105" s="185"/>
      <c r="D105" s="185"/>
      <c r="E105" s="429"/>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X105" s="238"/>
    </row>
    <row r="106" spans="2:76" x14ac:dyDescent="0.2">
      <c r="B106" s="368"/>
      <c r="C106" s="185"/>
      <c r="D106" s="185"/>
      <c r="E106" s="429"/>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X106" s="238"/>
    </row>
    <row r="107" spans="2:76" x14ac:dyDescent="0.2">
      <c r="B107" s="368"/>
      <c r="C107" s="185"/>
      <c r="D107" s="185"/>
      <c r="E107" s="429"/>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X107" s="238"/>
    </row>
    <row r="108" spans="2:76" x14ac:dyDescent="0.2">
      <c r="B108" s="368"/>
      <c r="C108" s="185"/>
      <c r="D108" s="185"/>
      <c r="E108" s="429"/>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X108" s="238"/>
    </row>
    <row r="109" spans="2:76" x14ac:dyDescent="0.2">
      <c r="B109" s="368"/>
      <c r="C109" s="185"/>
      <c r="D109" s="185"/>
      <c r="E109" s="429"/>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c r="BX109" s="238"/>
    </row>
    <row r="110" spans="2:76" x14ac:dyDescent="0.2">
      <c r="B110" s="368"/>
      <c r="C110" s="185"/>
      <c r="D110" s="185"/>
      <c r="E110" s="429"/>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c r="BX110" s="238"/>
    </row>
    <row r="111" spans="2:76" x14ac:dyDescent="0.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X111" s="238"/>
    </row>
    <row r="112" spans="2:76" x14ac:dyDescent="0.2">
      <c r="BX112" s="238"/>
    </row>
    <row r="113" spans="2:76" x14ac:dyDescent="0.2">
      <c r="BX113" s="238"/>
    </row>
    <row r="114" spans="2:76" x14ac:dyDescent="0.2">
      <c r="BX114" s="238"/>
    </row>
    <row r="115" spans="2:76" x14ac:dyDescent="0.2">
      <c r="BX115" s="238"/>
    </row>
    <row r="116" spans="2:76" x14ac:dyDescent="0.2">
      <c r="BX116" s="238"/>
    </row>
    <row r="117" spans="2:76" x14ac:dyDescent="0.2">
      <c r="BX117" s="238"/>
    </row>
    <row r="118" spans="2:76" x14ac:dyDescent="0.2">
      <c r="BX118" s="238"/>
    </row>
    <row r="119" spans="2:76" x14ac:dyDescent="0.2">
      <c r="BX119" s="238"/>
    </row>
    <row r="120" spans="2:76" x14ac:dyDescent="0.2">
      <c r="BX120" s="238"/>
    </row>
    <row r="121" spans="2:76" x14ac:dyDescent="0.2">
      <c r="BX121" s="238"/>
    </row>
    <row r="122" spans="2:76" x14ac:dyDescent="0.2">
      <c r="BX122" s="238"/>
    </row>
    <row r="123" spans="2:76" x14ac:dyDescent="0.2">
      <c r="BX123" s="238"/>
    </row>
    <row r="124" spans="2:76" x14ac:dyDescent="0.2">
      <c r="BX124" s="238"/>
    </row>
    <row r="125" spans="2:76" x14ac:dyDescent="0.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X125" s="238"/>
    </row>
    <row r="126" spans="2:76" x14ac:dyDescent="0.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X126" s="238"/>
    </row>
    <row r="127" spans="2:76" x14ac:dyDescent="0.2">
      <c r="B127" s="368"/>
      <c r="C127" s="185"/>
      <c r="D127" s="185"/>
      <c r="E127" s="429"/>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53"/>
      <c r="AO127" s="53"/>
      <c r="AP127" s="53"/>
      <c r="AQ127" s="53"/>
      <c r="AR127" s="53"/>
      <c r="AS127" s="53"/>
      <c r="AT127" s="53"/>
      <c r="AU127" s="53"/>
      <c r="AV127" s="53"/>
      <c r="AW127" s="53"/>
      <c r="AX127" s="53"/>
      <c r="AY127" s="53"/>
      <c r="AZ127" s="53"/>
      <c r="BA127" s="53"/>
      <c r="BB127" s="53"/>
      <c r="BC127" s="53"/>
      <c r="BD127" s="53"/>
      <c r="BE127" s="53"/>
      <c r="BF127" s="53"/>
      <c r="BG127" s="53"/>
      <c r="BH127" s="53"/>
      <c r="BI127" s="53"/>
      <c r="BJ127" s="53"/>
      <c r="BK127" s="53"/>
      <c r="BL127" s="53"/>
      <c r="BM127" s="53"/>
      <c r="BN127" s="53"/>
      <c r="BO127" s="53"/>
      <c r="BP127" s="53"/>
      <c r="BQ127" s="53"/>
      <c r="BR127" s="53"/>
      <c r="BS127" s="53"/>
      <c r="BT127" s="53"/>
      <c r="BU127" s="53"/>
      <c r="BV127" s="53"/>
      <c r="BX127" s="238"/>
    </row>
    <row r="128" spans="2:76" x14ac:dyDescent="0.2">
      <c r="B128" s="368"/>
      <c r="C128" s="368"/>
      <c r="D128" s="368"/>
      <c r="E128" s="429"/>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c r="BX128" s="238"/>
    </row>
    <row r="129" spans="2:76" x14ac:dyDescent="0.2">
      <c r="B129" s="368"/>
      <c r="C129" s="185"/>
      <c r="D129" s="185"/>
      <c r="E129" s="429"/>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X129" s="238"/>
    </row>
    <row r="130" spans="2:76" x14ac:dyDescent="0.2">
      <c r="C130" s="185"/>
      <c r="D130" s="185"/>
      <c r="E130" s="429"/>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c r="BX130" s="238"/>
    </row>
    <row r="131" spans="2:76" x14ac:dyDescent="0.2">
      <c r="B131" s="368"/>
      <c r="C131" s="185"/>
      <c r="D131" s="185"/>
      <c r="E131" s="429"/>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X131" s="238"/>
    </row>
    <row r="132" spans="2:76" x14ac:dyDescent="0.2">
      <c r="B132" s="368"/>
      <c r="C132" s="185"/>
      <c r="D132" s="185"/>
      <c r="E132" s="429"/>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X132" s="238"/>
    </row>
    <row r="133" spans="2:76" x14ac:dyDescent="0.2">
      <c r="B133" s="368"/>
      <c r="C133" s="185"/>
      <c r="D133" s="185"/>
      <c r="E133" s="429"/>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X133" s="238"/>
    </row>
    <row r="134" spans="2:76" x14ac:dyDescent="0.2">
      <c r="B134" s="368"/>
      <c r="C134" s="185"/>
      <c r="D134" s="185"/>
      <c r="E134" s="429"/>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X134" s="238"/>
    </row>
    <row r="135" spans="2:76" x14ac:dyDescent="0.2">
      <c r="B135" s="368"/>
      <c r="C135" s="185"/>
      <c r="D135" s="185"/>
      <c r="E135" s="429"/>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X135" s="238"/>
    </row>
    <row r="136" spans="2:76" x14ac:dyDescent="0.2">
      <c r="B136" s="368"/>
      <c r="C136" s="185"/>
      <c r="D136" s="185"/>
      <c r="E136" s="429"/>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X136" s="238"/>
    </row>
    <row r="137" spans="2:76" x14ac:dyDescent="0.2">
      <c r="B137" s="368"/>
      <c r="C137" s="185"/>
      <c r="D137" s="185"/>
      <c r="E137" s="429"/>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X137" s="238"/>
    </row>
    <row r="138" spans="2:76" x14ac:dyDescent="0.2">
      <c r="B138" s="368"/>
      <c r="C138" s="185"/>
      <c r="D138" s="185"/>
      <c r="E138" s="429"/>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c r="BX138" s="238"/>
    </row>
    <row r="139" spans="2:76" x14ac:dyDescent="0.2">
      <c r="B139" s="368"/>
      <c r="C139" s="185"/>
      <c r="D139" s="185"/>
      <c r="E139" s="429"/>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c r="BX139" s="238"/>
    </row>
    <row r="140" spans="2:76" x14ac:dyDescent="0.2">
      <c r="B140" s="368"/>
      <c r="C140" s="368"/>
      <c r="D140" s="368"/>
      <c r="E140" s="429"/>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c r="BX140" s="238"/>
    </row>
    <row r="141" spans="2:76" x14ac:dyDescent="0.2">
      <c r="B141" s="368"/>
      <c r="C141" s="185"/>
      <c r="D141" s="185"/>
      <c r="E141" s="429"/>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X141" s="238"/>
    </row>
    <row r="142" spans="2:76" x14ac:dyDescent="0.2">
      <c r="B142" s="368"/>
      <c r="C142" s="185"/>
      <c r="D142" s="185"/>
      <c r="E142" s="429"/>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X142" s="238"/>
    </row>
    <row r="143" spans="2:76" x14ac:dyDescent="0.2">
      <c r="B143" s="368"/>
      <c r="C143" s="185"/>
      <c r="D143" s="185"/>
      <c r="E143" s="429"/>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X143" s="238"/>
    </row>
    <row r="144" spans="2:76" x14ac:dyDescent="0.2">
      <c r="B144" s="368"/>
      <c r="C144" s="185"/>
      <c r="D144" s="185"/>
      <c r="E144" s="429"/>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c r="BX144" s="238"/>
    </row>
    <row r="145" spans="2:76" x14ac:dyDescent="0.2">
      <c r="B145" s="368"/>
      <c r="C145" s="185"/>
      <c r="D145" s="185"/>
      <c r="E145" s="429"/>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c r="BX145" s="238"/>
    </row>
    <row r="146" spans="2:76" x14ac:dyDescent="0.2">
      <c r="B146" s="368"/>
      <c r="C146" s="185"/>
      <c r="D146" s="185"/>
      <c r="E146" s="429"/>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X146" s="238"/>
    </row>
    <row r="147" spans="2:76" x14ac:dyDescent="0.2">
      <c r="B147" s="368"/>
      <c r="C147" s="185"/>
      <c r="D147" s="185"/>
      <c r="E147" s="429"/>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c r="BX147" s="238"/>
    </row>
    <row r="148" spans="2:76" x14ac:dyDescent="0.2">
      <c r="B148" s="368"/>
      <c r="C148" s="185"/>
      <c r="D148" s="185"/>
      <c r="E148" s="429"/>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c r="BX148" s="238"/>
    </row>
    <row r="149" spans="2:76" x14ac:dyDescent="0.2">
      <c r="B149" s="368"/>
      <c r="C149" s="185"/>
      <c r="D149" s="185"/>
      <c r="E149" s="429"/>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c r="BX149" s="238"/>
    </row>
    <row r="150" spans="2:76" x14ac:dyDescent="0.2">
      <c r="B150" s="368"/>
      <c r="C150" s="185"/>
      <c r="D150" s="185"/>
      <c r="E150" s="429"/>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c r="BX150" s="238"/>
    </row>
    <row r="151" spans="2:76" x14ac:dyDescent="0.2">
      <c r="B151" s="368"/>
      <c r="C151" s="185"/>
      <c r="D151" s="185"/>
      <c r="E151" s="429"/>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c r="BX151" s="238"/>
    </row>
    <row r="152" spans="2:76" x14ac:dyDescent="0.2">
      <c r="B152" s="368"/>
      <c r="C152" s="185"/>
      <c r="D152" s="185"/>
      <c r="E152" s="429"/>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c r="BX152" s="238"/>
    </row>
    <row r="153" spans="2:76" x14ac:dyDescent="0.2">
      <c r="B153" s="368"/>
      <c r="C153" s="368"/>
      <c r="D153" s="368"/>
      <c r="E153" s="429"/>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c r="BX153" s="238"/>
    </row>
    <row r="154" spans="2:76" x14ac:dyDescent="0.2">
      <c r="B154" s="368"/>
      <c r="C154" s="185"/>
      <c r="D154" s="185"/>
      <c r="E154" s="429"/>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c r="BX154" s="238"/>
    </row>
    <row r="155" spans="2:76" x14ac:dyDescent="0.2">
      <c r="B155" s="368"/>
      <c r="C155" s="185"/>
      <c r="D155" s="185"/>
      <c r="E155" s="429"/>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c r="BX155" s="238"/>
    </row>
    <row r="156" spans="2:76" x14ac:dyDescent="0.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X156" s="238"/>
    </row>
    <row r="157" spans="2:76" x14ac:dyDescent="0.2">
      <c r="B157" s="368"/>
      <c r="C157" s="185"/>
      <c r="D157" s="185"/>
      <c r="E157" s="429"/>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c r="BS157" s="53"/>
      <c r="BT157" s="53"/>
      <c r="BU157" s="53"/>
      <c r="BV157" s="53"/>
      <c r="BX157" s="238"/>
    </row>
    <row r="158" spans="2:76" x14ac:dyDescent="0.2">
      <c r="B158" s="368"/>
      <c r="C158" s="185"/>
      <c r="D158" s="185"/>
      <c r="E158" s="429"/>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c r="BX158" s="238"/>
    </row>
    <row r="159" spans="2:76" x14ac:dyDescent="0.2">
      <c r="B159" s="368"/>
      <c r="C159" s="185"/>
      <c r="D159" s="185"/>
      <c r="E159" s="429"/>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c r="BX159" s="238"/>
    </row>
    <row r="160" spans="2:76" x14ac:dyDescent="0.2">
      <c r="B160" s="368"/>
      <c r="C160" s="185"/>
      <c r="D160" s="185"/>
      <c r="E160" s="429"/>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c r="BX160" s="238"/>
    </row>
    <row r="161" spans="2:76" x14ac:dyDescent="0.2">
      <c r="B161" s="368"/>
      <c r="C161" s="185"/>
      <c r="D161" s="185"/>
      <c r="E161" s="429"/>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c r="BX161" s="238"/>
    </row>
    <row r="162" spans="2:76" x14ac:dyDescent="0.2">
      <c r="B162" s="368"/>
      <c r="C162" s="185"/>
      <c r="D162" s="185"/>
      <c r="E162" s="429"/>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X162" s="238"/>
    </row>
    <row r="163" spans="2:76" x14ac:dyDescent="0.2">
      <c r="B163" s="368"/>
      <c r="C163" s="185"/>
      <c r="D163" s="185"/>
      <c r="E163" s="429"/>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X163" s="238"/>
    </row>
    <row r="164" spans="2:76" x14ac:dyDescent="0.2">
      <c r="B164" s="368"/>
      <c r="C164" s="185"/>
      <c r="D164" s="185"/>
      <c r="E164" s="429"/>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X164" s="238"/>
    </row>
    <row r="165" spans="2:76" x14ac:dyDescent="0.2">
      <c r="B165" s="368"/>
      <c r="C165" s="185"/>
      <c r="D165" s="185"/>
      <c r="E165" s="429"/>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X165" s="238"/>
    </row>
    <row r="166" spans="2:76" x14ac:dyDescent="0.2">
      <c r="B166" s="368"/>
      <c r="C166" s="185"/>
      <c r="D166" s="185"/>
      <c r="E166" s="429"/>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X166" s="238"/>
    </row>
    <row r="167" spans="2:76" x14ac:dyDescent="0.2">
      <c r="B167" s="368"/>
      <c r="C167" s="185"/>
      <c r="D167" s="185"/>
      <c r="E167" s="429"/>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X167" s="238"/>
    </row>
    <row r="168" spans="2:76" x14ac:dyDescent="0.2">
      <c r="B168" s="368"/>
      <c r="C168" s="185"/>
      <c r="D168" s="185"/>
      <c r="E168" s="429"/>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X168" s="238"/>
    </row>
    <row r="169" spans="2:76" x14ac:dyDescent="0.2">
      <c r="B169" s="368"/>
      <c r="C169" s="185"/>
      <c r="D169" s="185"/>
      <c r="E169" s="429"/>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c r="BX169" s="238"/>
    </row>
    <row r="170" spans="2:76" x14ac:dyDescent="0.2">
      <c r="B170" s="368"/>
      <c r="C170" s="185"/>
      <c r="D170" s="185"/>
      <c r="E170" s="429"/>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row>
    <row r="171" spans="2:76" x14ac:dyDescent="0.2">
      <c r="B171" s="368"/>
      <c r="C171" s="185"/>
      <c r="D171" s="185"/>
      <c r="E171" s="429"/>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row>
    <row r="172" spans="2:76" x14ac:dyDescent="0.2">
      <c r="B172" s="368"/>
      <c r="C172" s="185"/>
      <c r="D172" s="185"/>
      <c r="E172" s="429"/>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row>
    <row r="173" spans="2:76" x14ac:dyDescent="0.2">
      <c r="B173" s="368"/>
      <c r="C173" s="185"/>
      <c r="D173" s="185"/>
      <c r="E173" s="429"/>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row>
    <row r="174" spans="2:76" x14ac:dyDescent="0.2">
      <c r="B174" s="368"/>
      <c r="C174" s="185"/>
      <c r="D174" s="185"/>
      <c r="E174" s="429"/>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row>
    <row r="175" spans="2:76" x14ac:dyDescent="0.2">
      <c r="B175" s="368"/>
      <c r="C175" s="185"/>
      <c r="D175" s="185"/>
      <c r="E175" s="429"/>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row>
    <row r="176" spans="2:76" x14ac:dyDescent="0.2">
      <c r="B176" s="368"/>
      <c r="C176" s="368"/>
      <c r="D176" s="368"/>
      <c r="E176" s="429"/>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row>
    <row r="177" spans="2:74" x14ac:dyDescent="0.2">
      <c r="B177" s="368"/>
      <c r="C177" s="185"/>
      <c r="D177" s="185"/>
      <c r="E177" s="429"/>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row>
    <row r="178" spans="2:74" x14ac:dyDescent="0.2">
      <c r="C178" s="185"/>
      <c r="D178" s="185"/>
      <c r="E178" s="429"/>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row>
    <row r="179" spans="2:74" x14ac:dyDescent="0.2">
      <c r="B179" s="368"/>
      <c r="C179" s="185"/>
      <c r="D179" s="185"/>
      <c r="E179" s="429"/>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row>
    <row r="180" spans="2:74" x14ac:dyDescent="0.2">
      <c r="B180" s="368"/>
      <c r="C180" s="185"/>
      <c r="D180" s="185"/>
      <c r="E180" s="429"/>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row>
    <row r="181" spans="2:74" x14ac:dyDescent="0.2">
      <c r="B181" s="368"/>
      <c r="C181" s="185"/>
      <c r="D181" s="185"/>
      <c r="E181" s="429"/>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row>
    <row r="182" spans="2:74" x14ac:dyDescent="0.2">
      <c r="B182" s="368"/>
      <c r="C182" s="185"/>
      <c r="D182" s="185"/>
      <c r="E182" s="429"/>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row>
    <row r="183" spans="2:74" x14ac:dyDescent="0.2">
      <c r="B183" s="368"/>
      <c r="C183" s="185"/>
      <c r="D183" s="185"/>
      <c r="E183" s="429"/>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row>
    <row r="184" spans="2:74" x14ac:dyDescent="0.2">
      <c r="B184" s="368"/>
      <c r="C184" s="185"/>
      <c r="D184" s="185"/>
      <c r="E184" s="429"/>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row>
    <row r="185" spans="2:74" x14ac:dyDescent="0.2">
      <c r="B185" s="368"/>
      <c r="C185" s="185"/>
      <c r="D185" s="185"/>
      <c r="E185" s="429"/>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row>
    <row r="186" spans="2:74" x14ac:dyDescent="0.2">
      <c r="B186" s="368"/>
      <c r="C186" s="185"/>
      <c r="D186" s="185"/>
      <c r="E186" s="429"/>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row>
    <row r="187" spans="2:74" x14ac:dyDescent="0.2">
      <c r="B187" s="368"/>
      <c r="C187" s="185"/>
      <c r="D187" s="185"/>
      <c r="E187" s="429"/>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row>
    <row r="188" spans="2:74" x14ac:dyDescent="0.2">
      <c r="B188" s="368"/>
      <c r="C188" s="368"/>
      <c r="D188" s="368"/>
      <c r="E188" s="429"/>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row>
    <row r="189" spans="2:74" x14ac:dyDescent="0.2">
      <c r="B189" s="368"/>
      <c r="C189" s="185"/>
      <c r="D189" s="185"/>
      <c r="E189" s="429"/>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row>
    <row r="190" spans="2:74" x14ac:dyDescent="0.2">
      <c r="B190" s="368"/>
      <c r="C190" s="185"/>
      <c r="D190" s="185"/>
      <c r="E190" s="429"/>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row>
    <row r="191" spans="2:74" x14ac:dyDescent="0.2">
      <c r="B191" s="368"/>
      <c r="C191" s="185"/>
      <c r="D191" s="185"/>
      <c r="E191" s="429"/>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row>
    <row r="192" spans="2:74" x14ac:dyDescent="0.2">
      <c r="B192" s="368"/>
      <c r="C192" s="185"/>
      <c r="D192" s="185"/>
      <c r="E192" s="429"/>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row>
    <row r="193" spans="2:74" x14ac:dyDescent="0.2">
      <c r="B193" s="368"/>
      <c r="C193" s="185"/>
      <c r="D193" s="185"/>
      <c r="E193" s="429"/>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row>
    <row r="194" spans="2:74" x14ac:dyDescent="0.2">
      <c r="B194" s="368"/>
      <c r="C194" s="185"/>
      <c r="D194" s="185"/>
      <c r="E194" s="429"/>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row>
    <row r="195" spans="2:74" x14ac:dyDescent="0.2">
      <c r="B195" s="368"/>
      <c r="C195" s="185"/>
      <c r="D195" s="185"/>
      <c r="E195" s="429"/>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row>
    <row r="196" spans="2:74" x14ac:dyDescent="0.2">
      <c r="B196" s="368"/>
      <c r="C196" s="185"/>
      <c r="D196" s="185"/>
      <c r="E196" s="429"/>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row>
    <row r="197" spans="2:74" x14ac:dyDescent="0.2">
      <c r="B197" s="368"/>
      <c r="C197" s="185"/>
      <c r="D197" s="185"/>
      <c r="E197" s="429"/>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row>
    <row r="198" spans="2:74" x14ac:dyDescent="0.2">
      <c r="B198" s="368"/>
      <c r="C198" s="185"/>
      <c r="D198" s="185"/>
      <c r="E198" s="429"/>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row>
    <row r="199" spans="2:74" x14ac:dyDescent="0.2">
      <c r="B199" s="368"/>
      <c r="C199" s="185"/>
      <c r="D199" s="185"/>
      <c r="E199" s="429"/>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row>
    <row r="200" spans="2:74" x14ac:dyDescent="0.2">
      <c r="B200" s="368"/>
      <c r="C200" s="185"/>
      <c r="D200" s="185"/>
      <c r="E200" s="429"/>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row>
    <row r="201" spans="2:74" x14ac:dyDescent="0.2">
      <c r="B201" s="368"/>
      <c r="C201" s="368"/>
      <c r="D201" s="368"/>
      <c r="E201" s="429"/>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row>
    <row r="202" spans="2:74" x14ac:dyDescent="0.2">
      <c r="B202" s="368"/>
      <c r="C202" s="368"/>
      <c r="D202" s="368"/>
      <c r="E202" s="429"/>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row>
    <row r="203" spans="2:74" x14ac:dyDescent="0.2">
      <c r="B203" s="368"/>
      <c r="C203" s="185"/>
      <c r="D203" s="185"/>
      <c r="E203" s="429"/>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row>
    <row r="204" spans="2:74" x14ac:dyDescent="0.2">
      <c r="B204" s="368"/>
      <c r="C204" s="185"/>
      <c r="D204" s="185"/>
      <c r="E204" s="429"/>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row>
    <row r="205" spans="2:74" x14ac:dyDescent="0.2">
      <c r="B205" s="368"/>
      <c r="C205" s="185"/>
      <c r="D205" s="185"/>
      <c r="E205" s="429"/>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row>
    <row r="221" spans="2:74" x14ac:dyDescent="0.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c r="BM221" s="42"/>
      <c r="BN221" s="42"/>
      <c r="BO221" s="42"/>
      <c r="BP221" s="42"/>
      <c r="BQ221" s="42"/>
      <c r="BR221" s="42"/>
      <c r="BS221" s="42"/>
      <c r="BT221" s="42"/>
      <c r="BU221" s="42"/>
      <c r="BV221" s="42"/>
    </row>
    <row r="222" spans="2:74" x14ac:dyDescent="0.2">
      <c r="B222" s="368"/>
      <c r="C222" s="185"/>
      <c r="D222" s="185"/>
      <c r="E222" s="429"/>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3"/>
      <c r="BR222" s="53"/>
      <c r="BS222" s="53"/>
      <c r="BT222" s="53"/>
      <c r="BU222" s="53"/>
      <c r="BV222" s="53"/>
    </row>
    <row r="223" spans="2:74" x14ac:dyDescent="0.2">
      <c r="B223" s="368"/>
      <c r="C223" s="185"/>
      <c r="D223" s="185"/>
      <c r="E223" s="429"/>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row>
    <row r="224" spans="2:74" x14ac:dyDescent="0.2">
      <c r="B224" s="368"/>
      <c r="C224" s="185"/>
      <c r="D224" s="185"/>
      <c r="E224" s="429"/>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row>
    <row r="225" spans="2:74" x14ac:dyDescent="0.2">
      <c r="B225" s="368"/>
      <c r="C225" s="185"/>
      <c r="D225" s="185"/>
      <c r="E225" s="429"/>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row>
    <row r="226" spans="2:74" x14ac:dyDescent="0.2">
      <c r="B226" s="368"/>
      <c r="C226" s="185"/>
      <c r="D226" s="185"/>
      <c r="E226" s="429"/>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row>
    <row r="227" spans="2:74" x14ac:dyDescent="0.2">
      <c r="B227" s="368"/>
      <c r="C227" s="185"/>
      <c r="D227" s="185"/>
      <c r="E227" s="429"/>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row>
    <row r="228" spans="2:74" x14ac:dyDescent="0.2">
      <c r="B228" s="368"/>
      <c r="C228" s="185"/>
      <c r="D228" s="185"/>
      <c r="E228" s="429"/>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row>
    <row r="229" spans="2:74" x14ac:dyDescent="0.2">
      <c r="B229" s="368"/>
      <c r="C229" s="185"/>
      <c r="D229" s="185"/>
      <c r="E229" s="429"/>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row>
    <row r="230" spans="2:74" x14ac:dyDescent="0.2">
      <c r="B230" s="368"/>
      <c r="C230" s="185"/>
      <c r="D230" s="185"/>
      <c r="E230" s="429"/>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row>
    <row r="231" spans="2:74" x14ac:dyDescent="0.2">
      <c r="B231" s="368"/>
      <c r="C231" s="185"/>
      <c r="D231" s="185"/>
      <c r="E231" s="429"/>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row>
    <row r="232" spans="2:74" x14ac:dyDescent="0.2">
      <c r="B232" s="368"/>
      <c r="C232" s="185"/>
      <c r="D232" s="185"/>
      <c r="E232" s="429"/>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row>
    <row r="233" spans="2:74" x14ac:dyDescent="0.2">
      <c r="B233" s="368"/>
      <c r="C233" s="185"/>
      <c r="D233" s="185"/>
      <c r="E233" s="429"/>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row>
    <row r="234" spans="2:74" x14ac:dyDescent="0.2">
      <c r="B234" s="368"/>
      <c r="C234" s="185"/>
      <c r="D234" s="185"/>
      <c r="E234" s="429"/>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row>
    <row r="235" spans="2:74" x14ac:dyDescent="0.2">
      <c r="B235" s="368"/>
      <c r="C235" s="185"/>
      <c r="D235" s="185"/>
      <c r="E235" s="429"/>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row>
    <row r="236" spans="2:74" x14ac:dyDescent="0.2">
      <c r="B236" s="368"/>
      <c r="C236" s="185"/>
      <c r="D236" s="185"/>
      <c r="E236" s="429"/>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row>
    <row r="237" spans="2:74" x14ac:dyDescent="0.2">
      <c r="B237" s="368"/>
      <c r="C237" s="185"/>
      <c r="D237" s="185"/>
      <c r="E237" s="429"/>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row>
    <row r="238" spans="2:74" x14ac:dyDescent="0.2">
      <c r="B238" s="368"/>
      <c r="C238" s="185"/>
      <c r="D238" s="185"/>
      <c r="E238" s="429"/>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row>
    <row r="239" spans="2:74" x14ac:dyDescent="0.2">
      <c r="B239" s="368"/>
      <c r="C239" s="185"/>
      <c r="D239" s="185"/>
      <c r="E239" s="429"/>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row>
    <row r="240" spans="2:74" x14ac:dyDescent="0.2">
      <c r="B240" s="368"/>
      <c r="C240" s="185"/>
      <c r="D240" s="185"/>
      <c r="E240" s="429"/>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row>
    <row r="241" spans="2:74" x14ac:dyDescent="0.2">
      <c r="B241" s="368"/>
      <c r="C241" s="185"/>
      <c r="D241" s="185"/>
      <c r="E241" s="429"/>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row>
    <row r="242" spans="2:74" x14ac:dyDescent="0.2">
      <c r="B242" s="368"/>
      <c r="C242" s="185"/>
      <c r="D242" s="185"/>
      <c r="E242" s="429"/>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row>
    <row r="243" spans="2:74" x14ac:dyDescent="0.2">
      <c r="B243" s="368"/>
      <c r="C243" s="185"/>
      <c r="D243" s="185"/>
      <c r="E243" s="429"/>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row>
    <row r="244" spans="2:74" x14ac:dyDescent="0.2">
      <c r="B244" s="368"/>
      <c r="C244" s="185"/>
      <c r="D244" s="185"/>
      <c r="E244" s="429"/>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row>
    <row r="245" spans="2:74" x14ac:dyDescent="0.2">
      <c r="B245" s="368"/>
      <c r="C245" s="185"/>
      <c r="D245" s="185"/>
      <c r="E245" s="429"/>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row>
    <row r="246" spans="2:74" x14ac:dyDescent="0.2">
      <c r="B246" s="368"/>
      <c r="C246" s="185"/>
      <c r="D246" s="185"/>
      <c r="E246" s="429"/>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row>
    <row r="247" spans="2:74" x14ac:dyDescent="0.2">
      <c r="B247" s="368"/>
      <c r="C247" s="185"/>
      <c r="D247" s="185"/>
      <c r="E247" s="429"/>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row>
    <row r="248" spans="2:74" x14ac:dyDescent="0.2">
      <c r="B248" s="368"/>
      <c r="C248" s="185"/>
      <c r="D248" s="185"/>
      <c r="E248" s="429"/>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row>
    <row r="249" spans="2:74" x14ac:dyDescent="0.2">
      <c r="B249" s="368"/>
      <c r="C249" s="185"/>
      <c r="D249" s="185"/>
      <c r="E249" s="429"/>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row>
    <row r="250" spans="2:74" x14ac:dyDescent="0.2">
      <c r="B250" s="368"/>
      <c r="C250" s="185"/>
      <c r="D250" s="185"/>
      <c r="E250" s="429"/>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row>
    <row r="251" spans="2:74" x14ac:dyDescent="0.2">
      <c r="B251" s="368"/>
      <c r="C251" s="185"/>
      <c r="D251" s="185"/>
      <c r="E251" s="429"/>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row>
    <row r="252" spans="2:74" x14ac:dyDescent="0.2">
      <c r="B252" s="368"/>
      <c r="C252" s="185"/>
      <c r="D252" s="185"/>
      <c r="E252" s="429"/>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row>
    <row r="253" spans="2:74" x14ac:dyDescent="0.2">
      <c r="B253" s="368"/>
      <c r="C253" s="185"/>
      <c r="D253" s="185"/>
      <c r="E253" s="429"/>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row>
    <row r="254" spans="2:74" x14ac:dyDescent="0.2">
      <c r="B254" s="368"/>
      <c r="C254" s="185"/>
      <c r="D254" s="185"/>
      <c r="E254" s="429"/>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row>
    <row r="255" spans="2:74" x14ac:dyDescent="0.2">
      <c r="B255" s="368"/>
      <c r="C255" s="185"/>
      <c r="D255" s="185"/>
      <c r="E255" s="429"/>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row>
    <row r="256" spans="2:74" x14ac:dyDescent="0.2">
      <c r="B256" s="368"/>
      <c r="C256" s="185"/>
      <c r="D256" s="185"/>
      <c r="E256" s="429"/>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row>
    <row r="257" spans="2:74" x14ac:dyDescent="0.2">
      <c r="B257" s="368"/>
      <c r="C257" s="185"/>
      <c r="D257" s="185"/>
      <c r="E257" s="429"/>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row>
    <row r="258" spans="2:74" x14ac:dyDescent="0.2">
      <c r="B258" s="368"/>
      <c r="C258" s="185"/>
      <c r="D258" s="185"/>
      <c r="E258" s="429"/>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row>
    <row r="259" spans="2:74" x14ac:dyDescent="0.2">
      <c r="B259" s="368"/>
      <c r="C259" s="185"/>
      <c r="D259" s="185"/>
      <c r="E259" s="429"/>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row>
    <row r="260" spans="2:74" x14ac:dyDescent="0.2">
      <c r="B260" s="368"/>
      <c r="C260" s="368"/>
      <c r="D260" s="368"/>
      <c r="E260" s="429"/>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row>
    <row r="261" spans="2:74" x14ac:dyDescent="0.2">
      <c r="B261" s="368"/>
      <c r="C261" s="185"/>
      <c r="D261" s="185"/>
      <c r="E261" s="429"/>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row>
    <row r="262" spans="2:74" x14ac:dyDescent="0.2">
      <c r="C262" s="185"/>
      <c r="D262" s="185"/>
      <c r="E262" s="429"/>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row>
    <row r="263" spans="2:74" x14ac:dyDescent="0.2">
      <c r="B263" s="368"/>
      <c r="C263" s="185"/>
      <c r="D263" s="185"/>
      <c r="E263" s="429"/>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row>
    <row r="264" spans="2:74" x14ac:dyDescent="0.2">
      <c r="B264" s="368"/>
      <c r="C264" s="185"/>
      <c r="D264" s="185"/>
      <c r="E264" s="429"/>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row>
    <row r="265" spans="2:74" x14ac:dyDescent="0.2">
      <c r="B265" s="368"/>
      <c r="C265" s="185"/>
      <c r="D265" s="185"/>
      <c r="E265" s="429"/>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row>
    <row r="266" spans="2:74" x14ac:dyDescent="0.2">
      <c r="B266" s="368"/>
      <c r="C266" s="185"/>
      <c r="D266" s="185"/>
      <c r="E266" s="429"/>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row>
    <row r="267" spans="2:74" x14ac:dyDescent="0.2">
      <c r="B267" s="368"/>
      <c r="C267" s="185"/>
      <c r="D267" s="185"/>
      <c r="E267" s="429"/>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row>
    <row r="268" spans="2:74" x14ac:dyDescent="0.2">
      <c r="B268" s="368"/>
      <c r="C268" s="185"/>
      <c r="D268" s="185"/>
      <c r="E268" s="429"/>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row>
    <row r="269" spans="2:74" x14ac:dyDescent="0.2">
      <c r="B269" s="368"/>
      <c r="C269" s="185"/>
      <c r="D269" s="185"/>
      <c r="E269" s="429"/>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row>
    <row r="270" spans="2:74" x14ac:dyDescent="0.2">
      <c r="B270" s="368"/>
      <c r="C270" s="185"/>
      <c r="D270" s="185"/>
      <c r="E270" s="429"/>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row>
    <row r="271" spans="2:74" x14ac:dyDescent="0.2">
      <c r="B271" s="368"/>
      <c r="C271" s="185"/>
      <c r="D271" s="185"/>
      <c r="E271" s="429"/>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row>
    <row r="272" spans="2:74" x14ac:dyDescent="0.2">
      <c r="B272" s="368"/>
      <c r="C272" s="368"/>
      <c r="D272" s="368"/>
      <c r="E272" s="429"/>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row>
    <row r="273" spans="2:74" x14ac:dyDescent="0.2">
      <c r="B273" s="368"/>
      <c r="C273" s="185"/>
      <c r="D273" s="185"/>
      <c r="E273" s="429"/>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row>
    <row r="274" spans="2:74" x14ac:dyDescent="0.2">
      <c r="B274" s="368"/>
      <c r="C274" s="185"/>
      <c r="D274" s="185"/>
      <c r="E274" s="429"/>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row>
    <row r="275" spans="2:74" x14ac:dyDescent="0.2">
      <c r="B275" s="368"/>
      <c r="C275" s="185"/>
      <c r="D275" s="185"/>
      <c r="E275" s="429"/>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row>
    <row r="276" spans="2:74" x14ac:dyDescent="0.2">
      <c r="B276" s="368"/>
      <c r="C276" s="185"/>
      <c r="D276" s="185"/>
      <c r="E276" s="429"/>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row>
    <row r="277" spans="2:74" x14ac:dyDescent="0.2">
      <c r="B277" s="368"/>
      <c r="C277" s="185"/>
      <c r="D277" s="185"/>
      <c r="E277" s="429"/>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row>
    <row r="278" spans="2:74" x14ac:dyDescent="0.2">
      <c r="B278" s="368"/>
      <c r="C278" s="185"/>
      <c r="D278" s="185"/>
      <c r="E278" s="429"/>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row>
    <row r="279" spans="2:74" x14ac:dyDescent="0.2">
      <c r="B279" s="368"/>
      <c r="C279" s="185"/>
      <c r="D279" s="185"/>
      <c r="E279" s="429"/>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row>
    <row r="280" spans="2:74" x14ac:dyDescent="0.2">
      <c r="B280" s="368"/>
      <c r="C280" s="185"/>
      <c r="D280" s="185"/>
      <c r="E280" s="429"/>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row>
    <row r="281" spans="2:74" x14ac:dyDescent="0.2">
      <c r="B281" s="368"/>
      <c r="C281" s="185"/>
      <c r="D281" s="185"/>
      <c r="E281" s="429"/>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row>
    <row r="282" spans="2:74" x14ac:dyDescent="0.2">
      <c r="B282" s="368"/>
      <c r="C282" s="185"/>
      <c r="D282" s="185"/>
      <c r="E282" s="429"/>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row>
    <row r="283" spans="2:74" x14ac:dyDescent="0.2">
      <c r="B283" s="368"/>
      <c r="C283" s="185"/>
      <c r="D283" s="185"/>
      <c r="E283" s="429"/>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row>
    <row r="284" spans="2:74" x14ac:dyDescent="0.2">
      <c r="B284" s="368"/>
      <c r="C284" s="185"/>
      <c r="D284" s="185"/>
      <c r="E284" s="429"/>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row>
    <row r="285" spans="2:74" x14ac:dyDescent="0.2">
      <c r="B285" s="368"/>
      <c r="C285" s="368"/>
      <c r="D285" s="368"/>
      <c r="E285" s="429"/>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row>
    <row r="286" spans="2:74" x14ac:dyDescent="0.2">
      <c r="B286" s="368"/>
      <c r="C286" s="368"/>
      <c r="D286" s="368"/>
      <c r="E286" s="429"/>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row>
    <row r="287" spans="2:74" x14ac:dyDescent="0.2">
      <c r="B287" s="368"/>
      <c r="C287" s="185"/>
      <c r="D287" s="185"/>
      <c r="E287" s="429"/>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row>
    <row r="288" spans="2:74" x14ac:dyDescent="0.2">
      <c r="B288" s="368"/>
      <c r="C288" s="185"/>
      <c r="D288" s="185"/>
      <c r="E288" s="429"/>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row>
    <row r="289" spans="2:74" x14ac:dyDescent="0.2">
      <c r="B289" s="368"/>
      <c r="C289" s="185"/>
      <c r="D289" s="185"/>
      <c r="E289" s="429"/>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row>
  </sheetData>
  <mergeCells count="16">
    <mergeCell ref="B26:C26"/>
    <mergeCell ref="AN3:AR3"/>
    <mergeCell ref="T3:X3"/>
    <mergeCell ref="Y3:AC3"/>
    <mergeCell ref="AD3:AH3"/>
    <mergeCell ref="E2:BV2"/>
    <mergeCell ref="E3:I3"/>
    <mergeCell ref="J3:N3"/>
    <mergeCell ref="O3:S3"/>
    <mergeCell ref="BR3:BV3"/>
    <mergeCell ref="AI3:AM3"/>
    <mergeCell ref="BM3:BQ3"/>
    <mergeCell ref="AS3:AW3"/>
    <mergeCell ref="AX3:BB3"/>
    <mergeCell ref="BC3:BG3"/>
    <mergeCell ref="BH3:BL3"/>
  </mergeCells>
  <pageMargins left="0.70866141732283472" right="0.70866141732283472" top="0.74803149606299213" bottom="0.74803149606299213" header="0.31496062992125984" footer="0.31496062992125984"/>
  <pageSetup paperSize="9" scale="46"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C290"/>
  <sheetViews>
    <sheetView topLeftCell="A34" workbookViewId="0">
      <selection activeCell="BN72" sqref="BN72"/>
    </sheetView>
  </sheetViews>
  <sheetFormatPr defaultRowHeight="12.75" x14ac:dyDescent="0.2"/>
  <cols>
    <col min="1" max="1" width="2.85546875" style="7" customWidth="1"/>
    <col min="2" max="2" width="3.28515625" style="7" customWidth="1"/>
    <col min="3" max="3" width="69.28515625" style="7" customWidth="1"/>
    <col min="4" max="4" width="6" style="7" customWidth="1"/>
    <col min="5" max="9" width="13.5703125" style="7" customWidth="1"/>
    <col min="10" max="14" width="13.5703125" style="7" hidden="1" customWidth="1"/>
    <col min="15" max="15" width="12.7109375" style="7" hidden="1" customWidth="1"/>
    <col min="16" max="17" width="11.28515625" style="7" hidden="1" customWidth="1"/>
    <col min="18" max="18" width="12.7109375" style="7" hidden="1" customWidth="1"/>
    <col min="19" max="19" width="13.140625" style="7" hidden="1" customWidth="1"/>
    <col min="20" max="22" width="11.28515625" style="7" hidden="1" customWidth="1"/>
    <col min="23" max="24" width="12.7109375" style="7" hidden="1" customWidth="1"/>
    <col min="25" max="27" width="11.28515625" style="7" hidden="1" customWidth="1"/>
    <col min="28" max="28" width="12.7109375" style="7" hidden="1" customWidth="1"/>
    <col min="29" max="29" width="11.28515625" style="7" hidden="1" customWidth="1"/>
    <col min="30" max="30" width="12.28515625" style="7" hidden="1" customWidth="1"/>
    <col min="31" max="31" width="12.7109375" style="7" hidden="1" customWidth="1"/>
    <col min="32" max="32" width="11.28515625" style="7" hidden="1" customWidth="1"/>
    <col min="33" max="33" width="12.7109375" style="7" hidden="1" customWidth="1"/>
    <col min="34" max="34" width="10.85546875" style="7" hidden="1" customWidth="1"/>
    <col min="35" max="35" width="11.28515625" style="7" hidden="1" customWidth="1"/>
    <col min="36" max="36" width="13.5703125" style="7" hidden="1" customWidth="1"/>
    <col min="37" max="37" width="11.28515625" style="7" hidden="1" customWidth="1"/>
    <col min="38" max="38" width="13.28515625" style="7" hidden="1" customWidth="1"/>
    <col min="39" max="42" width="11.28515625" style="7" hidden="1" customWidth="1"/>
    <col min="43" max="43" width="12.7109375" style="7" hidden="1" customWidth="1"/>
    <col min="44" max="44" width="11.28515625" style="7" hidden="1" customWidth="1"/>
    <col min="45" max="53" width="13.5703125" style="7" hidden="1" customWidth="1"/>
    <col min="54" max="54" width="13.140625" style="7" hidden="1" customWidth="1"/>
    <col min="55" max="57" width="11.28515625" style="7" hidden="1" customWidth="1"/>
    <col min="58" max="58" width="12.7109375" style="7" hidden="1" customWidth="1"/>
    <col min="59" max="62" width="11.28515625" style="7" hidden="1" customWidth="1"/>
    <col min="63" max="63" width="13.140625" style="7" hidden="1" customWidth="1"/>
    <col min="64" max="64" width="11.28515625" style="7" hidden="1" customWidth="1"/>
    <col min="65" max="66" width="12.85546875" style="7" customWidth="1"/>
    <col min="67" max="67" width="12" style="7" customWidth="1"/>
    <col min="68" max="68" width="13.140625" style="7" customWidth="1"/>
    <col min="69" max="69" width="12.85546875" style="7" customWidth="1"/>
    <col min="70" max="74" width="13.5703125" style="7" customWidth="1"/>
    <col min="75" max="75" width="3.28515625" style="7" customWidth="1"/>
    <col min="76" max="76" width="7.85546875" style="7" hidden="1" customWidth="1"/>
    <col min="77" max="77" width="3.28515625" style="7" hidden="1" customWidth="1"/>
    <col min="78" max="79" width="10.7109375" style="7" hidden="1" customWidth="1"/>
    <col min="80" max="81" width="9.85546875" style="7" hidden="1" customWidth="1"/>
    <col min="82" max="82" width="0" style="7" hidden="1" customWidth="1"/>
    <col min="83" max="256" width="9.140625" style="7"/>
    <col min="257" max="257" width="2.85546875" style="7" customWidth="1"/>
    <col min="258" max="258" width="3.28515625" style="7" customWidth="1"/>
    <col min="259" max="259" width="69.28515625" style="7" customWidth="1"/>
    <col min="260" max="260" width="6" style="7" customWidth="1"/>
    <col min="261" max="265" width="13.5703125" style="7" customWidth="1"/>
    <col min="266" max="320" width="0" style="7" hidden="1" customWidth="1"/>
    <col min="321" max="322" width="12.85546875" style="7" customWidth="1"/>
    <col min="323" max="323" width="12" style="7" customWidth="1"/>
    <col min="324" max="324" width="13.140625" style="7" customWidth="1"/>
    <col min="325" max="325" width="12.85546875" style="7" customWidth="1"/>
    <col min="326" max="330" width="13.5703125" style="7" customWidth="1"/>
    <col min="331" max="331" width="3.28515625" style="7" customWidth="1"/>
    <col min="332" max="338" width="0" style="7" hidden="1" customWidth="1"/>
    <col min="339" max="512" width="9.140625" style="7"/>
    <col min="513" max="513" width="2.85546875" style="7" customWidth="1"/>
    <col min="514" max="514" width="3.28515625" style="7" customWidth="1"/>
    <col min="515" max="515" width="69.28515625" style="7" customWidth="1"/>
    <col min="516" max="516" width="6" style="7" customWidth="1"/>
    <col min="517" max="521" width="13.5703125" style="7" customWidth="1"/>
    <col min="522" max="576" width="0" style="7" hidden="1" customWidth="1"/>
    <col min="577" max="578" width="12.85546875" style="7" customWidth="1"/>
    <col min="579" max="579" width="12" style="7" customWidth="1"/>
    <col min="580" max="580" width="13.140625" style="7" customWidth="1"/>
    <col min="581" max="581" width="12.85546875" style="7" customWidth="1"/>
    <col min="582" max="586" width="13.5703125" style="7" customWidth="1"/>
    <col min="587" max="587" width="3.28515625" style="7" customWidth="1"/>
    <col min="588" max="594" width="0" style="7" hidden="1" customWidth="1"/>
    <col min="595" max="768" width="9.140625" style="7"/>
    <col min="769" max="769" width="2.85546875" style="7" customWidth="1"/>
    <col min="770" max="770" width="3.28515625" style="7" customWidth="1"/>
    <col min="771" max="771" width="69.28515625" style="7" customWidth="1"/>
    <col min="772" max="772" width="6" style="7" customWidth="1"/>
    <col min="773" max="777" width="13.5703125" style="7" customWidth="1"/>
    <col min="778" max="832" width="0" style="7" hidden="1" customWidth="1"/>
    <col min="833" max="834" width="12.85546875" style="7" customWidth="1"/>
    <col min="835" max="835" width="12" style="7" customWidth="1"/>
    <col min="836" max="836" width="13.140625" style="7" customWidth="1"/>
    <col min="837" max="837" width="12.85546875" style="7" customWidth="1"/>
    <col min="838" max="842" width="13.5703125" style="7" customWidth="1"/>
    <col min="843" max="843" width="3.28515625" style="7" customWidth="1"/>
    <col min="844" max="850" width="0" style="7" hidden="1" customWidth="1"/>
    <col min="851" max="1024" width="9.140625" style="7"/>
    <col min="1025" max="1025" width="2.85546875" style="7" customWidth="1"/>
    <col min="1026" max="1026" width="3.28515625" style="7" customWidth="1"/>
    <col min="1027" max="1027" width="69.28515625" style="7" customWidth="1"/>
    <col min="1028" max="1028" width="6" style="7" customWidth="1"/>
    <col min="1029" max="1033" width="13.5703125" style="7" customWidth="1"/>
    <col min="1034" max="1088" width="0" style="7" hidden="1" customWidth="1"/>
    <col min="1089" max="1090" width="12.85546875" style="7" customWidth="1"/>
    <col min="1091" max="1091" width="12" style="7" customWidth="1"/>
    <col min="1092" max="1092" width="13.140625" style="7" customWidth="1"/>
    <col min="1093" max="1093" width="12.85546875" style="7" customWidth="1"/>
    <col min="1094" max="1098" width="13.5703125" style="7" customWidth="1"/>
    <col min="1099" max="1099" width="3.28515625" style="7" customWidth="1"/>
    <col min="1100" max="1106" width="0" style="7" hidden="1" customWidth="1"/>
    <col min="1107" max="1280" width="9.140625" style="7"/>
    <col min="1281" max="1281" width="2.85546875" style="7" customWidth="1"/>
    <col min="1282" max="1282" width="3.28515625" style="7" customWidth="1"/>
    <col min="1283" max="1283" width="69.28515625" style="7" customWidth="1"/>
    <col min="1284" max="1284" width="6" style="7" customWidth="1"/>
    <col min="1285" max="1289" width="13.5703125" style="7" customWidth="1"/>
    <col min="1290" max="1344" width="0" style="7" hidden="1" customWidth="1"/>
    <col min="1345" max="1346" width="12.85546875" style="7" customWidth="1"/>
    <col min="1347" max="1347" width="12" style="7" customWidth="1"/>
    <col min="1348" max="1348" width="13.140625" style="7" customWidth="1"/>
    <col min="1349" max="1349" width="12.85546875" style="7" customWidth="1"/>
    <col min="1350" max="1354" width="13.5703125" style="7" customWidth="1"/>
    <col min="1355" max="1355" width="3.28515625" style="7" customWidth="1"/>
    <col min="1356" max="1362" width="0" style="7" hidden="1" customWidth="1"/>
    <col min="1363" max="1536" width="9.140625" style="7"/>
    <col min="1537" max="1537" width="2.85546875" style="7" customWidth="1"/>
    <col min="1538" max="1538" width="3.28515625" style="7" customWidth="1"/>
    <col min="1539" max="1539" width="69.28515625" style="7" customWidth="1"/>
    <col min="1540" max="1540" width="6" style="7" customWidth="1"/>
    <col min="1541" max="1545" width="13.5703125" style="7" customWidth="1"/>
    <col min="1546" max="1600" width="0" style="7" hidden="1" customWidth="1"/>
    <col min="1601" max="1602" width="12.85546875" style="7" customWidth="1"/>
    <col min="1603" max="1603" width="12" style="7" customWidth="1"/>
    <col min="1604" max="1604" width="13.140625" style="7" customWidth="1"/>
    <col min="1605" max="1605" width="12.85546875" style="7" customWidth="1"/>
    <col min="1606" max="1610" width="13.5703125" style="7" customWidth="1"/>
    <col min="1611" max="1611" width="3.28515625" style="7" customWidth="1"/>
    <col min="1612" max="1618" width="0" style="7" hidden="1" customWidth="1"/>
    <col min="1619" max="1792" width="9.140625" style="7"/>
    <col min="1793" max="1793" width="2.85546875" style="7" customWidth="1"/>
    <col min="1794" max="1794" width="3.28515625" style="7" customWidth="1"/>
    <col min="1795" max="1795" width="69.28515625" style="7" customWidth="1"/>
    <col min="1796" max="1796" width="6" style="7" customWidth="1"/>
    <col min="1797" max="1801" width="13.5703125" style="7" customWidth="1"/>
    <col min="1802" max="1856" width="0" style="7" hidden="1" customWidth="1"/>
    <col min="1857" max="1858" width="12.85546875" style="7" customWidth="1"/>
    <col min="1859" max="1859" width="12" style="7" customWidth="1"/>
    <col min="1860" max="1860" width="13.140625" style="7" customWidth="1"/>
    <col min="1861" max="1861" width="12.85546875" style="7" customWidth="1"/>
    <col min="1862" max="1866" width="13.5703125" style="7" customWidth="1"/>
    <col min="1867" max="1867" width="3.28515625" style="7" customWidth="1"/>
    <col min="1868" max="1874" width="0" style="7" hidden="1" customWidth="1"/>
    <col min="1875" max="2048" width="9.140625" style="7"/>
    <col min="2049" max="2049" width="2.85546875" style="7" customWidth="1"/>
    <col min="2050" max="2050" width="3.28515625" style="7" customWidth="1"/>
    <col min="2051" max="2051" width="69.28515625" style="7" customWidth="1"/>
    <col min="2052" max="2052" width="6" style="7" customWidth="1"/>
    <col min="2053" max="2057" width="13.5703125" style="7" customWidth="1"/>
    <col min="2058" max="2112" width="0" style="7" hidden="1" customWidth="1"/>
    <col min="2113" max="2114" width="12.85546875" style="7" customWidth="1"/>
    <col min="2115" max="2115" width="12" style="7" customWidth="1"/>
    <col min="2116" max="2116" width="13.140625" style="7" customWidth="1"/>
    <col min="2117" max="2117" width="12.85546875" style="7" customWidth="1"/>
    <col min="2118" max="2122" width="13.5703125" style="7" customWidth="1"/>
    <col min="2123" max="2123" width="3.28515625" style="7" customWidth="1"/>
    <col min="2124" max="2130" width="0" style="7" hidden="1" customWidth="1"/>
    <col min="2131" max="2304" width="9.140625" style="7"/>
    <col min="2305" max="2305" width="2.85546875" style="7" customWidth="1"/>
    <col min="2306" max="2306" width="3.28515625" style="7" customWidth="1"/>
    <col min="2307" max="2307" width="69.28515625" style="7" customWidth="1"/>
    <col min="2308" max="2308" width="6" style="7" customWidth="1"/>
    <col min="2309" max="2313" width="13.5703125" style="7" customWidth="1"/>
    <col min="2314" max="2368" width="0" style="7" hidden="1" customWidth="1"/>
    <col min="2369" max="2370" width="12.85546875" style="7" customWidth="1"/>
    <col min="2371" max="2371" width="12" style="7" customWidth="1"/>
    <col min="2372" max="2372" width="13.140625" style="7" customWidth="1"/>
    <col min="2373" max="2373" width="12.85546875" style="7" customWidth="1"/>
    <col min="2374" max="2378" width="13.5703125" style="7" customWidth="1"/>
    <col min="2379" max="2379" width="3.28515625" style="7" customWidth="1"/>
    <col min="2380" max="2386" width="0" style="7" hidden="1" customWidth="1"/>
    <col min="2387" max="2560" width="9.140625" style="7"/>
    <col min="2561" max="2561" width="2.85546875" style="7" customWidth="1"/>
    <col min="2562" max="2562" width="3.28515625" style="7" customWidth="1"/>
    <col min="2563" max="2563" width="69.28515625" style="7" customWidth="1"/>
    <col min="2564" max="2564" width="6" style="7" customWidth="1"/>
    <col min="2565" max="2569" width="13.5703125" style="7" customWidth="1"/>
    <col min="2570" max="2624" width="0" style="7" hidden="1" customWidth="1"/>
    <col min="2625" max="2626" width="12.85546875" style="7" customWidth="1"/>
    <col min="2627" max="2627" width="12" style="7" customWidth="1"/>
    <col min="2628" max="2628" width="13.140625" style="7" customWidth="1"/>
    <col min="2629" max="2629" width="12.85546875" style="7" customWidth="1"/>
    <col min="2630" max="2634" width="13.5703125" style="7" customWidth="1"/>
    <col min="2635" max="2635" width="3.28515625" style="7" customWidth="1"/>
    <col min="2636" max="2642" width="0" style="7" hidden="1" customWidth="1"/>
    <col min="2643" max="2816" width="9.140625" style="7"/>
    <col min="2817" max="2817" width="2.85546875" style="7" customWidth="1"/>
    <col min="2818" max="2818" width="3.28515625" style="7" customWidth="1"/>
    <col min="2819" max="2819" width="69.28515625" style="7" customWidth="1"/>
    <col min="2820" max="2820" width="6" style="7" customWidth="1"/>
    <col min="2821" max="2825" width="13.5703125" style="7" customWidth="1"/>
    <col min="2826" max="2880" width="0" style="7" hidden="1" customWidth="1"/>
    <col min="2881" max="2882" width="12.85546875" style="7" customWidth="1"/>
    <col min="2883" max="2883" width="12" style="7" customWidth="1"/>
    <col min="2884" max="2884" width="13.140625" style="7" customWidth="1"/>
    <col min="2885" max="2885" width="12.85546875" style="7" customWidth="1"/>
    <col min="2886" max="2890" width="13.5703125" style="7" customWidth="1"/>
    <col min="2891" max="2891" width="3.28515625" style="7" customWidth="1"/>
    <col min="2892" max="2898" width="0" style="7" hidden="1" customWidth="1"/>
    <col min="2899" max="3072" width="9.140625" style="7"/>
    <col min="3073" max="3073" width="2.85546875" style="7" customWidth="1"/>
    <col min="3074" max="3074" width="3.28515625" style="7" customWidth="1"/>
    <col min="3075" max="3075" width="69.28515625" style="7" customWidth="1"/>
    <col min="3076" max="3076" width="6" style="7" customWidth="1"/>
    <col min="3077" max="3081" width="13.5703125" style="7" customWidth="1"/>
    <col min="3082" max="3136" width="0" style="7" hidden="1" customWidth="1"/>
    <col min="3137" max="3138" width="12.85546875" style="7" customWidth="1"/>
    <col min="3139" max="3139" width="12" style="7" customWidth="1"/>
    <col min="3140" max="3140" width="13.140625" style="7" customWidth="1"/>
    <col min="3141" max="3141" width="12.85546875" style="7" customWidth="1"/>
    <col min="3142" max="3146" width="13.5703125" style="7" customWidth="1"/>
    <col min="3147" max="3147" width="3.28515625" style="7" customWidth="1"/>
    <col min="3148" max="3154" width="0" style="7" hidden="1" customWidth="1"/>
    <col min="3155" max="3328" width="9.140625" style="7"/>
    <col min="3329" max="3329" width="2.85546875" style="7" customWidth="1"/>
    <col min="3330" max="3330" width="3.28515625" style="7" customWidth="1"/>
    <col min="3331" max="3331" width="69.28515625" style="7" customWidth="1"/>
    <col min="3332" max="3332" width="6" style="7" customWidth="1"/>
    <col min="3333" max="3337" width="13.5703125" style="7" customWidth="1"/>
    <col min="3338" max="3392" width="0" style="7" hidden="1" customWidth="1"/>
    <col min="3393" max="3394" width="12.85546875" style="7" customWidth="1"/>
    <col min="3395" max="3395" width="12" style="7" customWidth="1"/>
    <col min="3396" max="3396" width="13.140625" style="7" customWidth="1"/>
    <col min="3397" max="3397" width="12.85546875" style="7" customWidth="1"/>
    <col min="3398" max="3402" width="13.5703125" style="7" customWidth="1"/>
    <col min="3403" max="3403" width="3.28515625" style="7" customWidth="1"/>
    <col min="3404" max="3410" width="0" style="7" hidden="1" customWidth="1"/>
    <col min="3411" max="3584" width="9.140625" style="7"/>
    <col min="3585" max="3585" width="2.85546875" style="7" customWidth="1"/>
    <col min="3586" max="3586" width="3.28515625" style="7" customWidth="1"/>
    <col min="3587" max="3587" width="69.28515625" style="7" customWidth="1"/>
    <col min="3588" max="3588" width="6" style="7" customWidth="1"/>
    <col min="3589" max="3593" width="13.5703125" style="7" customWidth="1"/>
    <col min="3594" max="3648" width="0" style="7" hidden="1" customWidth="1"/>
    <col min="3649" max="3650" width="12.85546875" style="7" customWidth="1"/>
    <col min="3651" max="3651" width="12" style="7" customWidth="1"/>
    <col min="3652" max="3652" width="13.140625" style="7" customWidth="1"/>
    <col min="3653" max="3653" width="12.85546875" style="7" customWidth="1"/>
    <col min="3654" max="3658" width="13.5703125" style="7" customWidth="1"/>
    <col min="3659" max="3659" width="3.28515625" style="7" customWidth="1"/>
    <col min="3660" max="3666" width="0" style="7" hidden="1" customWidth="1"/>
    <col min="3667" max="3840" width="9.140625" style="7"/>
    <col min="3841" max="3841" width="2.85546875" style="7" customWidth="1"/>
    <col min="3842" max="3842" width="3.28515625" style="7" customWidth="1"/>
    <col min="3843" max="3843" width="69.28515625" style="7" customWidth="1"/>
    <col min="3844" max="3844" width="6" style="7" customWidth="1"/>
    <col min="3845" max="3849" width="13.5703125" style="7" customWidth="1"/>
    <col min="3850" max="3904" width="0" style="7" hidden="1" customWidth="1"/>
    <col min="3905" max="3906" width="12.85546875" style="7" customWidth="1"/>
    <col min="3907" max="3907" width="12" style="7" customWidth="1"/>
    <col min="3908" max="3908" width="13.140625" style="7" customWidth="1"/>
    <col min="3909" max="3909" width="12.85546875" style="7" customWidth="1"/>
    <col min="3910" max="3914" width="13.5703125" style="7" customWidth="1"/>
    <col min="3915" max="3915" width="3.28515625" style="7" customWidth="1"/>
    <col min="3916" max="3922" width="0" style="7" hidden="1" customWidth="1"/>
    <col min="3923" max="4096" width="9.140625" style="7"/>
    <col min="4097" max="4097" width="2.85546875" style="7" customWidth="1"/>
    <col min="4098" max="4098" width="3.28515625" style="7" customWidth="1"/>
    <col min="4099" max="4099" width="69.28515625" style="7" customWidth="1"/>
    <col min="4100" max="4100" width="6" style="7" customWidth="1"/>
    <col min="4101" max="4105" width="13.5703125" style="7" customWidth="1"/>
    <col min="4106" max="4160" width="0" style="7" hidden="1" customWidth="1"/>
    <col min="4161" max="4162" width="12.85546875" style="7" customWidth="1"/>
    <col min="4163" max="4163" width="12" style="7" customWidth="1"/>
    <col min="4164" max="4164" width="13.140625" style="7" customWidth="1"/>
    <col min="4165" max="4165" width="12.85546875" style="7" customWidth="1"/>
    <col min="4166" max="4170" width="13.5703125" style="7" customWidth="1"/>
    <col min="4171" max="4171" width="3.28515625" style="7" customWidth="1"/>
    <col min="4172" max="4178" width="0" style="7" hidden="1" customWidth="1"/>
    <col min="4179" max="4352" width="9.140625" style="7"/>
    <col min="4353" max="4353" width="2.85546875" style="7" customWidth="1"/>
    <col min="4354" max="4354" width="3.28515625" style="7" customWidth="1"/>
    <col min="4355" max="4355" width="69.28515625" style="7" customWidth="1"/>
    <col min="4356" max="4356" width="6" style="7" customWidth="1"/>
    <col min="4357" max="4361" width="13.5703125" style="7" customWidth="1"/>
    <col min="4362" max="4416" width="0" style="7" hidden="1" customWidth="1"/>
    <col min="4417" max="4418" width="12.85546875" style="7" customWidth="1"/>
    <col min="4419" max="4419" width="12" style="7" customWidth="1"/>
    <col min="4420" max="4420" width="13.140625" style="7" customWidth="1"/>
    <col min="4421" max="4421" width="12.85546875" style="7" customWidth="1"/>
    <col min="4422" max="4426" width="13.5703125" style="7" customWidth="1"/>
    <col min="4427" max="4427" width="3.28515625" style="7" customWidth="1"/>
    <col min="4428" max="4434" width="0" style="7" hidden="1" customWidth="1"/>
    <col min="4435" max="4608" width="9.140625" style="7"/>
    <col min="4609" max="4609" width="2.85546875" style="7" customWidth="1"/>
    <col min="4610" max="4610" width="3.28515625" style="7" customWidth="1"/>
    <col min="4611" max="4611" width="69.28515625" style="7" customWidth="1"/>
    <col min="4612" max="4612" width="6" style="7" customWidth="1"/>
    <col min="4613" max="4617" width="13.5703125" style="7" customWidth="1"/>
    <col min="4618" max="4672" width="0" style="7" hidden="1" customWidth="1"/>
    <col min="4673" max="4674" width="12.85546875" style="7" customWidth="1"/>
    <col min="4675" max="4675" width="12" style="7" customWidth="1"/>
    <col min="4676" max="4676" width="13.140625" style="7" customWidth="1"/>
    <col min="4677" max="4677" width="12.85546875" style="7" customWidth="1"/>
    <col min="4678" max="4682" width="13.5703125" style="7" customWidth="1"/>
    <col min="4683" max="4683" width="3.28515625" style="7" customWidth="1"/>
    <col min="4684" max="4690" width="0" style="7" hidden="1" customWidth="1"/>
    <col min="4691" max="4864" width="9.140625" style="7"/>
    <col min="4865" max="4865" width="2.85546875" style="7" customWidth="1"/>
    <col min="4866" max="4866" width="3.28515625" style="7" customWidth="1"/>
    <col min="4867" max="4867" width="69.28515625" style="7" customWidth="1"/>
    <col min="4868" max="4868" width="6" style="7" customWidth="1"/>
    <col min="4869" max="4873" width="13.5703125" style="7" customWidth="1"/>
    <col min="4874" max="4928" width="0" style="7" hidden="1" customWidth="1"/>
    <col min="4929" max="4930" width="12.85546875" style="7" customWidth="1"/>
    <col min="4931" max="4931" width="12" style="7" customWidth="1"/>
    <col min="4932" max="4932" width="13.140625" style="7" customWidth="1"/>
    <col min="4933" max="4933" width="12.85546875" style="7" customWidth="1"/>
    <col min="4934" max="4938" width="13.5703125" style="7" customWidth="1"/>
    <col min="4939" max="4939" width="3.28515625" style="7" customWidth="1"/>
    <col min="4940" max="4946" width="0" style="7" hidden="1" customWidth="1"/>
    <col min="4947" max="5120" width="9.140625" style="7"/>
    <col min="5121" max="5121" width="2.85546875" style="7" customWidth="1"/>
    <col min="5122" max="5122" width="3.28515625" style="7" customWidth="1"/>
    <col min="5123" max="5123" width="69.28515625" style="7" customWidth="1"/>
    <col min="5124" max="5124" width="6" style="7" customWidth="1"/>
    <col min="5125" max="5129" width="13.5703125" style="7" customWidth="1"/>
    <col min="5130" max="5184" width="0" style="7" hidden="1" customWidth="1"/>
    <col min="5185" max="5186" width="12.85546875" style="7" customWidth="1"/>
    <col min="5187" max="5187" width="12" style="7" customWidth="1"/>
    <col min="5188" max="5188" width="13.140625" style="7" customWidth="1"/>
    <col min="5189" max="5189" width="12.85546875" style="7" customWidth="1"/>
    <col min="5190" max="5194" width="13.5703125" style="7" customWidth="1"/>
    <col min="5195" max="5195" width="3.28515625" style="7" customWidth="1"/>
    <col min="5196" max="5202" width="0" style="7" hidden="1" customWidth="1"/>
    <col min="5203" max="5376" width="9.140625" style="7"/>
    <col min="5377" max="5377" width="2.85546875" style="7" customWidth="1"/>
    <col min="5378" max="5378" width="3.28515625" style="7" customWidth="1"/>
    <col min="5379" max="5379" width="69.28515625" style="7" customWidth="1"/>
    <col min="5380" max="5380" width="6" style="7" customWidth="1"/>
    <col min="5381" max="5385" width="13.5703125" style="7" customWidth="1"/>
    <col min="5386" max="5440" width="0" style="7" hidden="1" customWidth="1"/>
    <col min="5441" max="5442" width="12.85546875" style="7" customWidth="1"/>
    <col min="5443" max="5443" width="12" style="7" customWidth="1"/>
    <col min="5444" max="5444" width="13.140625" style="7" customWidth="1"/>
    <col min="5445" max="5445" width="12.85546875" style="7" customWidth="1"/>
    <col min="5446" max="5450" width="13.5703125" style="7" customWidth="1"/>
    <col min="5451" max="5451" width="3.28515625" style="7" customWidth="1"/>
    <col min="5452" max="5458" width="0" style="7" hidden="1" customWidth="1"/>
    <col min="5459" max="5632" width="9.140625" style="7"/>
    <col min="5633" max="5633" width="2.85546875" style="7" customWidth="1"/>
    <col min="5634" max="5634" width="3.28515625" style="7" customWidth="1"/>
    <col min="5635" max="5635" width="69.28515625" style="7" customWidth="1"/>
    <col min="5636" max="5636" width="6" style="7" customWidth="1"/>
    <col min="5637" max="5641" width="13.5703125" style="7" customWidth="1"/>
    <col min="5642" max="5696" width="0" style="7" hidden="1" customWidth="1"/>
    <col min="5697" max="5698" width="12.85546875" style="7" customWidth="1"/>
    <col min="5699" max="5699" width="12" style="7" customWidth="1"/>
    <col min="5700" max="5700" width="13.140625" style="7" customWidth="1"/>
    <col min="5701" max="5701" width="12.85546875" style="7" customWidth="1"/>
    <col min="5702" max="5706" width="13.5703125" style="7" customWidth="1"/>
    <col min="5707" max="5707" width="3.28515625" style="7" customWidth="1"/>
    <col min="5708" max="5714" width="0" style="7" hidden="1" customWidth="1"/>
    <col min="5715" max="5888" width="9.140625" style="7"/>
    <col min="5889" max="5889" width="2.85546875" style="7" customWidth="1"/>
    <col min="5890" max="5890" width="3.28515625" style="7" customWidth="1"/>
    <col min="5891" max="5891" width="69.28515625" style="7" customWidth="1"/>
    <col min="5892" max="5892" width="6" style="7" customWidth="1"/>
    <col min="5893" max="5897" width="13.5703125" style="7" customWidth="1"/>
    <col min="5898" max="5952" width="0" style="7" hidden="1" customWidth="1"/>
    <col min="5953" max="5954" width="12.85546875" style="7" customWidth="1"/>
    <col min="5955" max="5955" width="12" style="7" customWidth="1"/>
    <col min="5956" max="5956" width="13.140625" style="7" customWidth="1"/>
    <col min="5957" max="5957" width="12.85546875" style="7" customWidth="1"/>
    <col min="5958" max="5962" width="13.5703125" style="7" customWidth="1"/>
    <col min="5963" max="5963" width="3.28515625" style="7" customWidth="1"/>
    <col min="5964" max="5970" width="0" style="7" hidden="1" customWidth="1"/>
    <col min="5971" max="6144" width="9.140625" style="7"/>
    <col min="6145" max="6145" width="2.85546875" style="7" customWidth="1"/>
    <col min="6146" max="6146" width="3.28515625" style="7" customWidth="1"/>
    <col min="6147" max="6147" width="69.28515625" style="7" customWidth="1"/>
    <col min="6148" max="6148" width="6" style="7" customWidth="1"/>
    <col min="6149" max="6153" width="13.5703125" style="7" customWidth="1"/>
    <col min="6154" max="6208" width="0" style="7" hidden="1" customWidth="1"/>
    <col min="6209" max="6210" width="12.85546875" style="7" customWidth="1"/>
    <col min="6211" max="6211" width="12" style="7" customWidth="1"/>
    <col min="6212" max="6212" width="13.140625" style="7" customWidth="1"/>
    <col min="6213" max="6213" width="12.85546875" style="7" customWidth="1"/>
    <col min="6214" max="6218" width="13.5703125" style="7" customWidth="1"/>
    <col min="6219" max="6219" width="3.28515625" style="7" customWidth="1"/>
    <col min="6220" max="6226" width="0" style="7" hidden="1" customWidth="1"/>
    <col min="6227" max="6400" width="9.140625" style="7"/>
    <col min="6401" max="6401" width="2.85546875" style="7" customWidth="1"/>
    <col min="6402" max="6402" width="3.28515625" style="7" customWidth="1"/>
    <col min="6403" max="6403" width="69.28515625" style="7" customWidth="1"/>
    <col min="6404" max="6404" width="6" style="7" customWidth="1"/>
    <col min="6405" max="6409" width="13.5703125" style="7" customWidth="1"/>
    <col min="6410" max="6464" width="0" style="7" hidden="1" customWidth="1"/>
    <col min="6465" max="6466" width="12.85546875" style="7" customWidth="1"/>
    <col min="6467" max="6467" width="12" style="7" customWidth="1"/>
    <col min="6468" max="6468" width="13.140625" style="7" customWidth="1"/>
    <col min="6469" max="6469" width="12.85546875" style="7" customWidth="1"/>
    <col min="6470" max="6474" width="13.5703125" style="7" customWidth="1"/>
    <col min="6475" max="6475" width="3.28515625" style="7" customWidth="1"/>
    <col min="6476" max="6482" width="0" style="7" hidden="1" customWidth="1"/>
    <col min="6483" max="6656" width="9.140625" style="7"/>
    <col min="6657" max="6657" width="2.85546875" style="7" customWidth="1"/>
    <col min="6658" max="6658" width="3.28515625" style="7" customWidth="1"/>
    <col min="6659" max="6659" width="69.28515625" style="7" customWidth="1"/>
    <col min="6660" max="6660" width="6" style="7" customWidth="1"/>
    <col min="6661" max="6665" width="13.5703125" style="7" customWidth="1"/>
    <col min="6666" max="6720" width="0" style="7" hidden="1" customWidth="1"/>
    <col min="6721" max="6722" width="12.85546875" style="7" customWidth="1"/>
    <col min="6723" max="6723" width="12" style="7" customWidth="1"/>
    <col min="6724" max="6724" width="13.140625" style="7" customWidth="1"/>
    <col min="6725" max="6725" width="12.85546875" style="7" customWidth="1"/>
    <col min="6726" max="6730" width="13.5703125" style="7" customWidth="1"/>
    <col min="6731" max="6731" width="3.28515625" style="7" customWidth="1"/>
    <col min="6732" max="6738" width="0" style="7" hidden="1" customWidth="1"/>
    <col min="6739" max="6912" width="9.140625" style="7"/>
    <col min="6913" max="6913" width="2.85546875" style="7" customWidth="1"/>
    <col min="6914" max="6914" width="3.28515625" style="7" customWidth="1"/>
    <col min="6915" max="6915" width="69.28515625" style="7" customWidth="1"/>
    <col min="6916" max="6916" width="6" style="7" customWidth="1"/>
    <col min="6917" max="6921" width="13.5703125" style="7" customWidth="1"/>
    <col min="6922" max="6976" width="0" style="7" hidden="1" customWidth="1"/>
    <col min="6977" max="6978" width="12.85546875" style="7" customWidth="1"/>
    <col min="6979" max="6979" width="12" style="7" customWidth="1"/>
    <col min="6980" max="6980" width="13.140625" style="7" customWidth="1"/>
    <col min="6981" max="6981" width="12.85546875" style="7" customWidth="1"/>
    <col min="6982" max="6986" width="13.5703125" style="7" customWidth="1"/>
    <col min="6987" max="6987" width="3.28515625" style="7" customWidth="1"/>
    <col min="6988" max="6994" width="0" style="7" hidden="1" customWidth="1"/>
    <col min="6995" max="7168" width="9.140625" style="7"/>
    <col min="7169" max="7169" width="2.85546875" style="7" customWidth="1"/>
    <col min="7170" max="7170" width="3.28515625" style="7" customWidth="1"/>
    <col min="7171" max="7171" width="69.28515625" style="7" customWidth="1"/>
    <col min="7172" max="7172" width="6" style="7" customWidth="1"/>
    <col min="7173" max="7177" width="13.5703125" style="7" customWidth="1"/>
    <col min="7178" max="7232" width="0" style="7" hidden="1" customWidth="1"/>
    <col min="7233" max="7234" width="12.85546875" style="7" customWidth="1"/>
    <col min="7235" max="7235" width="12" style="7" customWidth="1"/>
    <col min="7236" max="7236" width="13.140625" style="7" customWidth="1"/>
    <col min="7237" max="7237" width="12.85546875" style="7" customWidth="1"/>
    <col min="7238" max="7242" width="13.5703125" style="7" customWidth="1"/>
    <col min="7243" max="7243" width="3.28515625" style="7" customWidth="1"/>
    <col min="7244" max="7250" width="0" style="7" hidden="1" customWidth="1"/>
    <col min="7251" max="7424" width="9.140625" style="7"/>
    <col min="7425" max="7425" width="2.85546875" style="7" customWidth="1"/>
    <col min="7426" max="7426" width="3.28515625" style="7" customWidth="1"/>
    <col min="7427" max="7427" width="69.28515625" style="7" customWidth="1"/>
    <col min="7428" max="7428" width="6" style="7" customWidth="1"/>
    <col min="7429" max="7433" width="13.5703125" style="7" customWidth="1"/>
    <col min="7434" max="7488" width="0" style="7" hidden="1" customWidth="1"/>
    <col min="7489" max="7490" width="12.85546875" style="7" customWidth="1"/>
    <col min="7491" max="7491" width="12" style="7" customWidth="1"/>
    <col min="7492" max="7492" width="13.140625" style="7" customWidth="1"/>
    <col min="7493" max="7493" width="12.85546875" style="7" customWidth="1"/>
    <col min="7494" max="7498" width="13.5703125" style="7" customWidth="1"/>
    <col min="7499" max="7499" width="3.28515625" style="7" customWidth="1"/>
    <col min="7500" max="7506" width="0" style="7" hidden="1" customWidth="1"/>
    <col min="7507" max="7680" width="9.140625" style="7"/>
    <col min="7681" max="7681" width="2.85546875" style="7" customWidth="1"/>
    <col min="7682" max="7682" width="3.28515625" style="7" customWidth="1"/>
    <col min="7683" max="7683" width="69.28515625" style="7" customWidth="1"/>
    <col min="7684" max="7684" width="6" style="7" customWidth="1"/>
    <col min="7685" max="7689" width="13.5703125" style="7" customWidth="1"/>
    <col min="7690" max="7744" width="0" style="7" hidden="1" customWidth="1"/>
    <col min="7745" max="7746" width="12.85546875" style="7" customWidth="1"/>
    <col min="7747" max="7747" width="12" style="7" customWidth="1"/>
    <col min="7748" max="7748" width="13.140625" style="7" customWidth="1"/>
    <col min="7749" max="7749" width="12.85546875" style="7" customWidth="1"/>
    <col min="7750" max="7754" width="13.5703125" style="7" customWidth="1"/>
    <col min="7755" max="7755" width="3.28515625" style="7" customWidth="1"/>
    <col min="7756" max="7762" width="0" style="7" hidden="1" customWidth="1"/>
    <col min="7763" max="7936" width="9.140625" style="7"/>
    <col min="7937" max="7937" width="2.85546875" style="7" customWidth="1"/>
    <col min="7938" max="7938" width="3.28515625" style="7" customWidth="1"/>
    <col min="7939" max="7939" width="69.28515625" style="7" customWidth="1"/>
    <col min="7940" max="7940" width="6" style="7" customWidth="1"/>
    <col min="7941" max="7945" width="13.5703125" style="7" customWidth="1"/>
    <col min="7946" max="8000" width="0" style="7" hidden="1" customWidth="1"/>
    <col min="8001" max="8002" width="12.85546875" style="7" customWidth="1"/>
    <col min="8003" max="8003" width="12" style="7" customWidth="1"/>
    <col min="8004" max="8004" width="13.140625" style="7" customWidth="1"/>
    <col min="8005" max="8005" width="12.85546875" style="7" customWidth="1"/>
    <col min="8006" max="8010" width="13.5703125" style="7" customWidth="1"/>
    <col min="8011" max="8011" width="3.28515625" style="7" customWidth="1"/>
    <col min="8012" max="8018" width="0" style="7" hidden="1" customWidth="1"/>
    <col min="8019" max="8192" width="9.140625" style="7"/>
    <col min="8193" max="8193" width="2.85546875" style="7" customWidth="1"/>
    <col min="8194" max="8194" width="3.28515625" style="7" customWidth="1"/>
    <col min="8195" max="8195" width="69.28515625" style="7" customWidth="1"/>
    <col min="8196" max="8196" width="6" style="7" customWidth="1"/>
    <col min="8197" max="8201" width="13.5703125" style="7" customWidth="1"/>
    <col min="8202" max="8256" width="0" style="7" hidden="1" customWidth="1"/>
    <col min="8257" max="8258" width="12.85546875" style="7" customWidth="1"/>
    <col min="8259" max="8259" width="12" style="7" customWidth="1"/>
    <col min="8260" max="8260" width="13.140625" style="7" customWidth="1"/>
    <col min="8261" max="8261" width="12.85546875" style="7" customWidth="1"/>
    <col min="8262" max="8266" width="13.5703125" style="7" customWidth="1"/>
    <col min="8267" max="8267" width="3.28515625" style="7" customWidth="1"/>
    <col min="8268" max="8274" width="0" style="7" hidden="1" customWidth="1"/>
    <col min="8275" max="8448" width="9.140625" style="7"/>
    <col min="8449" max="8449" width="2.85546875" style="7" customWidth="1"/>
    <col min="8450" max="8450" width="3.28515625" style="7" customWidth="1"/>
    <col min="8451" max="8451" width="69.28515625" style="7" customWidth="1"/>
    <col min="8452" max="8452" width="6" style="7" customWidth="1"/>
    <col min="8453" max="8457" width="13.5703125" style="7" customWidth="1"/>
    <col min="8458" max="8512" width="0" style="7" hidden="1" customWidth="1"/>
    <col min="8513" max="8514" width="12.85546875" style="7" customWidth="1"/>
    <col min="8515" max="8515" width="12" style="7" customWidth="1"/>
    <col min="8516" max="8516" width="13.140625" style="7" customWidth="1"/>
    <col min="8517" max="8517" width="12.85546875" style="7" customWidth="1"/>
    <col min="8518" max="8522" width="13.5703125" style="7" customWidth="1"/>
    <col min="8523" max="8523" width="3.28515625" style="7" customWidth="1"/>
    <col min="8524" max="8530" width="0" style="7" hidden="1" customWidth="1"/>
    <col min="8531" max="8704" width="9.140625" style="7"/>
    <col min="8705" max="8705" width="2.85546875" style="7" customWidth="1"/>
    <col min="8706" max="8706" width="3.28515625" style="7" customWidth="1"/>
    <col min="8707" max="8707" width="69.28515625" style="7" customWidth="1"/>
    <col min="8708" max="8708" width="6" style="7" customWidth="1"/>
    <col min="8709" max="8713" width="13.5703125" style="7" customWidth="1"/>
    <col min="8714" max="8768" width="0" style="7" hidden="1" customWidth="1"/>
    <col min="8769" max="8770" width="12.85546875" style="7" customWidth="1"/>
    <col min="8771" max="8771" width="12" style="7" customWidth="1"/>
    <col min="8772" max="8772" width="13.140625" style="7" customWidth="1"/>
    <col min="8773" max="8773" width="12.85546875" style="7" customWidth="1"/>
    <col min="8774" max="8778" width="13.5703125" style="7" customWidth="1"/>
    <col min="8779" max="8779" width="3.28515625" style="7" customWidth="1"/>
    <col min="8780" max="8786" width="0" style="7" hidden="1" customWidth="1"/>
    <col min="8787" max="8960" width="9.140625" style="7"/>
    <col min="8961" max="8961" width="2.85546875" style="7" customWidth="1"/>
    <col min="8962" max="8962" width="3.28515625" style="7" customWidth="1"/>
    <col min="8963" max="8963" width="69.28515625" style="7" customWidth="1"/>
    <col min="8964" max="8964" width="6" style="7" customWidth="1"/>
    <col min="8965" max="8969" width="13.5703125" style="7" customWidth="1"/>
    <col min="8970" max="9024" width="0" style="7" hidden="1" customWidth="1"/>
    <col min="9025" max="9026" width="12.85546875" style="7" customWidth="1"/>
    <col min="9027" max="9027" width="12" style="7" customWidth="1"/>
    <col min="9028" max="9028" width="13.140625" style="7" customWidth="1"/>
    <col min="9029" max="9029" width="12.85546875" style="7" customWidth="1"/>
    <col min="9030" max="9034" width="13.5703125" style="7" customWidth="1"/>
    <col min="9035" max="9035" width="3.28515625" style="7" customWidth="1"/>
    <col min="9036" max="9042" width="0" style="7" hidden="1" customWidth="1"/>
    <col min="9043" max="9216" width="9.140625" style="7"/>
    <col min="9217" max="9217" width="2.85546875" style="7" customWidth="1"/>
    <col min="9218" max="9218" width="3.28515625" style="7" customWidth="1"/>
    <col min="9219" max="9219" width="69.28515625" style="7" customWidth="1"/>
    <col min="9220" max="9220" width="6" style="7" customWidth="1"/>
    <col min="9221" max="9225" width="13.5703125" style="7" customWidth="1"/>
    <col min="9226" max="9280" width="0" style="7" hidden="1" customWidth="1"/>
    <col min="9281" max="9282" width="12.85546875" style="7" customWidth="1"/>
    <col min="9283" max="9283" width="12" style="7" customWidth="1"/>
    <col min="9284" max="9284" width="13.140625" style="7" customWidth="1"/>
    <col min="9285" max="9285" width="12.85546875" style="7" customWidth="1"/>
    <col min="9286" max="9290" width="13.5703125" style="7" customWidth="1"/>
    <col min="9291" max="9291" width="3.28515625" style="7" customWidth="1"/>
    <col min="9292" max="9298" width="0" style="7" hidden="1" customWidth="1"/>
    <col min="9299" max="9472" width="9.140625" style="7"/>
    <col min="9473" max="9473" width="2.85546875" style="7" customWidth="1"/>
    <col min="9474" max="9474" width="3.28515625" style="7" customWidth="1"/>
    <col min="9475" max="9475" width="69.28515625" style="7" customWidth="1"/>
    <col min="9476" max="9476" width="6" style="7" customWidth="1"/>
    <col min="9477" max="9481" width="13.5703125" style="7" customWidth="1"/>
    <col min="9482" max="9536" width="0" style="7" hidden="1" customWidth="1"/>
    <col min="9537" max="9538" width="12.85546875" style="7" customWidth="1"/>
    <col min="9539" max="9539" width="12" style="7" customWidth="1"/>
    <col min="9540" max="9540" width="13.140625" style="7" customWidth="1"/>
    <col min="9541" max="9541" width="12.85546875" style="7" customWidth="1"/>
    <col min="9542" max="9546" width="13.5703125" style="7" customWidth="1"/>
    <col min="9547" max="9547" width="3.28515625" style="7" customWidth="1"/>
    <col min="9548" max="9554" width="0" style="7" hidden="1" customWidth="1"/>
    <col min="9555" max="9728" width="9.140625" style="7"/>
    <col min="9729" max="9729" width="2.85546875" style="7" customWidth="1"/>
    <col min="9730" max="9730" width="3.28515625" style="7" customWidth="1"/>
    <col min="9731" max="9731" width="69.28515625" style="7" customWidth="1"/>
    <col min="9732" max="9732" width="6" style="7" customWidth="1"/>
    <col min="9733" max="9737" width="13.5703125" style="7" customWidth="1"/>
    <col min="9738" max="9792" width="0" style="7" hidden="1" customWidth="1"/>
    <col min="9793" max="9794" width="12.85546875" style="7" customWidth="1"/>
    <col min="9795" max="9795" width="12" style="7" customWidth="1"/>
    <col min="9796" max="9796" width="13.140625" style="7" customWidth="1"/>
    <col min="9797" max="9797" width="12.85546875" style="7" customWidth="1"/>
    <col min="9798" max="9802" width="13.5703125" style="7" customWidth="1"/>
    <col min="9803" max="9803" width="3.28515625" style="7" customWidth="1"/>
    <col min="9804" max="9810" width="0" style="7" hidden="1" customWidth="1"/>
    <col min="9811" max="9984" width="9.140625" style="7"/>
    <col min="9985" max="9985" width="2.85546875" style="7" customWidth="1"/>
    <col min="9986" max="9986" width="3.28515625" style="7" customWidth="1"/>
    <col min="9987" max="9987" width="69.28515625" style="7" customWidth="1"/>
    <col min="9988" max="9988" width="6" style="7" customWidth="1"/>
    <col min="9989" max="9993" width="13.5703125" style="7" customWidth="1"/>
    <col min="9994" max="10048" width="0" style="7" hidden="1" customWidth="1"/>
    <col min="10049" max="10050" width="12.85546875" style="7" customWidth="1"/>
    <col min="10051" max="10051" width="12" style="7" customWidth="1"/>
    <col min="10052" max="10052" width="13.140625" style="7" customWidth="1"/>
    <col min="10053" max="10053" width="12.85546875" style="7" customWidth="1"/>
    <col min="10054" max="10058" width="13.5703125" style="7" customWidth="1"/>
    <col min="10059" max="10059" width="3.28515625" style="7" customWidth="1"/>
    <col min="10060" max="10066" width="0" style="7" hidden="1" customWidth="1"/>
    <col min="10067" max="10240" width="9.140625" style="7"/>
    <col min="10241" max="10241" width="2.85546875" style="7" customWidth="1"/>
    <col min="10242" max="10242" width="3.28515625" style="7" customWidth="1"/>
    <col min="10243" max="10243" width="69.28515625" style="7" customWidth="1"/>
    <col min="10244" max="10244" width="6" style="7" customWidth="1"/>
    <col min="10245" max="10249" width="13.5703125" style="7" customWidth="1"/>
    <col min="10250" max="10304" width="0" style="7" hidden="1" customWidth="1"/>
    <col min="10305" max="10306" width="12.85546875" style="7" customWidth="1"/>
    <col min="10307" max="10307" width="12" style="7" customWidth="1"/>
    <col min="10308" max="10308" width="13.140625" style="7" customWidth="1"/>
    <col min="10309" max="10309" width="12.85546875" style="7" customWidth="1"/>
    <col min="10310" max="10314" width="13.5703125" style="7" customWidth="1"/>
    <col min="10315" max="10315" width="3.28515625" style="7" customWidth="1"/>
    <col min="10316" max="10322" width="0" style="7" hidden="1" customWidth="1"/>
    <col min="10323" max="10496" width="9.140625" style="7"/>
    <col min="10497" max="10497" width="2.85546875" style="7" customWidth="1"/>
    <col min="10498" max="10498" width="3.28515625" style="7" customWidth="1"/>
    <col min="10499" max="10499" width="69.28515625" style="7" customWidth="1"/>
    <col min="10500" max="10500" width="6" style="7" customWidth="1"/>
    <col min="10501" max="10505" width="13.5703125" style="7" customWidth="1"/>
    <col min="10506" max="10560" width="0" style="7" hidden="1" customWidth="1"/>
    <col min="10561" max="10562" width="12.85546875" style="7" customWidth="1"/>
    <col min="10563" max="10563" width="12" style="7" customWidth="1"/>
    <col min="10564" max="10564" width="13.140625" style="7" customWidth="1"/>
    <col min="10565" max="10565" width="12.85546875" style="7" customWidth="1"/>
    <col min="10566" max="10570" width="13.5703125" style="7" customWidth="1"/>
    <col min="10571" max="10571" width="3.28515625" style="7" customWidth="1"/>
    <col min="10572" max="10578" width="0" style="7" hidden="1" customWidth="1"/>
    <col min="10579" max="10752" width="9.140625" style="7"/>
    <col min="10753" max="10753" width="2.85546875" style="7" customWidth="1"/>
    <col min="10754" max="10754" width="3.28515625" style="7" customWidth="1"/>
    <col min="10755" max="10755" width="69.28515625" style="7" customWidth="1"/>
    <col min="10756" max="10756" width="6" style="7" customWidth="1"/>
    <col min="10757" max="10761" width="13.5703125" style="7" customWidth="1"/>
    <col min="10762" max="10816" width="0" style="7" hidden="1" customWidth="1"/>
    <col min="10817" max="10818" width="12.85546875" style="7" customWidth="1"/>
    <col min="10819" max="10819" width="12" style="7" customWidth="1"/>
    <col min="10820" max="10820" width="13.140625" style="7" customWidth="1"/>
    <col min="10821" max="10821" width="12.85546875" style="7" customWidth="1"/>
    <col min="10822" max="10826" width="13.5703125" style="7" customWidth="1"/>
    <col min="10827" max="10827" width="3.28515625" style="7" customWidth="1"/>
    <col min="10828" max="10834" width="0" style="7" hidden="1" customWidth="1"/>
    <col min="10835" max="11008" width="9.140625" style="7"/>
    <col min="11009" max="11009" width="2.85546875" style="7" customWidth="1"/>
    <col min="11010" max="11010" width="3.28515625" style="7" customWidth="1"/>
    <col min="11011" max="11011" width="69.28515625" style="7" customWidth="1"/>
    <col min="11012" max="11012" width="6" style="7" customWidth="1"/>
    <col min="11013" max="11017" width="13.5703125" style="7" customWidth="1"/>
    <col min="11018" max="11072" width="0" style="7" hidden="1" customWidth="1"/>
    <col min="11073" max="11074" width="12.85546875" style="7" customWidth="1"/>
    <col min="11075" max="11075" width="12" style="7" customWidth="1"/>
    <col min="11076" max="11076" width="13.140625" style="7" customWidth="1"/>
    <col min="11077" max="11077" width="12.85546875" style="7" customWidth="1"/>
    <col min="11078" max="11082" width="13.5703125" style="7" customWidth="1"/>
    <col min="11083" max="11083" width="3.28515625" style="7" customWidth="1"/>
    <col min="11084" max="11090" width="0" style="7" hidden="1" customWidth="1"/>
    <col min="11091" max="11264" width="9.140625" style="7"/>
    <col min="11265" max="11265" width="2.85546875" style="7" customWidth="1"/>
    <col min="11266" max="11266" width="3.28515625" style="7" customWidth="1"/>
    <col min="11267" max="11267" width="69.28515625" style="7" customWidth="1"/>
    <col min="11268" max="11268" width="6" style="7" customWidth="1"/>
    <col min="11269" max="11273" width="13.5703125" style="7" customWidth="1"/>
    <col min="11274" max="11328" width="0" style="7" hidden="1" customWidth="1"/>
    <col min="11329" max="11330" width="12.85546875" style="7" customWidth="1"/>
    <col min="11331" max="11331" width="12" style="7" customWidth="1"/>
    <col min="11332" max="11332" width="13.140625" style="7" customWidth="1"/>
    <col min="11333" max="11333" width="12.85546875" style="7" customWidth="1"/>
    <col min="11334" max="11338" width="13.5703125" style="7" customWidth="1"/>
    <col min="11339" max="11339" width="3.28515625" style="7" customWidth="1"/>
    <col min="11340" max="11346" width="0" style="7" hidden="1" customWidth="1"/>
    <col min="11347" max="11520" width="9.140625" style="7"/>
    <col min="11521" max="11521" width="2.85546875" style="7" customWidth="1"/>
    <col min="11522" max="11522" width="3.28515625" style="7" customWidth="1"/>
    <col min="11523" max="11523" width="69.28515625" style="7" customWidth="1"/>
    <col min="11524" max="11524" width="6" style="7" customWidth="1"/>
    <col min="11525" max="11529" width="13.5703125" style="7" customWidth="1"/>
    <col min="11530" max="11584" width="0" style="7" hidden="1" customWidth="1"/>
    <col min="11585" max="11586" width="12.85546875" style="7" customWidth="1"/>
    <col min="11587" max="11587" width="12" style="7" customWidth="1"/>
    <col min="11588" max="11588" width="13.140625" style="7" customWidth="1"/>
    <col min="11589" max="11589" width="12.85546875" style="7" customWidth="1"/>
    <col min="11590" max="11594" width="13.5703125" style="7" customWidth="1"/>
    <col min="11595" max="11595" width="3.28515625" style="7" customWidth="1"/>
    <col min="11596" max="11602" width="0" style="7" hidden="1" customWidth="1"/>
    <col min="11603" max="11776" width="9.140625" style="7"/>
    <col min="11777" max="11777" width="2.85546875" style="7" customWidth="1"/>
    <col min="11778" max="11778" width="3.28515625" style="7" customWidth="1"/>
    <col min="11779" max="11779" width="69.28515625" style="7" customWidth="1"/>
    <col min="11780" max="11780" width="6" style="7" customWidth="1"/>
    <col min="11781" max="11785" width="13.5703125" style="7" customWidth="1"/>
    <col min="11786" max="11840" width="0" style="7" hidden="1" customWidth="1"/>
    <col min="11841" max="11842" width="12.85546875" style="7" customWidth="1"/>
    <col min="11843" max="11843" width="12" style="7" customWidth="1"/>
    <col min="11844" max="11844" width="13.140625" style="7" customWidth="1"/>
    <col min="11845" max="11845" width="12.85546875" style="7" customWidth="1"/>
    <col min="11846" max="11850" width="13.5703125" style="7" customWidth="1"/>
    <col min="11851" max="11851" width="3.28515625" style="7" customWidth="1"/>
    <col min="11852" max="11858" width="0" style="7" hidden="1" customWidth="1"/>
    <col min="11859" max="12032" width="9.140625" style="7"/>
    <col min="12033" max="12033" width="2.85546875" style="7" customWidth="1"/>
    <col min="12034" max="12034" width="3.28515625" style="7" customWidth="1"/>
    <col min="12035" max="12035" width="69.28515625" style="7" customWidth="1"/>
    <col min="12036" max="12036" width="6" style="7" customWidth="1"/>
    <col min="12037" max="12041" width="13.5703125" style="7" customWidth="1"/>
    <col min="12042" max="12096" width="0" style="7" hidden="1" customWidth="1"/>
    <col min="12097" max="12098" width="12.85546875" style="7" customWidth="1"/>
    <col min="12099" max="12099" width="12" style="7" customWidth="1"/>
    <col min="12100" max="12100" width="13.140625" style="7" customWidth="1"/>
    <col min="12101" max="12101" width="12.85546875" style="7" customWidth="1"/>
    <col min="12102" max="12106" width="13.5703125" style="7" customWidth="1"/>
    <col min="12107" max="12107" width="3.28515625" style="7" customWidth="1"/>
    <col min="12108" max="12114" width="0" style="7" hidden="1" customWidth="1"/>
    <col min="12115" max="12288" width="9.140625" style="7"/>
    <col min="12289" max="12289" width="2.85546875" style="7" customWidth="1"/>
    <col min="12290" max="12290" width="3.28515625" style="7" customWidth="1"/>
    <col min="12291" max="12291" width="69.28515625" style="7" customWidth="1"/>
    <col min="12292" max="12292" width="6" style="7" customWidth="1"/>
    <col min="12293" max="12297" width="13.5703125" style="7" customWidth="1"/>
    <col min="12298" max="12352" width="0" style="7" hidden="1" customWidth="1"/>
    <col min="12353" max="12354" width="12.85546875" style="7" customWidth="1"/>
    <col min="12355" max="12355" width="12" style="7" customWidth="1"/>
    <col min="12356" max="12356" width="13.140625" style="7" customWidth="1"/>
    <col min="12357" max="12357" width="12.85546875" style="7" customWidth="1"/>
    <col min="12358" max="12362" width="13.5703125" style="7" customWidth="1"/>
    <col min="12363" max="12363" width="3.28515625" style="7" customWidth="1"/>
    <col min="12364" max="12370" width="0" style="7" hidden="1" customWidth="1"/>
    <col min="12371" max="12544" width="9.140625" style="7"/>
    <col min="12545" max="12545" width="2.85546875" style="7" customWidth="1"/>
    <col min="12546" max="12546" width="3.28515625" style="7" customWidth="1"/>
    <col min="12547" max="12547" width="69.28515625" style="7" customWidth="1"/>
    <col min="12548" max="12548" width="6" style="7" customWidth="1"/>
    <col min="12549" max="12553" width="13.5703125" style="7" customWidth="1"/>
    <col min="12554" max="12608" width="0" style="7" hidden="1" customWidth="1"/>
    <col min="12609" max="12610" width="12.85546875" style="7" customWidth="1"/>
    <col min="12611" max="12611" width="12" style="7" customWidth="1"/>
    <col min="12612" max="12612" width="13.140625" style="7" customWidth="1"/>
    <col min="12613" max="12613" width="12.85546875" style="7" customWidth="1"/>
    <col min="12614" max="12618" width="13.5703125" style="7" customWidth="1"/>
    <col min="12619" max="12619" width="3.28515625" style="7" customWidth="1"/>
    <col min="12620" max="12626" width="0" style="7" hidden="1" customWidth="1"/>
    <col min="12627" max="12800" width="9.140625" style="7"/>
    <col min="12801" max="12801" width="2.85546875" style="7" customWidth="1"/>
    <col min="12802" max="12802" width="3.28515625" style="7" customWidth="1"/>
    <col min="12803" max="12803" width="69.28515625" style="7" customWidth="1"/>
    <col min="12804" max="12804" width="6" style="7" customWidth="1"/>
    <col min="12805" max="12809" width="13.5703125" style="7" customWidth="1"/>
    <col min="12810" max="12864" width="0" style="7" hidden="1" customWidth="1"/>
    <col min="12865" max="12866" width="12.85546875" style="7" customWidth="1"/>
    <col min="12867" max="12867" width="12" style="7" customWidth="1"/>
    <col min="12868" max="12868" width="13.140625" style="7" customWidth="1"/>
    <col min="12869" max="12869" width="12.85546875" style="7" customWidth="1"/>
    <col min="12870" max="12874" width="13.5703125" style="7" customWidth="1"/>
    <col min="12875" max="12875" width="3.28515625" style="7" customWidth="1"/>
    <col min="12876" max="12882" width="0" style="7" hidden="1" customWidth="1"/>
    <col min="12883" max="13056" width="9.140625" style="7"/>
    <col min="13057" max="13057" width="2.85546875" style="7" customWidth="1"/>
    <col min="13058" max="13058" width="3.28515625" style="7" customWidth="1"/>
    <col min="13059" max="13059" width="69.28515625" style="7" customWidth="1"/>
    <col min="13060" max="13060" width="6" style="7" customWidth="1"/>
    <col min="13061" max="13065" width="13.5703125" style="7" customWidth="1"/>
    <col min="13066" max="13120" width="0" style="7" hidden="1" customWidth="1"/>
    <col min="13121" max="13122" width="12.85546875" style="7" customWidth="1"/>
    <col min="13123" max="13123" width="12" style="7" customWidth="1"/>
    <col min="13124" max="13124" width="13.140625" style="7" customWidth="1"/>
    <col min="13125" max="13125" width="12.85546875" style="7" customWidth="1"/>
    <col min="13126" max="13130" width="13.5703125" style="7" customWidth="1"/>
    <col min="13131" max="13131" width="3.28515625" style="7" customWidth="1"/>
    <col min="13132" max="13138" width="0" style="7" hidden="1" customWidth="1"/>
    <col min="13139" max="13312" width="9.140625" style="7"/>
    <col min="13313" max="13313" width="2.85546875" style="7" customWidth="1"/>
    <col min="13314" max="13314" width="3.28515625" style="7" customWidth="1"/>
    <col min="13315" max="13315" width="69.28515625" style="7" customWidth="1"/>
    <col min="13316" max="13316" width="6" style="7" customWidth="1"/>
    <col min="13317" max="13321" width="13.5703125" style="7" customWidth="1"/>
    <col min="13322" max="13376" width="0" style="7" hidden="1" customWidth="1"/>
    <col min="13377" max="13378" width="12.85546875" style="7" customWidth="1"/>
    <col min="13379" max="13379" width="12" style="7" customWidth="1"/>
    <col min="13380" max="13380" width="13.140625" style="7" customWidth="1"/>
    <col min="13381" max="13381" width="12.85546875" style="7" customWidth="1"/>
    <col min="13382" max="13386" width="13.5703125" style="7" customWidth="1"/>
    <col min="13387" max="13387" width="3.28515625" style="7" customWidth="1"/>
    <col min="13388" max="13394" width="0" style="7" hidden="1" customWidth="1"/>
    <col min="13395" max="13568" width="9.140625" style="7"/>
    <col min="13569" max="13569" width="2.85546875" style="7" customWidth="1"/>
    <col min="13570" max="13570" width="3.28515625" style="7" customWidth="1"/>
    <col min="13571" max="13571" width="69.28515625" style="7" customWidth="1"/>
    <col min="13572" max="13572" width="6" style="7" customWidth="1"/>
    <col min="13573" max="13577" width="13.5703125" style="7" customWidth="1"/>
    <col min="13578" max="13632" width="0" style="7" hidden="1" customWidth="1"/>
    <col min="13633" max="13634" width="12.85546875" style="7" customWidth="1"/>
    <col min="13635" max="13635" width="12" style="7" customWidth="1"/>
    <col min="13636" max="13636" width="13.140625" style="7" customWidth="1"/>
    <col min="13637" max="13637" width="12.85546875" style="7" customWidth="1"/>
    <col min="13638" max="13642" width="13.5703125" style="7" customWidth="1"/>
    <col min="13643" max="13643" width="3.28515625" style="7" customWidth="1"/>
    <col min="13644" max="13650" width="0" style="7" hidden="1" customWidth="1"/>
    <col min="13651" max="13824" width="9.140625" style="7"/>
    <col min="13825" max="13825" width="2.85546875" style="7" customWidth="1"/>
    <col min="13826" max="13826" width="3.28515625" style="7" customWidth="1"/>
    <col min="13827" max="13827" width="69.28515625" style="7" customWidth="1"/>
    <col min="13828" max="13828" width="6" style="7" customWidth="1"/>
    <col min="13829" max="13833" width="13.5703125" style="7" customWidth="1"/>
    <col min="13834" max="13888" width="0" style="7" hidden="1" customWidth="1"/>
    <col min="13889" max="13890" width="12.85546875" style="7" customWidth="1"/>
    <col min="13891" max="13891" width="12" style="7" customWidth="1"/>
    <col min="13892" max="13892" width="13.140625" style="7" customWidth="1"/>
    <col min="13893" max="13893" width="12.85546875" style="7" customWidth="1"/>
    <col min="13894" max="13898" width="13.5703125" style="7" customWidth="1"/>
    <col min="13899" max="13899" width="3.28515625" style="7" customWidth="1"/>
    <col min="13900" max="13906" width="0" style="7" hidden="1" customWidth="1"/>
    <col min="13907" max="14080" width="9.140625" style="7"/>
    <col min="14081" max="14081" width="2.85546875" style="7" customWidth="1"/>
    <col min="14082" max="14082" width="3.28515625" style="7" customWidth="1"/>
    <col min="14083" max="14083" width="69.28515625" style="7" customWidth="1"/>
    <col min="14084" max="14084" width="6" style="7" customWidth="1"/>
    <col min="14085" max="14089" width="13.5703125" style="7" customWidth="1"/>
    <col min="14090" max="14144" width="0" style="7" hidden="1" customWidth="1"/>
    <col min="14145" max="14146" width="12.85546875" style="7" customWidth="1"/>
    <col min="14147" max="14147" width="12" style="7" customWidth="1"/>
    <col min="14148" max="14148" width="13.140625" style="7" customWidth="1"/>
    <col min="14149" max="14149" width="12.85546875" style="7" customWidth="1"/>
    <col min="14150" max="14154" width="13.5703125" style="7" customWidth="1"/>
    <col min="14155" max="14155" width="3.28515625" style="7" customWidth="1"/>
    <col min="14156" max="14162" width="0" style="7" hidden="1" customWidth="1"/>
    <col min="14163" max="14336" width="9.140625" style="7"/>
    <col min="14337" max="14337" width="2.85546875" style="7" customWidth="1"/>
    <col min="14338" max="14338" width="3.28515625" style="7" customWidth="1"/>
    <col min="14339" max="14339" width="69.28515625" style="7" customWidth="1"/>
    <col min="14340" max="14340" width="6" style="7" customWidth="1"/>
    <col min="14341" max="14345" width="13.5703125" style="7" customWidth="1"/>
    <col min="14346" max="14400" width="0" style="7" hidden="1" customWidth="1"/>
    <col min="14401" max="14402" width="12.85546875" style="7" customWidth="1"/>
    <col min="14403" max="14403" width="12" style="7" customWidth="1"/>
    <col min="14404" max="14404" width="13.140625" style="7" customWidth="1"/>
    <col min="14405" max="14405" width="12.85546875" style="7" customWidth="1"/>
    <col min="14406" max="14410" width="13.5703125" style="7" customWidth="1"/>
    <col min="14411" max="14411" width="3.28515625" style="7" customWidth="1"/>
    <col min="14412" max="14418" width="0" style="7" hidden="1" customWidth="1"/>
    <col min="14419" max="14592" width="9.140625" style="7"/>
    <col min="14593" max="14593" width="2.85546875" style="7" customWidth="1"/>
    <col min="14594" max="14594" width="3.28515625" style="7" customWidth="1"/>
    <col min="14595" max="14595" width="69.28515625" style="7" customWidth="1"/>
    <col min="14596" max="14596" width="6" style="7" customWidth="1"/>
    <col min="14597" max="14601" width="13.5703125" style="7" customWidth="1"/>
    <col min="14602" max="14656" width="0" style="7" hidden="1" customWidth="1"/>
    <col min="14657" max="14658" width="12.85546875" style="7" customWidth="1"/>
    <col min="14659" max="14659" width="12" style="7" customWidth="1"/>
    <col min="14660" max="14660" width="13.140625" style="7" customWidth="1"/>
    <col min="14661" max="14661" width="12.85546875" style="7" customWidth="1"/>
    <col min="14662" max="14666" width="13.5703125" style="7" customWidth="1"/>
    <col min="14667" max="14667" width="3.28515625" style="7" customWidth="1"/>
    <col min="14668" max="14674" width="0" style="7" hidden="1" customWidth="1"/>
    <col min="14675" max="14848" width="9.140625" style="7"/>
    <col min="14849" max="14849" width="2.85546875" style="7" customWidth="1"/>
    <col min="14850" max="14850" width="3.28515625" style="7" customWidth="1"/>
    <col min="14851" max="14851" width="69.28515625" style="7" customWidth="1"/>
    <col min="14852" max="14852" width="6" style="7" customWidth="1"/>
    <col min="14853" max="14857" width="13.5703125" style="7" customWidth="1"/>
    <col min="14858" max="14912" width="0" style="7" hidden="1" customWidth="1"/>
    <col min="14913" max="14914" width="12.85546875" style="7" customWidth="1"/>
    <col min="14915" max="14915" width="12" style="7" customWidth="1"/>
    <col min="14916" max="14916" width="13.140625" style="7" customWidth="1"/>
    <col min="14917" max="14917" width="12.85546875" style="7" customWidth="1"/>
    <col min="14918" max="14922" width="13.5703125" style="7" customWidth="1"/>
    <col min="14923" max="14923" width="3.28515625" style="7" customWidth="1"/>
    <col min="14924" max="14930" width="0" style="7" hidden="1" customWidth="1"/>
    <col min="14931" max="15104" width="9.140625" style="7"/>
    <col min="15105" max="15105" width="2.85546875" style="7" customWidth="1"/>
    <col min="15106" max="15106" width="3.28515625" style="7" customWidth="1"/>
    <col min="15107" max="15107" width="69.28515625" style="7" customWidth="1"/>
    <col min="15108" max="15108" width="6" style="7" customWidth="1"/>
    <col min="15109" max="15113" width="13.5703125" style="7" customWidth="1"/>
    <col min="15114" max="15168" width="0" style="7" hidden="1" customWidth="1"/>
    <col min="15169" max="15170" width="12.85546875" style="7" customWidth="1"/>
    <col min="15171" max="15171" width="12" style="7" customWidth="1"/>
    <col min="15172" max="15172" width="13.140625" style="7" customWidth="1"/>
    <col min="15173" max="15173" width="12.85546875" style="7" customWidth="1"/>
    <col min="15174" max="15178" width="13.5703125" style="7" customWidth="1"/>
    <col min="15179" max="15179" width="3.28515625" style="7" customWidth="1"/>
    <col min="15180" max="15186" width="0" style="7" hidden="1" customWidth="1"/>
    <col min="15187" max="15360" width="9.140625" style="7"/>
    <col min="15361" max="15361" width="2.85546875" style="7" customWidth="1"/>
    <col min="15362" max="15362" width="3.28515625" style="7" customWidth="1"/>
    <col min="15363" max="15363" width="69.28515625" style="7" customWidth="1"/>
    <col min="15364" max="15364" width="6" style="7" customWidth="1"/>
    <col min="15365" max="15369" width="13.5703125" style="7" customWidth="1"/>
    <col min="15370" max="15424" width="0" style="7" hidden="1" customWidth="1"/>
    <col min="15425" max="15426" width="12.85546875" style="7" customWidth="1"/>
    <col min="15427" max="15427" width="12" style="7" customWidth="1"/>
    <col min="15428" max="15428" width="13.140625" style="7" customWidth="1"/>
    <col min="15429" max="15429" width="12.85546875" style="7" customWidth="1"/>
    <col min="15430" max="15434" width="13.5703125" style="7" customWidth="1"/>
    <col min="15435" max="15435" width="3.28515625" style="7" customWidth="1"/>
    <col min="15436" max="15442" width="0" style="7" hidden="1" customWidth="1"/>
    <col min="15443" max="15616" width="9.140625" style="7"/>
    <col min="15617" max="15617" width="2.85546875" style="7" customWidth="1"/>
    <col min="15618" max="15618" width="3.28515625" style="7" customWidth="1"/>
    <col min="15619" max="15619" width="69.28515625" style="7" customWidth="1"/>
    <col min="15620" max="15620" width="6" style="7" customWidth="1"/>
    <col min="15621" max="15625" width="13.5703125" style="7" customWidth="1"/>
    <col min="15626" max="15680" width="0" style="7" hidden="1" customWidth="1"/>
    <col min="15681" max="15682" width="12.85546875" style="7" customWidth="1"/>
    <col min="15683" max="15683" width="12" style="7" customWidth="1"/>
    <col min="15684" max="15684" width="13.140625" style="7" customWidth="1"/>
    <col min="15685" max="15685" width="12.85546875" style="7" customWidth="1"/>
    <col min="15686" max="15690" width="13.5703125" style="7" customWidth="1"/>
    <col min="15691" max="15691" width="3.28515625" style="7" customWidth="1"/>
    <col min="15692" max="15698" width="0" style="7" hidden="1" customWidth="1"/>
    <col min="15699" max="15872" width="9.140625" style="7"/>
    <col min="15873" max="15873" width="2.85546875" style="7" customWidth="1"/>
    <col min="15874" max="15874" width="3.28515625" style="7" customWidth="1"/>
    <col min="15875" max="15875" width="69.28515625" style="7" customWidth="1"/>
    <col min="15876" max="15876" width="6" style="7" customWidth="1"/>
    <col min="15877" max="15881" width="13.5703125" style="7" customWidth="1"/>
    <col min="15882" max="15936" width="0" style="7" hidden="1" customWidth="1"/>
    <col min="15937" max="15938" width="12.85546875" style="7" customWidth="1"/>
    <col min="15939" max="15939" width="12" style="7" customWidth="1"/>
    <col min="15940" max="15940" width="13.140625" style="7" customWidth="1"/>
    <col min="15941" max="15941" width="12.85546875" style="7" customWidth="1"/>
    <col min="15942" max="15946" width="13.5703125" style="7" customWidth="1"/>
    <col min="15947" max="15947" width="3.28515625" style="7" customWidth="1"/>
    <col min="15948" max="15954" width="0" style="7" hidden="1" customWidth="1"/>
    <col min="15955" max="16128" width="9.140625" style="7"/>
    <col min="16129" max="16129" width="2.85546875" style="7" customWidth="1"/>
    <col min="16130" max="16130" width="3.28515625" style="7" customWidth="1"/>
    <col min="16131" max="16131" width="69.28515625" style="7" customWidth="1"/>
    <col min="16132" max="16132" width="6" style="7" customWidth="1"/>
    <col min="16133" max="16137" width="13.5703125" style="7" customWidth="1"/>
    <col min="16138" max="16192" width="0" style="7" hidden="1" customWidth="1"/>
    <col min="16193" max="16194" width="12.85546875" style="7" customWidth="1"/>
    <col min="16195" max="16195" width="12" style="7" customWidth="1"/>
    <col min="16196" max="16196" width="13.140625" style="7" customWidth="1"/>
    <col min="16197" max="16197" width="12.85546875" style="7" customWidth="1"/>
    <col min="16198" max="16202" width="13.5703125" style="7" customWidth="1"/>
    <col min="16203" max="16203" width="3.28515625" style="7" customWidth="1"/>
    <col min="16204" max="16210" width="0" style="7" hidden="1" customWidth="1"/>
    <col min="16211" max="16384" width="9.140625" style="7"/>
  </cols>
  <sheetData>
    <row r="1" spans="1:81" ht="15.75" x14ac:dyDescent="0.25">
      <c r="A1" s="1" t="s">
        <v>178</v>
      </c>
      <c r="B1" s="4"/>
      <c r="C1" s="39"/>
      <c r="D1" s="2"/>
      <c r="E1" s="257"/>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row>
    <row r="2" spans="1:81" ht="15" x14ac:dyDescent="0.25">
      <c r="A2" s="433"/>
      <c r="B2" s="2"/>
      <c r="D2" s="387"/>
      <c r="E2" s="775" t="s">
        <v>1</v>
      </c>
      <c r="F2" s="776"/>
      <c r="G2" s="776"/>
      <c r="H2" s="776"/>
      <c r="I2" s="776"/>
      <c r="J2" s="776"/>
      <c r="K2" s="776"/>
      <c r="L2" s="776"/>
      <c r="M2" s="776"/>
      <c r="N2" s="776"/>
      <c r="O2" s="776"/>
      <c r="P2" s="776"/>
      <c r="Q2" s="776"/>
      <c r="R2" s="776"/>
      <c r="S2" s="776"/>
      <c r="T2" s="776"/>
      <c r="U2" s="776"/>
      <c r="V2" s="776"/>
      <c r="W2" s="776"/>
      <c r="X2" s="776"/>
      <c r="Y2" s="776"/>
      <c r="Z2" s="776"/>
      <c r="AA2" s="776"/>
      <c r="AB2" s="776"/>
      <c r="AC2" s="776"/>
      <c r="AD2" s="776"/>
      <c r="AE2" s="776"/>
      <c r="AF2" s="776"/>
      <c r="AG2" s="776"/>
      <c r="AH2" s="776"/>
      <c r="AI2" s="776"/>
      <c r="AJ2" s="776"/>
      <c r="AK2" s="776"/>
      <c r="AL2" s="776"/>
      <c r="AM2" s="776"/>
      <c r="AN2" s="776"/>
      <c r="AO2" s="776"/>
      <c r="AP2" s="776"/>
      <c r="AQ2" s="776"/>
      <c r="AR2" s="776"/>
      <c r="AS2" s="776"/>
      <c r="AT2" s="776"/>
      <c r="AU2" s="776"/>
      <c r="AV2" s="776"/>
      <c r="AW2" s="776"/>
      <c r="AX2" s="776"/>
      <c r="AY2" s="776"/>
      <c r="AZ2" s="776"/>
      <c r="BA2" s="776"/>
      <c r="BB2" s="776"/>
      <c r="BC2" s="776"/>
      <c r="BD2" s="776"/>
      <c r="BE2" s="776"/>
      <c r="BF2" s="776"/>
      <c r="BG2" s="776"/>
      <c r="BH2" s="776"/>
      <c r="BI2" s="776"/>
      <c r="BJ2" s="776"/>
      <c r="BK2" s="776"/>
      <c r="BL2" s="776"/>
      <c r="BM2" s="776"/>
      <c r="BN2" s="776"/>
      <c r="BO2" s="776"/>
      <c r="BP2" s="776"/>
      <c r="BQ2" s="776"/>
      <c r="BR2" s="776"/>
      <c r="BS2" s="776"/>
      <c r="BT2" s="776"/>
      <c r="BU2" s="776"/>
      <c r="BV2" s="777"/>
      <c r="BW2" s="252"/>
    </row>
    <row r="3" spans="1:81" ht="15" x14ac:dyDescent="0.25">
      <c r="A3" s="5"/>
      <c r="B3" s="2"/>
      <c r="C3" s="7" t="s">
        <v>179</v>
      </c>
      <c r="D3" s="327"/>
      <c r="E3" s="778" t="s">
        <v>261</v>
      </c>
      <c r="F3" s="779"/>
      <c r="G3" s="779"/>
      <c r="H3" s="779"/>
      <c r="I3" s="780"/>
      <c r="J3" s="778" t="s">
        <v>3</v>
      </c>
      <c r="K3" s="779"/>
      <c r="L3" s="779"/>
      <c r="M3" s="779"/>
      <c r="N3" s="780"/>
      <c r="O3" s="781" t="s">
        <v>4</v>
      </c>
      <c r="P3" s="779"/>
      <c r="Q3" s="779"/>
      <c r="R3" s="779"/>
      <c r="S3" s="780"/>
      <c r="T3" s="778" t="s">
        <v>5</v>
      </c>
      <c r="U3" s="779"/>
      <c r="V3" s="779"/>
      <c r="W3" s="779"/>
      <c r="X3" s="780"/>
      <c r="Y3" s="778" t="s">
        <v>6</v>
      </c>
      <c r="Z3" s="779"/>
      <c r="AA3" s="779"/>
      <c r="AB3" s="779"/>
      <c r="AC3" s="780"/>
      <c r="AD3" s="778" t="s">
        <v>7</v>
      </c>
      <c r="AE3" s="779"/>
      <c r="AF3" s="779"/>
      <c r="AG3" s="779"/>
      <c r="AH3" s="780"/>
      <c r="AI3" s="778" t="s">
        <v>8</v>
      </c>
      <c r="AJ3" s="779"/>
      <c r="AK3" s="779"/>
      <c r="AL3" s="779"/>
      <c r="AM3" s="780"/>
      <c r="AN3" s="778" t="s">
        <v>9</v>
      </c>
      <c r="AO3" s="779"/>
      <c r="AP3" s="779"/>
      <c r="AQ3" s="779"/>
      <c r="AR3" s="780"/>
      <c r="AS3" s="778" t="s">
        <v>10</v>
      </c>
      <c r="AT3" s="779"/>
      <c r="AU3" s="779"/>
      <c r="AV3" s="779"/>
      <c r="AW3" s="780"/>
      <c r="AX3" s="778" t="s">
        <v>11</v>
      </c>
      <c r="AY3" s="779"/>
      <c r="AZ3" s="779"/>
      <c r="BA3" s="779"/>
      <c r="BB3" s="780"/>
      <c r="BC3" s="778" t="s">
        <v>12</v>
      </c>
      <c r="BD3" s="779"/>
      <c r="BE3" s="779"/>
      <c r="BF3" s="779"/>
      <c r="BG3" s="780"/>
      <c r="BH3" s="778" t="s">
        <v>13</v>
      </c>
      <c r="BI3" s="779"/>
      <c r="BJ3" s="779"/>
      <c r="BK3" s="779"/>
      <c r="BL3" s="780"/>
      <c r="BM3" s="778" t="s">
        <v>14</v>
      </c>
      <c r="BN3" s="779"/>
      <c r="BO3" s="779"/>
      <c r="BP3" s="779"/>
      <c r="BQ3" s="780"/>
      <c r="BR3" s="778" t="s">
        <v>15</v>
      </c>
      <c r="BS3" s="779"/>
      <c r="BT3" s="779"/>
      <c r="BU3" s="779"/>
      <c r="BV3" s="782"/>
      <c r="BW3" s="6"/>
      <c r="BX3" s="6"/>
    </row>
    <row r="4" spans="1:81" x14ac:dyDescent="0.2">
      <c r="A4" s="5"/>
      <c r="B4" s="2"/>
      <c r="D4" s="327"/>
      <c r="E4" s="144" t="s">
        <v>181</v>
      </c>
      <c r="F4" s="16" t="s">
        <v>182</v>
      </c>
      <c r="G4" s="16" t="s">
        <v>183</v>
      </c>
      <c r="H4" s="16" t="s">
        <v>184</v>
      </c>
      <c r="I4" s="319" t="s">
        <v>185</v>
      </c>
      <c r="J4" s="144" t="s">
        <v>181</v>
      </c>
      <c r="K4" s="16" t="s">
        <v>182</v>
      </c>
      <c r="L4" s="16" t="s">
        <v>183</v>
      </c>
      <c r="M4" s="16" t="s">
        <v>184</v>
      </c>
      <c r="N4" s="421" t="s">
        <v>185</v>
      </c>
      <c r="O4" s="16" t="s">
        <v>181</v>
      </c>
      <c r="P4" s="16" t="s">
        <v>182</v>
      </c>
      <c r="Q4" s="16" t="s">
        <v>183</v>
      </c>
      <c r="R4" s="16" t="s">
        <v>184</v>
      </c>
      <c r="S4" s="421" t="s">
        <v>185</v>
      </c>
      <c r="T4" s="144" t="s">
        <v>181</v>
      </c>
      <c r="U4" s="16" t="s">
        <v>182</v>
      </c>
      <c r="V4" s="16" t="s">
        <v>183</v>
      </c>
      <c r="W4" s="16" t="s">
        <v>184</v>
      </c>
      <c r="X4" s="421" t="s">
        <v>185</v>
      </c>
      <c r="Y4" s="144" t="s">
        <v>181</v>
      </c>
      <c r="Z4" s="16" t="s">
        <v>182</v>
      </c>
      <c r="AA4" s="16" t="s">
        <v>183</v>
      </c>
      <c r="AB4" s="16" t="s">
        <v>184</v>
      </c>
      <c r="AC4" s="421" t="s">
        <v>185</v>
      </c>
      <c r="AD4" s="144" t="s">
        <v>181</v>
      </c>
      <c r="AE4" s="16" t="s">
        <v>182</v>
      </c>
      <c r="AF4" s="16" t="s">
        <v>183</v>
      </c>
      <c r="AG4" s="16" t="s">
        <v>184</v>
      </c>
      <c r="AH4" s="421" t="s">
        <v>185</v>
      </c>
      <c r="AI4" s="144" t="s">
        <v>181</v>
      </c>
      <c r="AJ4" s="16" t="s">
        <v>182</v>
      </c>
      <c r="AK4" s="16" t="s">
        <v>183</v>
      </c>
      <c r="AL4" s="16" t="s">
        <v>184</v>
      </c>
      <c r="AM4" s="421" t="s">
        <v>185</v>
      </c>
      <c r="AN4" s="144" t="s">
        <v>181</v>
      </c>
      <c r="AO4" s="16" t="s">
        <v>182</v>
      </c>
      <c r="AP4" s="16" t="s">
        <v>183</v>
      </c>
      <c r="AQ4" s="16" t="s">
        <v>184</v>
      </c>
      <c r="AR4" s="421" t="s">
        <v>185</v>
      </c>
      <c r="AS4" s="144" t="s">
        <v>181</v>
      </c>
      <c r="AT4" s="16" t="s">
        <v>182</v>
      </c>
      <c r="AU4" s="16" t="s">
        <v>183</v>
      </c>
      <c r="AV4" s="16" t="s">
        <v>184</v>
      </c>
      <c r="AW4" s="421" t="s">
        <v>185</v>
      </c>
      <c r="AX4" s="144" t="s">
        <v>181</v>
      </c>
      <c r="AY4" s="16" t="s">
        <v>182</v>
      </c>
      <c r="AZ4" s="16" t="s">
        <v>183</v>
      </c>
      <c r="BA4" s="16" t="s">
        <v>184</v>
      </c>
      <c r="BB4" s="421" t="s">
        <v>185</v>
      </c>
      <c r="BC4" s="144" t="s">
        <v>181</v>
      </c>
      <c r="BD4" s="16" t="s">
        <v>182</v>
      </c>
      <c r="BE4" s="16" t="s">
        <v>183</v>
      </c>
      <c r="BF4" s="16" t="s">
        <v>184</v>
      </c>
      <c r="BG4" s="421" t="s">
        <v>185</v>
      </c>
      <c r="BH4" s="144" t="s">
        <v>181</v>
      </c>
      <c r="BI4" s="16" t="s">
        <v>182</v>
      </c>
      <c r="BJ4" s="16" t="s">
        <v>183</v>
      </c>
      <c r="BK4" s="16" t="s">
        <v>186</v>
      </c>
      <c r="BL4" s="421" t="s">
        <v>185</v>
      </c>
      <c r="BM4" s="144" t="s">
        <v>181</v>
      </c>
      <c r="BN4" s="16" t="s">
        <v>182</v>
      </c>
      <c r="BO4" s="16" t="s">
        <v>183</v>
      </c>
      <c r="BP4" s="16" t="s">
        <v>184</v>
      </c>
      <c r="BQ4" s="421" t="s">
        <v>185</v>
      </c>
      <c r="BR4" s="144" t="s">
        <v>181</v>
      </c>
      <c r="BS4" s="16" t="s">
        <v>182</v>
      </c>
      <c r="BT4" s="16" t="s">
        <v>183</v>
      </c>
      <c r="BU4" s="16" t="s">
        <v>184</v>
      </c>
      <c r="BV4" s="217" t="s">
        <v>185</v>
      </c>
      <c r="BW4" s="252"/>
      <c r="BX4" s="6"/>
    </row>
    <row r="5" spans="1:81" x14ac:dyDescent="0.2">
      <c r="A5" s="373" t="s">
        <v>17</v>
      </c>
      <c r="B5" s="8"/>
      <c r="C5" s="8"/>
      <c r="D5" s="474"/>
      <c r="E5" s="272" t="s">
        <v>187</v>
      </c>
      <c r="F5" s="10" t="s">
        <v>188</v>
      </c>
      <c r="G5" s="10" t="s">
        <v>189</v>
      </c>
      <c r="H5" s="10" t="s">
        <v>190</v>
      </c>
      <c r="I5" s="11"/>
      <c r="J5" s="272" t="s">
        <v>187</v>
      </c>
      <c r="K5" s="10" t="s">
        <v>188</v>
      </c>
      <c r="L5" s="10" t="s">
        <v>189</v>
      </c>
      <c r="M5" s="10" t="s">
        <v>190</v>
      </c>
      <c r="N5" s="11"/>
      <c r="O5" s="10" t="s">
        <v>187</v>
      </c>
      <c r="P5" s="10" t="s">
        <v>188</v>
      </c>
      <c r="Q5" s="10" t="s">
        <v>189</v>
      </c>
      <c r="R5" s="10" t="s">
        <v>190</v>
      </c>
      <c r="S5" s="11"/>
      <c r="T5" s="272" t="s">
        <v>187</v>
      </c>
      <c r="U5" s="10" t="s">
        <v>188</v>
      </c>
      <c r="V5" s="10" t="s">
        <v>189</v>
      </c>
      <c r="W5" s="10" t="s">
        <v>190</v>
      </c>
      <c r="X5" s="11"/>
      <c r="Y5" s="272" t="s">
        <v>187</v>
      </c>
      <c r="Z5" s="10" t="s">
        <v>188</v>
      </c>
      <c r="AA5" s="10" t="s">
        <v>189</v>
      </c>
      <c r="AB5" s="10" t="s">
        <v>190</v>
      </c>
      <c r="AC5" s="11"/>
      <c r="AD5" s="272" t="s">
        <v>187</v>
      </c>
      <c r="AE5" s="10" t="s">
        <v>188</v>
      </c>
      <c r="AF5" s="10" t="s">
        <v>189</v>
      </c>
      <c r="AG5" s="10" t="s">
        <v>190</v>
      </c>
      <c r="AH5" s="11"/>
      <c r="AI5" s="272" t="s">
        <v>187</v>
      </c>
      <c r="AJ5" s="10" t="s">
        <v>188</v>
      </c>
      <c r="AK5" s="10" t="s">
        <v>189</v>
      </c>
      <c r="AL5" s="10" t="s">
        <v>190</v>
      </c>
      <c r="AM5" s="11"/>
      <c r="AN5" s="272" t="s">
        <v>187</v>
      </c>
      <c r="AO5" s="10" t="s">
        <v>188</v>
      </c>
      <c r="AP5" s="10" t="s">
        <v>189</v>
      </c>
      <c r="AQ5" s="10" t="s">
        <v>190</v>
      </c>
      <c r="AR5" s="11"/>
      <c r="AS5" s="272" t="s">
        <v>187</v>
      </c>
      <c r="AT5" s="10" t="s">
        <v>188</v>
      </c>
      <c r="AU5" s="10" t="s">
        <v>189</v>
      </c>
      <c r="AV5" s="10" t="s">
        <v>190</v>
      </c>
      <c r="AW5" s="11"/>
      <c r="AX5" s="272" t="s">
        <v>187</v>
      </c>
      <c r="AY5" s="10" t="s">
        <v>188</v>
      </c>
      <c r="AZ5" s="10" t="s">
        <v>189</v>
      </c>
      <c r="BA5" s="10" t="s">
        <v>190</v>
      </c>
      <c r="BB5" s="11"/>
      <c r="BC5" s="272" t="s">
        <v>187</v>
      </c>
      <c r="BD5" s="10" t="s">
        <v>188</v>
      </c>
      <c r="BE5" s="10" t="s">
        <v>189</v>
      </c>
      <c r="BF5" s="10" t="s">
        <v>190</v>
      </c>
      <c r="BG5" s="11"/>
      <c r="BH5" s="272" t="s">
        <v>187</v>
      </c>
      <c r="BI5" s="10" t="s">
        <v>188</v>
      </c>
      <c r="BJ5" s="10" t="s">
        <v>189</v>
      </c>
      <c r="BK5" s="10" t="s">
        <v>190</v>
      </c>
      <c r="BL5" s="11"/>
      <c r="BM5" s="272" t="s">
        <v>187</v>
      </c>
      <c r="BN5" s="10" t="s">
        <v>188</v>
      </c>
      <c r="BO5" s="10" t="s">
        <v>189</v>
      </c>
      <c r="BP5" s="10" t="s">
        <v>190</v>
      </c>
      <c r="BQ5" s="11"/>
      <c r="BR5" s="272" t="s">
        <v>187</v>
      </c>
      <c r="BS5" s="10" t="s">
        <v>188</v>
      </c>
      <c r="BT5" s="10" t="s">
        <v>189</v>
      </c>
      <c r="BU5" s="10" t="s">
        <v>190</v>
      </c>
      <c r="BV5" s="272"/>
      <c r="BW5" s="252"/>
      <c r="BX5" s="224">
        <v>100</v>
      </c>
    </row>
    <row r="6" spans="1:81" x14ac:dyDescent="0.2">
      <c r="A6" s="118"/>
      <c r="B6" s="2"/>
      <c r="D6" s="16"/>
      <c r="E6" s="89"/>
      <c r="F6" s="16"/>
      <c r="G6" s="16"/>
      <c r="H6" s="16"/>
      <c r="I6" s="289"/>
      <c r="J6" s="144"/>
      <c r="K6" s="16"/>
      <c r="L6" s="16"/>
      <c r="M6" s="16"/>
      <c r="N6" s="289"/>
      <c r="O6" s="16"/>
      <c r="P6" s="16"/>
      <c r="Q6" s="16"/>
      <c r="R6" s="16"/>
      <c r="S6" s="289"/>
      <c r="T6" s="144"/>
      <c r="U6" s="16"/>
      <c r="V6" s="16"/>
      <c r="W6" s="16"/>
      <c r="X6" s="289"/>
      <c r="Y6" s="144"/>
      <c r="Z6" s="16"/>
      <c r="AA6" s="16"/>
      <c r="AB6" s="16"/>
      <c r="AC6" s="289"/>
      <c r="AD6" s="144"/>
      <c r="AE6" s="16"/>
      <c r="AF6" s="16"/>
      <c r="AG6" s="16"/>
      <c r="AH6" s="289"/>
      <c r="AI6" s="144"/>
      <c r="AJ6" s="16"/>
      <c r="AK6" s="16"/>
      <c r="AL6" s="16"/>
      <c r="AM6" s="289"/>
      <c r="AN6" s="144"/>
      <c r="AO6" s="16"/>
      <c r="AP6" s="16"/>
      <c r="AQ6" s="16"/>
      <c r="AR6" s="289"/>
      <c r="AS6" s="144"/>
      <c r="AT6" s="16"/>
      <c r="AU6" s="16"/>
      <c r="AV6" s="16"/>
      <c r="AW6" s="289"/>
      <c r="AX6" s="144"/>
      <c r="AY6" s="16"/>
      <c r="AZ6" s="16"/>
      <c r="BA6" s="16"/>
      <c r="BB6" s="289"/>
      <c r="BC6" s="144"/>
      <c r="BD6" s="16"/>
      <c r="BE6" s="16"/>
      <c r="BF6" s="16"/>
      <c r="BG6" s="289"/>
      <c r="BH6" s="144"/>
      <c r="BI6" s="16"/>
      <c r="BJ6" s="16"/>
      <c r="BK6" s="16"/>
      <c r="BL6" s="289"/>
      <c r="BM6" s="144"/>
      <c r="BN6" s="16"/>
      <c r="BO6" s="16"/>
      <c r="BP6" s="16"/>
      <c r="BQ6" s="289"/>
      <c r="BR6" s="144"/>
      <c r="BS6" s="16"/>
      <c r="BT6" s="16"/>
      <c r="BU6" s="16"/>
      <c r="BV6" s="144"/>
      <c r="BW6" s="252"/>
      <c r="BX6" s="6"/>
    </row>
    <row r="7" spans="1:81" ht="13.5" customHeight="1" x14ac:dyDescent="0.2">
      <c r="A7" s="395">
        <v>1</v>
      </c>
      <c r="B7" s="185" t="s">
        <v>193</v>
      </c>
      <c r="D7" s="342"/>
      <c r="E7" s="325">
        <v>611772</v>
      </c>
      <c r="F7" s="33">
        <v>1543</v>
      </c>
      <c r="G7" s="33">
        <v>16981</v>
      </c>
      <c r="H7" s="33">
        <v>1145</v>
      </c>
      <c r="I7" s="284">
        <v>631441</v>
      </c>
      <c r="J7" s="113">
        <v>39235</v>
      </c>
      <c r="K7" s="15">
        <v>51</v>
      </c>
      <c r="L7" s="15">
        <v>135</v>
      </c>
      <c r="M7" s="15">
        <v>0</v>
      </c>
      <c r="N7" s="284">
        <v>39421</v>
      </c>
      <c r="O7" s="15">
        <v>37059</v>
      </c>
      <c r="P7" s="15">
        <v>148</v>
      </c>
      <c r="Q7" s="15">
        <v>133</v>
      </c>
      <c r="R7" s="15">
        <v>0</v>
      </c>
      <c r="S7" s="284">
        <v>37340</v>
      </c>
      <c r="T7" s="113">
        <v>38132</v>
      </c>
      <c r="U7" s="15">
        <v>318</v>
      </c>
      <c r="V7" s="15">
        <v>690</v>
      </c>
      <c r="W7" s="15">
        <v>0</v>
      </c>
      <c r="X7" s="284">
        <v>39140</v>
      </c>
      <c r="Y7" s="113">
        <v>35672</v>
      </c>
      <c r="Z7" s="15">
        <v>341</v>
      </c>
      <c r="AA7" s="15">
        <v>1924</v>
      </c>
      <c r="AB7" s="15">
        <v>0</v>
      </c>
      <c r="AC7" s="284">
        <v>37937</v>
      </c>
      <c r="AD7" s="113">
        <v>44418</v>
      </c>
      <c r="AE7" s="15">
        <v>126</v>
      </c>
      <c r="AF7" s="15">
        <v>1489</v>
      </c>
      <c r="AG7" s="15">
        <v>0</v>
      </c>
      <c r="AH7" s="284">
        <v>46033</v>
      </c>
      <c r="AI7" s="113">
        <v>60287</v>
      </c>
      <c r="AJ7" s="15">
        <v>107</v>
      </c>
      <c r="AK7" s="15">
        <v>3971</v>
      </c>
      <c r="AL7" s="15">
        <v>0</v>
      </c>
      <c r="AM7" s="284">
        <v>64365</v>
      </c>
      <c r="AN7" s="113">
        <v>91897</v>
      </c>
      <c r="AO7" s="15">
        <v>216</v>
      </c>
      <c r="AP7" s="15">
        <v>296</v>
      </c>
      <c r="AQ7" s="15">
        <v>0</v>
      </c>
      <c r="AR7" s="284">
        <v>92409</v>
      </c>
      <c r="AS7" s="113">
        <v>43887</v>
      </c>
      <c r="AT7" s="15">
        <v>44</v>
      </c>
      <c r="AU7" s="15">
        <v>1334</v>
      </c>
      <c r="AV7" s="15">
        <v>0</v>
      </c>
      <c r="AW7" s="284">
        <v>45265</v>
      </c>
      <c r="AX7" s="113">
        <v>53036</v>
      </c>
      <c r="AY7" s="15">
        <v>54</v>
      </c>
      <c r="AZ7" s="15">
        <v>2822</v>
      </c>
      <c r="BA7" s="15">
        <v>0</v>
      </c>
      <c r="BB7" s="284">
        <v>55912</v>
      </c>
      <c r="BC7" s="113">
        <v>42897</v>
      </c>
      <c r="BD7" s="15">
        <v>48</v>
      </c>
      <c r="BE7" s="15">
        <v>1005</v>
      </c>
      <c r="BF7" s="15">
        <v>0</v>
      </c>
      <c r="BG7" s="284">
        <v>43950</v>
      </c>
      <c r="BH7" s="113">
        <v>39798</v>
      </c>
      <c r="BI7" s="15">
        <v>56</v>
      </c>
      <c r="BJ7" s="15">
        <v>1167</v>
      </c>
      <c r="BK7" s="15">
        <v>0</v>
      </c>
      <c r="BL7" s="284">
        <v>41021</v>
      </c>
      <c r="BM7" s="113">
        <v>85454</v>
      </c>
      <c r="BN7" s="15">
        <v>34</v>
      </c>
      <c r="BO7" s="15">
        <v>2015</v>
      </c>
      <c r="BP7" s="15">
        <v>1145</v>
      </c>
      <c r="BQ7" s="284">
        <v>88648</v>
      </c>
      <c r="BR7" s="113">
        <v>611772</v>
      </c>
      <c r="BS7" s="33">
        <v>1543</v>
      </c>
      <c r="BT7" s="15">
        <v>16981</v>
      </c>
      <c r="BU7" s="15">
        <v>1145</v>
      </c>
      <c r="BV7" s="113">
        <v>631441</v>
      </c>
      <c r="BW7" s="444"/>
      <c r="BX7" s="238">
        <v>100</v>
      </c>
      <c r="BZ7" s="12">
        <v>0</v>
      </c>
      <c r="CA7" s="12">
        <v>0</v>
      </c>
      <c r="CB7" s="12">
        <v>0</v>
      </c>
      <c r="CC7" s="12">
        <v>0</v>
      </c>
    </row>
    <row r="8" spans="1:81" x14ac:dyDescent="0.2">
      <c r="A8" s="395">
        <v>2</v>
      </c>
      <c r="B8" s="185" t="s">
        <v>194</v>
      </c>
      <c r="D8" s="140" t="s">
        <v>73</v>
      </c>
      <c r="E8" s="325">
        <v>1518513</v>
      </c>
      <c r="F8" s="33">
        <v>464247</v>
      </c>
      <c r="G8" s="33">
        <v>10700</v>
      </c>
      <c r="H8" s="33">
        <v>0</v>
      </c>
      <c r="I8" s="284">
        <v>1993460</v>
      </c>
      <c r="J8" s="113">
        <v>127270</v>
      </c>
      <c r="K8" s="15">
        <v>115828</v>
      </c>
      <c r="L8" s="15">
        <v>0</v>
      </c>
      <c r="M8" s="15">
        <v>0</v>
      </c>
      <c r="N8" s="284">
        <v>243098</v>
      </c>
      <c r="O8" s="15">
        <v>121796</v>
      </c>
      <c r="P8" s="15">
        <v>0</v>
      </c>
      <c r="Q8" s="15">
        <v>935</v>
      </c>
      <c r="R8" s="15">
        <v>0</v>
      </c>
      <c r="S8" s="284">
        <v>122731</v>
      </c>
      <c r="T8" s="113">
        <v>126124</v>
      </c>
      <c r="U8" s="15">
        <v>0</v>
      </c>
      <c r="V8" s="15">
        <v>935</v>
      </c>
      <c r="W8" s="15">
        <v>0</v>
      </c>
      <c r="X8" s="284">
        <v>127059</v>
      </c>
      <c r="Y8" s="113">
        <v>129617</v>
      </c>
      <c r="Z8" s="15">
        <v>115828</v>
      </c>
      <c r="AA8" s="15">
        <v>935</v>
      </c>
      <c r="AB8" s="15">
        <v>0</v>
      </c>
      <c r="AC8" s="284">
        <v>246380</v>
      </c>
      <c r="AD8" s="113">
        <v>128066</v>
      </c>
      <c r="AE8" s="15">
        <v>0</v>
      </c>
      <c r="AF8" s="15">
        <v>935</v>
      </c>
      <c r="AG8" s="15">
        <v>0</v>
      </c>
      <c r="AH8" s="284">
        <v>129001</v>
      </c>
      <c r="AI8" s="113">
        <v>124983</v>
      </c>
      <c r="AJ8" s="15">
        <v>935</v>
      </c>
      <c r="AK8" s="15">
        <v>0</v>
      </c>
      <c r="AL8" s="15">
        <v>0</v>
      </c>
      <c r="AM8" s="284">
        <v>125918</v>
      </c>
      <c r="AN8" s="113">
        <v>124674</v>
      </c>
      <c r="AO8" s="15">
        <v>115828</v>
      </c>
      <c r="AP8" s="15">
        <v>935</v>
      </c>
      <c r="AQ8" s="15">
        <v>0</v>
      </c>
      <c r="AR8" s="284">
        <v>241437</v>
      </c>
      <c r="AS8" s="113">
        <v>129232</v>
      </c>
      <c r="AT8" s="15">
        <v>0</v>
      </c>
      <c r="AU8" s="15">
        <v>935</v>
      </c>
      <c r="AV8" s="15">
        <v>0</v>
      </c>
      <c r="AW8" s="284">
        <v>130167</v>
      </c>
      <c r="AX8" s="113">
        <v>123713</v>
      </c>
      <c r="AY8" s="15">
        <v>0</v>
      </c>
      <c r="AZ8" s="15">
        <v>935</v>
      </c>
      <c r="BA8" s="15">
        <v>0</v>
      </c>
      <c r="BB8" s="284">
        <v>124648</v>
      </c>
      <c r="BC8" s="113">
        <v>124532</v>
      </c>
      <c r="BD8" s="15">
        <v>115828</v>
      </c>
      <c r="BE8" s="15">
        <v>1094</v>
      </c>
      <c r="BF8" s="15">
        <v>0</v>
      </c>
      <c r="BG8" s="284">
        <v>241454</v>
      </c>
      <c r="BH8" s="113">
        <v>127817</v>
      </c>
      <c r="BI8" s="15">
        <v>0</v>
      </c>
      <c r="BJ8" s="15">
        <v>925</v>
      </c>
      <c r="BK8" s="15">
        <v>0</v>
      </c>
      <c r="BL8" s="284">
        <v>128742</v>
      </c>
      <c r="BM8" s="113">
        <v>130689</v>
      </c>
      <c r="BN8" s="15">
        <v>0</v>
      </c>
      <c r="BO8" s="15">
        <v>2136</v>
      </c>
      <c r="BP8" s="15">
        <v>0</v>
      </c>
      <c r="BQ8" s="284">
        <v>132825</v>
      </c>
      <c r="BR8" s="113">
        <v>1518513</v>
      </c>
      <c r="BS8" s="33">
        <v>464247</v>
      </c>
      <c r="BT8" s="15">
        <v>10700</v>
      </c>
      <c r="BU8" s="15">
        <v>0</v>
      </c>
      <c r="BV8" s="113">
        <v>1993460</v>
      </c>
      <c r="BW8" s="244"/>
      <c r="BX8" s="238">
        <v>100</v>
      </c>
      <c r="BZ8" s="12">
        <v>0</v>
      </c>
      <c r="CA8" s="12">
        <v>0</v>
      </c>
      <c r="CB8" s="12">
        <v>0</v>
      </c>
      <c r="CC8" s="12">
        <v>0</v>
      </c>
    </row>
    <row r="9" spans="1:81" x14ac:dyDescent="0.2">
      <c r="A9" s="395">
        <v>3</v>
      </c>
      <c r="B9" s="185" t="s">
        <v>262</v>
      </c>
      <c r="D9" s="140"/>
      <c r="E9" s="325">
        <v>95848</v>
      </c>
      <c r="F9" s="33">
        <v>1430238</v>
      </c>
      <c r="G9" s="33">
        <v>5480</v>
      </c>
      <c r="H9" s="33">
        <v>3200071</v>
      </c>
      <c r="I9" s="284">
        <v>4731637</v>
      </c>
      <c r="J9" s="113">
        <v>5829</v>
      </c>
      <c r="K9" s="15">
        <v>32386</v>
      </c>
      <c r="L9" s="15">
        <v>0</v>
      </c>
      <c r="M9" s="15">
        <v>0</v>
      </c>
      <c r="N9" s="284">
        <v>38215</v>
      </c>
      <c r="O9" s="15">
        <v>9685</v>
      </c>
      <c r="P9" s="15">
        <v>247376</v>
      </c>
      <c r="Q9" s="15">
        <v>44</v>
      </c>
      <c r="R9" s="15">
        <v>21</v>
      </c>
      <c r="S9" s="284">
        <v>257126</v>
      </c>
      <c r="T9" s="113">
        <v>7317</v>
      </c>
      <c r="U9" s="15">
        <v>42383</v>
      </c>
      <c r="V9" s="15">
        <v>0</v>
      </c>
      <c r="W9" s="15">
        <v>1</v>
      </c>
      <c r="X9" s="284">
        <v>49701</v>
      </c>
      <c r="Y9" s="113">
        <v>8157</v>
      </c>
      <c r="Z9" s="15">
        <v>201914</v>
      </c>
      <c r="AA9" s="15">
        <v>48</v>
      </c>
      <c r="AB9" s="15">
        <v>17</v>
      </c>
      <c r="AC9" s="284">
        <v>210136</v>
      </c>
      <c r="AD9" s="113">
        <v>10956</v>
      </c>
      <c r="AE9" s="15">
        <v>85878</v>
      </c>
      <c r="AF9" s="15">
        <v>115</v>
      </c>
      <c r="AG9" s="15">
        <v>0</v>
      </c>
      <c r="AH9" s="284">
        <v>96949</v>
      </c>
      <c r="AI9" s="113">
        <v>7220</v>
      </c>
      <c r="AJ9" s="15">
        <v>38078</v>
      </c>
      <c r="AK9" s="15">
        <v>196</v>
      </c>
      <c r="AL9" s="15">
        <v>0</v>
      </c>
      <c r="AM9" s="284">
        <v>45494</v>
      </c>
      <c r="AN9" s="113">
        <v>6835</v>
      </c>
      <c r="AO9" s="15">
        <v>268468</v>
      </c>
      <c r="AP9" s="15">
        <v>38</v>
      </c>
      <c r="AQ9" s="15">
        <v>0</v>
      </c>
      <c r="AR9" s="284">
        <v>275341</v>
      </c>
      <c r="AS9" s="113">
        <v>6401</v>
      </c>
      <c r="AT9" s="15">
        <v>94708</v>
      </c>
      <c r="AU9" s="15">
        <v>69</v>
      </c>
      <c r="AV9" s="15">
        <v>0</v>
      </c>
      <c r="AW9" s="284">
        <v>101178</v>
      </c>
      <c r="AX9" s="113">
        <v>6713</v>
      </c>
      <c r="AY9" s="15">
        <v>58298</v>
      </c>
      <c r="AZ9" s="15">
        <v>316</v>
      </c>
      <c r="BA9" s="15">
        <v>0</v>
      </c>
      <c r="BB9" s="284">
        <v>65327</v>
      </c>
      <c r="BC9" s="113">
        <v>7380</v>
      </c>
      <c r="BD9" s="15">
        <v>169487</v>
      </c>
      <c r="BE9" s="15">
        <v>0</v>
      </c>
      <c r="BF9" s="15">
        <v>2100013</v>
      </c>
      <c r="BG9" s="284">
        <v>2276880</v>
      </c>
      <c r="BH9" s="113">
        <v>7805</v>
      </c>
      <c r="BI9" s="15">
        <v>128619</v>
      </c>
      <c r="BJ9" s="15">
        <v>0</v>
      </c>
      <c r="BK9" s="15">
        <v>3</v>
      </c>
      <c r="BL9" s="284">
        <v>136427</v>
      </c>
      <c r="BM9" s="113">
        <v>11550</v>
      </c>
      <c r="BN9" s="15">
        <v>62643</v>
      </c>
      <c r="BO9" s="15">
        <v>4654</v>
      </c>
      <c r="BP9" s="15">
        <v>1100016</v>
      </c>
      <c r="BQ9" s="284">
        <v>1178863</v>
      </c>
      <c r="BR9" s="113">
        <v>95848</v>
      </c>
      <c r="BS9" s="33">
        <v>1430238</v>
      </c>
      <c r="BT9" s="15">
        <v>5480</v>
      </c>
      <c r="BU9" s="15">
        <v>3200071</v>
      </c>
      <c r="BV9" s="113">
        <v>4731637</v>
      </c>
      <c r="BW9" s="244"/>
      <c r="BX9" s="238">
        <v>100</v>
      </c>
      <c r="BZ9" s="12">
        <v>0</v>
      </c>
      <c r="CA9" s="12">
        <v>0</v>
      </c>
      <c r="CB9" s="12">
        <v>0</v>
      </c>
      <c r="CC9" s="12">
        <v>0</v>
      </c>
    </row>
    <row r="10" spans="1:81" x14ac:dyDescent="0.2">
      <c r="A10" s="395">
        <v>4</v>
      </c>
      <c r="B10" s="185" t="s">
        <v>263</v>
      </c>
      <c r="D10" s="140"/>
      <c r="E10" s="325">
        <v>4358707</v>
      </c>
      <c r="F10" s="33">
        <v>82521206</v>
      </c>
      <c r="G10" s="33">
        <v>70301</v>
      </c>
      <c r="H10" s="33">
        <v>135</v>
      </c>
      <c r="I10" s="284">
        <v>86950349</v>
      </c>
      <c r="J10" s="113">
        <v>269058</v>
      </c>
      <c r="K10" s="15">
        <v>40647</v>
      </c>
      <c r="L10" s="15">
        <v>28</v>
      </c>
      <c r="M10" s="15">
        <v>0</v>
      </c>
      <c r="N10" s="284">
        <v>309733</v>
      </c>
      <c r="O10" s="15">
        <v>269745</v>
      </c>
      <c r="P10" s="15">
        <v>85996</v>
      </c>
      <c r="Q10" s="15">
        <v>1365</v>
      </c>
      <c r="R10" s="15">
        <v>0</v>
      </c>
      <c r="S10" s="284">
        <v>357106</v>
      </c>
      <c r="T10" s="113">
        <v>263603</v>
      </c>
      <c r="U10" s="15">
        <v>1</v>
      </c>
      <c r="V10" s="15">
        <v>55</v>
      </c>
      <c r="W10" s="15">
        <v>0</v>
      </c>
      <c r="X10" s="284">
        <v>263659</v>
      </c>
      <c r="Y10" s="113">
        <v>281974</v>
      </c>
      <c r="Z10" s="15">
        <v>32341361</v>
      </c>
      <c r="AA10" s="15">
        <v>351</v>
      </c>
      <c r="AB10" s="15">
        <v>0</v>
      </c>
      <c r="AC10" s="284">
        <v>32623686</v>
      </c>
      <c r="AD10" s="113">
        <v>305389</v>
      </c>
      <c r="AE10" s="15">
        <v>1169916</v>
      </c>
      <c r="AF10" s="15">
        <v>3431</v>
      </c>
      <c r="AG10" s="15">
        <v>0</v>
      </c>
      <c r="AH10" s="284">
        <v>1478736</v>
      </c>
      <c r="AI10" s="113">
        <v>287627</v>
      </c>
      <c r="AJ10" s="15">
        <v>54809</v>
      </c>
      <c r="AK10" s="15">
        <v>8318</v>
      </c>
      <c r="AL10" s="15">
        <v>0</v>
      </c>
      <c r="AM10" s="284">
        <v>350754</v>
      </c>
      <c r="AN10" s="113">
        <v>281692</v>
      </c>
      <c r="AO10" s="15">
        <v>402062</v>
      </c>
      <c r="AP10" s="15">
        <v>729</v>
      </c>
      <c r="AQ10" s="15">
        <v>0</v>
      </c>
      <c r="AR10" s="284">
        <v>684483</v>
      </c>
      <c r="AS10" s="113">
        <v>418158</v>
      </c>
      <c r="AT10" s="15">
        <v>418626</v>
      </c>
      <c r="AU10" s="15">
        <v>4968</v>
      </c>
      <c r="AV10" s="15">
        <v>0</v>
      </c>
      <c r="AW10" s="284">
        <v>841752</v>
      </c>
      <c r="AX10" s="113">
        <v>486423</v>
      </c>
      <c r="AY10" s="15">
        <v>22729096</v>
      </c>
      <c r="AZ10" s="15">
        <v>9640</v>
      </c>
      <c r="BA10" s="15">
        <v>0</v>
      </c>
      <c r="BB10" s="284">
        <v>23225159</v>
      </c>
      <c r="BC10" s="113">
        <v>316807</v>
      </c>
      <c r="BD10" s="15">
        <v>1724641</v>
      </c>
      <c r="BE10" s="15">
        <v>3101</v>
      </c>
      <c r="BF10" s="15">
        <v>0</v>
      </c>
      <c r="BG10" s="284">
        <v>2044549</v>
      </c>
      <c r="BH10" s="113">
        <v>453541</v>
      </c>
      <c r="BI10" s="15">
        <v>459095</v>
      </c>
      <c r="BJ10" s="15">
        <v>2474</v>
      </c>
      <c r="BK10" s="15">
        <v>40</v>
      </c>
      <c r="BL10" s="284">
        <v>915150</v>
      </c>
      <c r="BM10" s="113">
        <v>724690</v>
      </c>
      <c r="BN10" s="15">
        <v>23094956</v>
      </c>
      <c r="BO10" s="15">
        <v>35841</v>
      </c>
      <c r="BP10" s="15">
        <v>95</v>
      </c>
      <c r="BQ10" s="284">
        <v>23855582</v>
      </c>
      <c r="BR10" s="113">
        <v>4358707</v>
      </c>
      <c r="BS10" s="33">
        <v>82521206</v>
      </c>
      <c r="BT10" s="15">
        <v>70301</v>
      </c>
      <c r="BU10" s="15">
        <v>135</v>
      </c>
      <c r="BV10" s="113">
        <v>86950349</v>
      </c>
      <c r="BW10" s="244"/>
      <c r="BX10" s="238">
        <v>100</v>
      </c>
      <c r="BZ10" s="12">
        <v>0</v>
      </c>
      <c r="CA10" s="12">
        <v>0</v>
      </c>
      <c r="CB10" s="12">
        <v>0</v>
      </c>
      <c r="CC10" s="12">
        <v>0</v>
      </c>
    </row>
    <row r="11" spans="1:81" x14ac:dyDescent="0.2">
      <c r="A11" s="395">
        <v>5</v>
      </c>
      <c r="B11" s="185" t="s">
        <v>197</v>
      </c>
      <c r="D11" s="342"/>
      <c r="E11" s="325">
        <v>6863669</v>
      </c>
      <c r="F11" s="33">
        <v>2193406</v>
      </c>
      <c r="G11" s="33">
        <v>465400</v>
      </c>
      <c r="H11" s="33">
        <v>5042</v>
      </c>
      <c r="I11" s="284">
        <v>9527517</v>
      </c>
      <c r="J11" s="113">
        <v>454613</v>
      </c>
      <c r="K11" s="15">
        <v>294034</v>
      </c>
      <c r="L11" s="15">
        <v>3944</v>
      </c>
      <c r="M11" s="15">
        <v>0</v>
      </c>
      <c r="N11" s="284">
        <v>752591</v>
      </c>
      <c r="O11" s="15">
        <v>522761</v>
      </c>
      <c r="P11" s="15">
        <v>642591</v>
      </c>
      <c r="Q11" s="15">
        <v>6800</v>
      </c>
      <c r="R11" s="15">
        <v>0</v>
      </c>
      <c r="S11" s="284">
        <v>1172152</v>
      </c>
      <c r="T11" s="113">
        <v>480104</v>
      </c>
      <c r="U11" s="15">
        <v>162981</v>
      </c>
      <c r="V11" s="15">
        <v>16368</v>
      </c>
      <c r="W11" s="15">
        <v>0</v>
      </c>
      <c r="X11" s="284">
        <v>659453</v>
      </c>
      <c r="Y11" s="113">
        <v>673647</v>
      </c>
      <c r="Z11" s="15">
        <v>145482</v>
      </c>
      <c r="AA11" s="15">
        <v>20965</v>
      </c>
      <c r="AB11" s="15">
        <v>0</v>
      </c>
      <c r="AC11" s="284">
        <v>840094</v>
      </c>
      <c r="AD11" s="113">
        <v>481916</v>
      </c>
      <c r="AE11" s="15">
        <v>101861</v>
      </c>
      <c r="AF11" s="15">
        <v>42132</v>
      </c>
      <c r="AG11" s="15">
        <v>0</v>
      </c>
      <c r="AH11" s="284">
        <v>625909</v>
      </c>
      <c r="AI11" s="113">
        <v>553031</v>
      </c>
      <c r="AJ11" s="15">
        <v>100654</v>
      </c>
      <c r="AK11" s="15">
        <v>23675</v>
      </c>
      <c r="AL11" s="15">
        <v>0</v>
      </c>
      <c r="AM11" s="284">
        <v>677360</v>
      </c>
      <c r="AN11" s="113">
        <v>573970</v>
      </c>
      <c r="AO11" s="15">
        <v>140590</v>
      </c>
      <c r="AP11" s="15">
        <v>25343</v>
      </c>
      <c r="AQ11" s="15">
        <v>0</v>
      </c>
      <c r="AR11" s="284">
        <v>739903</v>
      </c>
      <c r="AS11" s="113">
        <v>562306</v>
      </c>
      <c r="AT11" s="15">
        <v>100441</v>
      </c>
      <c r="AU11" s="15">
        <v>40753</v>
      </c>
      <c r="AV11" s="15">
        <v>0</v>
      </c>
      <c r="AW11" s="284">
        <v>703500</v>
      </c>
      <c r="AX11" s="113">
        <v>473164</v>
      </c>
      <c r="AY11" s="15">
        <v>100263</v>
      </c>
      <c r="AZ11" s="15">
        <v>86522</v>
      </c>
      <c r="BA11" s="15">
        <v>0</v>
      </c>
      <c r="BB11" s="284">
        <v>659949</v>
      </c>
      <c r="BC11" s="113">
        <v>565425</v>
      </c>
      <c r="BD11" s="15">
        <v>141330</v>
      </c>
      <c r="BE11" s="15">
        <v>10503</v>
      </c>
      <c r="BF11" s="15">
        <v>0</v>
      </c>
      <c r="BG11" s="284">
        <v>717258</v>
      </c>
      <c r="BH11" s="113">
        <v>749702</v>
      </c>
      <c r="BI11" s="15">
        <v>101332</v>
      </c>
      <c r="BJ11" s="15">
        <v>21799</v>
      </c>
      <c r="BK11" s="15">
        <v>0</v>
      </c>
      <c r="BL11" s="284">
        <v>872833</v>
      </c>
      <c r="BM11" s="113">
        <v>773030</v>
      </c>
      <c r="BN11" s="15">
        <v>161847</v>
      </c>
      <c r="BO11" s="15">
        <v>166596</v>
      </c>
      <c r="BP11" s="15">
        <v>5042</v>
      </c>
      <c r="BQ11" s="284">
        <v>1106515</v>
      </c>
      <c r="BR11" s="113">
        <v>6863669</v>
      </c>
      <c r="BS11" s="33">
        <v>2193406</v>
      </c>
      <c r="BT11" s="15">
        <v>465400</v>
      </c>
      <c r="BU11" s="15">
        <v>5042</v>
      </c>
      <c r="BV11" s="113">
        <v>9527517</v>
      </c>
      <c r="BW11" s="244"/>
      <c r="BX11" s="238">
        <v>100</v>
      </c>
      <c r="BZ11" s="12">
        <v>0</v>
      </c>
      <c r="CA11" s="12">
        <v>0</v>
      </c>
      <c r="CB11" s="12">
        <v>0</v>
      </c>
      <c r="CC11" s="12">
        <v>0</v>
      </c>
    </row>
    <row r="12" spans="1:81" x14ac:dyDescent="0.2">
      <c r="A12" s="395">
        <v>6</v>
      </c>
      <c r="B12" s="185" t="s">
        <v>198</v>
      </c>
      <c r="D12" s="342"/>
      <c r="E12" s="325">
        <v>5369192</v>
      </c>
      <c r="F12" s="33">
        <v>882300</v>
      </c>
      <c r="G12" s="33">
        <v>58539</v>
      </c>
      <c r="H12" s="33">
        <v>13</v>
      </c>
      <c r="I12" s="284">
        <v>6310044</v>
      </c>
      <c r="J12" s="113">
        <v>439016</v>
      </c>
      <c r="K12" s="15">
        <v>441489</v>
      </c>
      <c r="L12" s="15">
        <v>6067</v>
      </c>
      <c r="M12" s="15">
        <v>0</v>
      </c>
      <c r="N12" s="284">
        <v>886572</v>
      </c>
      <c r="O12" s="15">
        <v>429861</v>
      </c>
      <c r="P12" s="15">
        <v>12354</v>
      </c>
      <c r="Q12" s="15">
        <v>43184</v>
      </c>
      <c r="R12" s="15">
        <v>0</v>
      </c>
      <c r="S12" s="284">
        <v>485399</v>
      </c>
      <c r="T12" s="113">
        <v>433045</v>
      </c>
      <c r="U12" s="15">
        <v>52997</v>
      </c>
      <c r="V12" s="15">
        <v>4479</v>
      </c>
      <c r="W12" s="15">
        <v>0</v>
      </c>
      <c r="X12" s="284">
        <v>490521</v>
      </c>
      <c r="Y12" s="113">
        <v>489724</v>
      </c>
      <c r="Z12" s="15">
        <v>90780</v>
      </c>
      <c r="AA12" s="15">
        <v>42140</v>
      </c>
      <c r="AB12" s="15">
        <v>529</v>
      </c>
      <c r="AC12" s="284">
        <v>623173</v>
      </c>
      <c r="AD12" s="113">
        <v>436776</v>
      </c>
      <c r="AE12" s="15">
        <v>9295</v>
      </c>
      <c r="AF12" s="15">
        <v>3939</v>
      </c>
      <c r="AG12" s="15">
        <v>0</v>
      </c>
      <c r="AH12" s="284">
        <v>450010</v>
      </c>
      <c r="AI12" s="113">
        <v>504822</v>
      </c>
      <c r="AJ12" s="15">
        <v>15096</v>
      </c>
      <c r="AK12" s="15">
        <v>-72669</v>
      </c>
      <c r="AL12" s="15">
        <v>0</v>
      </c>
      <c r="AM12" s="284">
        <v>447249</v>
      </c>
      <c r="AN12" s="113">
        <v>467913</v>
      </c>
      <c r="AO12" s="15">
        <v>1286</v>
      </c>
      <c r="AP12" s="15">
        <v>2364</v>
      </c>
      <c r="AQ12" s="15">
        <v>58</v>
      </c>
      <c r="AR12" s="284">
        <v>471621</v>
      </c>
      <c r="AS12" s="113">
        <v>369654</v>
      </c>
      <c r="AT12" s="15">
        <v>5345</v>
      </c>
      <c r="AU12" s="15">
        <v>204</v>
      </c>
      <c r="AV12" s="15">
        <v>-587</v>
      </c>
      <c r="AW12" s="284">
        <v>374616</v>
      </c>
      <c r="AX12" s="113">
        <v>458920</v>
      </c>
      <c r="AY12" s="15">
        <v>4198</v>
      </c>
      <c r="AZ12" s="15">
        <v>4887</v>
      </c>
      <c r="BA12" s="15">
        <v>0</v>
      </c>
      <c r="BB12" s="284">
        <v>468005</v>
      </c>
      <c r="BC12" s="113">
        <v>201931</v>
      </c>
      <c r="BD12" s="15">
        <v>278</v>
      </c>
      <c r="BE12" s="15">
        <v>101</v>
      </c>
      <c r="BF12" s="15">
        <v>0</v>
      </c>
      <c r="BG12" s="284">
        <v>202310</v>
      </c>
      <c r="BH12" s="113">
        <v>229478</v>
      </c>
      <c r="BI12" s="15">
        <v>-10847</v>
      </c>
      <c r="BJ12" s="15">
        <v>5065</v>
      </c>
      <c r="BK12" s="15">
        <v>11</v>
      </c>
      <c r="BL12" s="284">
        <v>223707</v>
      </c>
      <c r="BM12" s="113">
        <v>908052</v>
      </c>
      <c r="BN12" s="15">
        <v>260029</v>
      </c>
      <c r="BO12" s="15">
        <v>18778</v>
      </c>
      <c r="BP12" s="15">
        <v>2</v>
      </c>
      <c r="BQ12" s="284">
        <v>1186861</v>
      </c>
      <c r="BR12" s="113">
        <v>5369192</v>
      </c>
      <c r="BS12" s="33">
        <v>882300</v>
      </c>
      <c r="BT12" s="15">
        <v>58539</v>
      </c>
      <c r="BU12" s="15">
        <v>13</v>
      </c>
      <c r="BV12" s="113">
        <v>6310044</v>
      </c>
      <c r="BW12" s="244"/>
      <c r="BX12" s="238">
        <v>100</v>
      </c>
      <c r="BZ12" s="12">
        <v>0</v>
      </c>
      <c r="CA12" s="12">
        <v>0</v>
      </c>
      <c r="CB12" s="12">
        <v>0</v>
      </c>
      <c r="CC12" s="12">
        <v>0</v>
      </c>
    </row>
    <row r="13" spans="1:81" x14ac:dyDescent="0.2">
      <c r="A13" s="395">
        <v>7</v>
      </c>
      <c r="B13" s="185" t="s">
        <v>200</v>
      </c>
      <c r="D13" s="213"/>
      <c r="E13" s="325">
        <v>2014384</v>
      </c>
      <c r="F13" s="33">
        <v>23532333</v>
      </c>
      <c r="G13" s="33">
        <v>13554</v>
      </c>
      <c r="H13" s="33">
        <v>4273817</v>
      </c>
      <c r="I13" s="284">
        <v>29834088</v>
      </c>
      <c r="J13" s="113">
        <v>149165</v>
      </c>
      <c r="K13" s="15">
        <v>1582311</v>
      </c>
      <c r="L13" s="15">
        <v>2036</v>
      </c>
      <c r="M13" s="15">
        <v>0</v>
      </c>
      <c r="N13" s="284">
        <v>1733512</v>
      </c>
      <c r="O13" s="15">
        <v>194420</v>
      </c>
      <c r="P13" s="15">
        <v>1565933</v>
      </c>
      <c r="Q13" s="15">
        <v>1021</v>
      </c>
      <c r="R13" s="15">
        <v>78</v>
      </c>
      <c r="S13" s="284">
        <v>1761452</v>
      </c>
      <c r="T13" s="113">
        <v>90234</v>
      </c>
      <c r="U13" s="15">
        <v>1672323</v>
      </c>
      <c r="V13" s="15">
        <v>2236</v>
      </c>
      <c r="W13" s="15">
        <v>0</v>
      </c>
      <c r="X13" s="284">
        <v>1764793</v>
      </c>
      <c r="Y13" s="113">
        <v>200618</v>
      </c>
      <c r="Z13" s="15">
        <v>1839720</v>
      </c>
      <c r="AA13" s="15">
        <v>712</v>
      </c>
      <c r="AB13" s="15">
        <v>0</v>
      </c>
      <c r="AC13" s="284">
        <v>2041050</v>
      </c>
      <c r="AD13" s="113">
        <v>142937</v>
      </c>
      <c r="AE13" s="15">
        <v>2296090</v>
      </c>
      <c r="AF13" s="15">
        <v>260</v>
      </c>
      <c r="AG13" s="15">
        <v>0</v>
      </c>
      <c r="AH13" s="284">
        <v>2439287</v>
      </c>
      <c r="AI13" s="113">
        <v>124883</v>
      </c>
      <c r="AJ13" s="15">
        <v>1661768</v>
      </c>
      <c r="AK13" s="15">
        <v>1796</v>
      </c>
      <c r="AL13" s="15">
        <v>0</v>
      </c>
      <c r="AM13" s="284">
        <v>1788447</v>
      </c>
      <c r="AN13" s="113">
        <v>197481</v>
      </c>
      <c r="AO13" s="15">
        <v>1814144</v>
      </c>
      <c r="AP13" s="15">
        <v>1529</v>
      </c>
      <c r="AQ13" s="15">
        <v>0</v>
      </c>
      <c r="AR13" s="284">
        <v>2013154</v>
      </c>
      <c r="AS13" s="113">
        <v>182965</v>
      </c>
      <c r="AT13" s="15">
        <v>1930400</v>
      </c>
      <c r="AU13" s="15">
        <v>502</v>
      </c>
      <c r="AV13" s="15">
        <v>0</v>
      </c>
      <c r="AW13" s="284">
        <v>2113867</v>
      </c>
      <c r="AX13" s="113">
        <v>158245</v>
      </c>
      <c r="AY13" s="15">
        <v>1598092</v>
      </c>
      <c r="AZ13" s="15">
        <v>1034</v>
      </c>
      <c r="BA13" s="15">
        <v>4273500</v>
      </c>
      <c r="BB13" s="284">
        <v>6030871</v>
      </c>
      <c r="BC13" s="113">
        <v>156923</v>
      </c>
      <c r="BD13" s="15">
        <v>1882281</v>
      </c>
      <c r="BE13" s="15">
        <v>253</v>
      </c>
      <c r="BF13" s="15">
        <v>170</v>
      </c>
      <c r="BG13" s="284">
        <v>2039627</v>
      </c>
      <c r="BH13" s="113">
        <v>194945</v>
      </c>
      <c r="BI13" s="15">
        <v>2655289</v>
      </c>
      <c r="BJ13" s="15">
        <v>515</v>
      </c>
      <c r="BK13" s="15">
        <v>68</v>
      </c>
      <c r="BL13" s="284">
        <v>2850817</v>
      </c>
      <c r="BM13" s="113">
        <v>221568</v>
      </c>
      <c r="BN13" s="15">
        <v>3033982</v>
      </c>
      <c r="BO13" s="15">
        <v>1660</v>
      </c>
      <c r="BP13" s="15">
        <v>1</v>
      </c>
      <c r="BQ13" s="284">
        <v>3257211</v>
      </c>
      <c r="BR13" s="113">
        <v>2014384</v>
      </c>
      <c r="BS13" s="33">
        <v>23532333</v>
      </c>
      <c r="BT13" s="15">
        <v>13554</v>
      </c>
      <c r="BU13" s="15">
        <v>4273817</v>
      </c>
      <c r="BV13" s="113">
        <v>29834088</v>
      </c>
      <c r="BW13" s="244"/>
      <c r="BX13" s="238">
        <v>100</v>
      </c>
      <c r="BZ13" s="12">
        <v>0</v>
      </c>
      <c r="CA13" s="12">
        <v>0</v>
      </c>
      <c r="CB13" s="12">
        <v>0</v>
      </c>
      <c r="CC13" s="12">
        <v>0</v>
      </c>
    </row>
    <row r="14" spans="1:81" x14ac:dyDescent="0.2">
      <c r="A14" s="395">
        <v>8</v>
      </c>
      <c r="B14" s="185" t="s">
        <v>201</v>
      </c>
      <c r="D14" s="213"/>
      <c r="E14" s="325">
        <v>445155</v>
      </c>
      <c r="F14" s="33">
        <v>460883</v>
      </c>
      <c r="G14" s="33">
        <v>8450</v>
      </c>
      <c r="H14" s="33">
        <v>30</v>
      </c>
      <c r="I14" s="284">
        <v>914518</v>
      </c>
      <c r="J14" s="113">
        <v>28996</v>
      </c>
      <c r="K14" s="15">
        <v>0</v>
      </c>
      <c r="L14" s="15">
        <v>11</v>
      </c>
      <c r="M14" s="15">
        <v>0</v>
      </c>
      <c r="N14" s="284">
        <v>29007</v>
      </c>
      <c r="O14" s="15">
        <v>33122</v>
      </c>
      <c r="P14" s="15">
        <v>110053</v>
      </c>
      <c r="Q14" s="15">
        <v>1109</v>
      </c>
      <c r="R14" s="15">
        <v>0</v>
      </c>
      <c r="S14" s="284">
        <v>144284</v>
      </c>
      <c r="T14" s="113">
        <v>32962</v>
      </c>
      <c r="U14" s="15">
        <v>0</v>
      </c>
      <c r="V14" s="15">
        <v>167</v>
      </c>
      <c r="W14" s="15">
        <v>0</v>
      </c>
      <c r="X14" s="284">
        <v>33129</v>
      </c>
      <c r="Y14" s="113">
        <v>34454</v>
      </c>
      <c r="Z14" s="15">
        <v>35</v>
      </c>
      <c r="AA14" s="15">
        <v>154</v>
      </c>
      <c r="AB14" s="15">
        <v>0</v>
      </c>
      <c r="AC14" s="284">
        <v>34643</v>
      </c>
      <c r="AD14" s="113">
        <v>36533</v>
      </c>
      <c r="AE14" s="15">
        <v>129732</v>
      </c>
      <c r="AF14" s="15">
        <v>139</v>
      </c>
      <c r="AG14" s="15">
        <v>0</v>
      </c>
      <c r="AH14" s="284">
        <v>166404</v>
      </c>
      <c r="AI14" s="113">
        <v>34085</v>
      </c>
      <c r="AJ14" s="15">
        <v>97</v>
      </c>
      <c r="AK14" s="15">
        <v>351</v>
      </c>
      <c r="AL14" s="15">
        <v>1</v>
      </c>
      <c r="AM14" s="284">
        <v>34534</v>
      </c>
      <c r="AN14" s="113">
        <v>42019</v>
      </c>
      <c r="AO14" s="15">
        <v>149</v>
      </c>
      <c r="AP14" s="15">
        <v>788</v>
      </c>
      <c r="AQ14" s="15">
        <v>0</v>
      </c>
      <c r="AR14" s="284">
        <v>42956</v>
      </c>
      <c r="AS14" s="113">
        <v>35543</v>
      </c>
      <c r="AT14" s="15">
        <v>110376</v>
      </c>
      <c r="AU14" s="15">
        <v>242</v>
      </c>
      <c r="AV14" s="15">
        <v>0</v>
      </c>
      <c r="AW14" s="284">
        <v>146161</v>
      </c>
      <c r="AX14" s="113">
        <v>37185</v>
      </c>
      <c r="AY14" s="15">
        <v>299</v>
      </c>
      <c r="AZ14" s="15">
        <v>1922</v>
      </c>
      <c r="BA14" s="15">
        <v>0</v>
      </c>
      <c r="BB14" s="284">
        <v>39406</v>
      </c>
      <c r="BC14" s="113">
        <v>35125</v>
      </c>
      <c r="BD14" s="15">
        <v>49</v>
      </c>
      <c r="BE14" s="15">
        <v>1377</v>
      </c>
      <c r="BF14" s="15">
        <v>0</v>
      </c>
      <c r="BG14" s="284">
        <v>36551</v>
      </c>
      <c r="BH14" s="113">
        <v>34233</v>
      </c>
      <c r="BI14" s="15">
        <v>110074</v>
      </c>
      <c r="BJ14" s="15">
        <v>281</v>
      </c>
      <c r="BK14" s="15">
        <v>0</v>
      </c>
      <c r="BL14" s="284">
        <v>144588</v>
      </c>
      <c r="BM14" s="113">
        <v>60898</v>
      </c>
      <c r="BN14" s="15">
        <v>19</v>
      </c>
      <c r="BO14" s="15">
        <v>1909</v>
      </c>
      <c r="BP14" s="15">
        <v>29</v>
      </c>
      <c r="BQ14" s="284">
        <v>62855</v>
      </c>
      <c r="BR14" s="113">
        <v>445155</v>
      </c>
      <c r="BS14" s="33">
        <v>460883</v>
      </c>
      <c r="BT14" s="15">
        <v>8450</v>
      </c>
      <c r="BU14" s="15">
        <v>30</v>
      </c>
      <c r="BV14" s="113">
        <v>914518</v>
      </c>
      <c r="BW14" s="244"/>
      <c r="BX14" s="238">
        <v>100</v>
      </c>
      <c r="BZ14" s="12">
        <v>0</v>
      </c>
      <c r="CA14" s="12">
        <v>0</v>
      </c>
      <c r="CB14" s="12">
        <v>0</v>
      </c>
      <c r="CC14" s="12">
        <v>0</v>
      </c>
    </row>
    <row r="15" spans="1:81" x14ac:dyDescent="0.2">
      <c r="A15" s="395">
        <v>9</v>
      </c>
      <c r="B15" s="368" t="s">
        <v>202</v>
      </c>
      <c r="D15" s="140"/>
      <c r="E15" s="325">
        <v>233992</v>
      </c>
      <c r="F15" s="33">
        <v>8128</v>
      </c>
      <c r="G15" s="33">
        <v>4228</v>
      </c>
      <c r="H15" s="33">
        <v>56600041</v>
      </c>
      <c r="I15" s="284">
        <v>56846389</v>
      </c>
      <c r="J15" s="113">
        <v>22363</v>
      </c>
      <c r="K15" s="15">
        <v>2</v>
      </c>
      <c r="L15" s="15">
        <v>0</v>
      </c>
      <c r="M15" s="15">
        <v>0</v>
      </c>
      <c r="N15" s="284">
        <v>22365</v>
      </c>
      <c r="O15" s="15">
        <v>14051</v>
      </c>
      <c r="P15" s="15">
        <v>19</v>
      </c>
      <c r="Q15" s="15">
        <v>168</v>
      </c>
      <c r="R15" s="15">
        <v>0</v>
      </c>
      <c r="S15" s="284">
        <v>14238</v>
      </c>
      <c r="T15" s="113">
        <v>16701</v>
      </c>
      <c r="U15" s="15">
        <v>1</v>
      </c>
      <c r="V15" s="15">
        <v>449</v>
      </c>
      <c r="W15" s="15">
        <v>0</v>
      </c>
      <c r="X15" s="284">
        <v>17151</v>
      </c>
      <c r="Y15" s="113">
        <v>17978</v>
      </c>
      <c r="Z15" s="15">
        <v>122</v>
      </c>
      <c r="AA15" s="15">
        <v>93</v>
      </c>
      <c r="AB15" s="15">
        <v>0</v>
      </c>
      <c r="AC15" s="284">
        <v>18193</v>
      </c>
      <c r="AD15" s="113">
        <v>22653</v>
      </c>
      <c r="AE15" s="15">
        <v>76</v>
      </c>
      <c r="AF15" s="15">
        <v>255</v>
      </c>
      <c r="AG15" s="15">
        <v>0</v>
      </c>
      <c r="AH15" s="284">
        <v>22984</v>
      </c>
      <c r="AI15" s="113">
        <v>14911</v>
      </c>
      <c r="AJ15" s="15">
        <v>4745</v>
      </c>
      <c r="AK15" s="15">
        <v>-48</v>
      </c>
      <c r="AL15" s="15">
        <v>13500000</v>
      </c>
      <c r="AM15" s="284">
        <v>13519608</v>
      </c>
      <c r="AN15" s="113">
        <v>18930</v>
      </c>
      <c r="AO15" s="15">
        <v>3</v>
      </c>
      <c r="AP15" s="15">
        <v>26</v>
      </c>
      <c r="AQ15" s="15">
        <v>0</v>
      </c>
      <c r="AR15" s="284">
        <v>18959</v>
      </c>
      <c r="AS15" s="113">
        <v>21167</v>
      </c>
      <c r="AT15" s="15">
        <v>0</v>
      </c>
      <c r="AU15" s="15">
        <v>22</v>
      </c>
      <c r="AV15" s="15">
        <v>0</v>
      </c>
      <c r="AW15" s="284">
        <v>21189</v>
      </c>
      <c r="AX15" s="113">
        <v>24388</v>
      </c>
      <c r="AY15" s="15">
        <v>100</v>
      </c>
      <c r="AZ15" s="15">
        <v>2751</v>
      </c>
      <c r="BA15" s="15">
        <v>13000000</v>
      </c>
      <c r="BB15" s="284">
        <v>13027239</v>
      </c>
      <c r="BC15" s="113">
        <v>9997</v>
      </c>
      <c r="BD15" s="15">
        <v>0</v>
      </c>
      <c r="BE15" s="15">
        <v>321</v>
      </c>
      <c r="BF15" s="15">
        <v>7600000</v>
      </c>
      <c r="BG15" s="284">
        <v>7610318</v>
      </c>
      <c r="BH15" s="113">
        <v>17739</v>
      </c>
      <c r="BI15" s="15">
        <v>46</v>
      </c>
      <c r="BJ15" s="15">
        <v>58</v>
      </c>
      <c r="BK15" s="15">
        <v>13000000</v>
      </c>
      <c r="BL15" s="284">
        <v>13017843</v>
      </c>
      <c r="BM15" s="113">
        <v>33114</v>
      </c>
      <c r="BN15" s="15">
        <v>3014</v>
      </c>
      <c r="BO15" s="15">
        <v>133</v>
      </c>
      <c r="BP15" s="15">
        <v>9500041</v>
      </c>
      <c r="BQ15" s="284">
        <v>9536302</v>
      </c>
      <c r="BR15" s="113">
        <v>233992</v>
      </c>
      <c r="BS15" s="33">
        <v>8128</v>
      </c>
      <c r="BT15" s="15">
        <v>4228</v>
      </c>
      <c r="BU15" s="15">
        <v>56600041</v>
      </c>
      <c r="BV15" s="113">
        <v>56846389</v>
      </c>
      <c r="BW15" s="244"/>
      <c r="BX15" s="238">
        <v>100</v>
      </c>
      <c r="BZ15" s="12">
        <v>0</v>
      </c>
      <c r="CA15" s="12">
        <v>0</v>
      </c>
      <c r="CB15" s="12">
        <v>0</v>
      </c>
      <c r="CC15" s="12">
        <v>0</v>
      </c>
    </row>
    <row r="16" spans="1:81" x14ac:dyDescent="0.2">
      <c r="A16" s="395">
        <v>10</v>
      </c>
      <c r="B16" s="185" t="s">
        <v>203</v>
      </c>
      <c r="D16" s="342"/>
      <c r="E16" s="325">
        <v>442608</v>
      </c>
      <c r="F16" s="33">
        <v>508245</v>
      </c>
      <c r="G16" s="33">
        <v>3262</v>
      </c>
      <c r="H16" s="33">
        <v>850</v>
      </c>
      <c r="I16" s="284">
        <v>954965</v>
      </c>
      <c r="J16" s="113">
        <v>29256</v>
      </c>
      <c r="K16" s="15">
        <v>39528</v>
      </c>
      <c r="L16" s="15">
        <v>423</v>
      </c>
      <c r="M16" s="15">
        <v>0</v>
      </c>
      <c r="N16" s="284">
        <v>69207</v>
      </c>
      <c r="O16" s="15">
        <v>37301</v>
      </c>
      <c r="P16" s="15">
        <v>37239</v>
      </c>
      <c r="Q16" s="15">
        <v>268</v>
      </c>
      <c r="R16" s="15">
        <v>0</v>
      </c>
      <c r="S16" s="284">
        <v>74808</v>
      </c>
      <c r="T16" s="113">
        <v>30158</v>
      </c>
      <c r="U16" s="15">
        <v>43295</v>
      </c>
      <c r="V16" s="15">
        <v>278</v>
      </c>
      <c r="W16" s="15">
        <v>0</v>
      </c>
      <c r="X16" s="284">
        <v>73731</v>
      </c>
      <c r="Y16" s="113">
        <v>33502</v>
      </c>
      <c r="Z16" s="15">
        <v>44814</v>
      </c>
      <c r="AA16" s="15">
        <v>611</v>
      </c>
      <c r="AB16" s="15">
        <v>0</v>
      </c>
      <c r="AC16" s="284">
        <v>78927</v>
      </c>
      <c r="AD16" s="113">
        <v>33117</v>
      </c>
      <c r="AE16" s="15">
        <v>41736</v>
      </c>
      <c r="AF16" s="15">
        <v>415</v>
      </c>
      <c r="AG16" s="15">
        <v>837</v>
      </c>
      <c r="AH16" s="284">
        <v>76105</v>
      </c>
      <c r="AI16" s="113">
        <v>32396</v>
      </c>
      <c r="AJ16" s="15">
        <v>44878</v>
      </c>
      <c r="AK16" s="15">
        <v>-499</v>
      </c>
      <c r="AL16" s="15">
        <v>-837</v>
      </c>
      <c r="AM16" s="284">
        <v>75938</v>
      </c>
      <c r="AN16" s="113">
        <v>33272</v>
      </c>
      <c r="AO16" s="15">
        <v>42872</v>
      </c>
      <c r="AP16" s="15">
        <v>524</v>
      </c>
      <c r="AQ16" s="15">
        <v>13</v>
      </c>
      <c r="AR16" s="284">
        <v>76681</v>
      </c>
      <c r="AS16" s="113">
        <v>31873</v>
      </c>
      <c r="AT16" s="15">
        <v>42105</v>
      </c>
      <c r="AU16" s="15">
        <v>188</v>
      </c>
      <c r="AV16" s="15">
        <v>0</v>
      </c>
      <c r="AW16" s="284">
        <v>74166</v>
      </c>
      <c r="AX16" s="113">
        <v>32575</v>
      </c>
      <c r="AY16" s="15">
        <v>44212</v>
      </c>
      <c r="AZ16" s="15">
        <v>102</v>
      </c>
      <c r="BA16" s="15">
        <v>0</v>
      </c>
      <c r="BB16" s="284">
        <v>76889</v>
      </c>
      <c r="BC16" s="113">
        <v>29100</v>
      </c>
      <c r="BD16" s="15">
        <v>38185</v>
      </c>
      <c r="BE16" s="15">
        <v>203</v>
      </c>
      <c r="BF16" s="15">
        <v>0</v>
      </c>
      <c r="BG16" s="284">
        <v>67488</v>
      </c>
      <c r="BH16" s="113">
        <v>41716</v>
      </c>
      <c r="BI16" s="15">
        <v>42916</v>
      </c>
      <c r="BJ16" s="15">
        <v>152</v>
      </c>
      <c r="BK16" s="15">
        <v>0</v>
      </c>
      <c r="BL16" s="284">
        <v>84784</v>
      </c>
      <c r="BM16" s="113">
        <v>78342</v>
      </c>
      <c r="BN16" s="15">
        <v>46465</v>
      </c>
      <c r="BO16" s="15">
        <v>597</v>
      </c>
      <c r="BP16" s="15">
        <v>837</v>
      </c>
      <c r="BQ16" s="284">
        <v>126241</v>
      </c>
      <c r="BR16" s="113">
        <v>442608</v>
      </c>
      <c r="BS16" s="33">
        <v>508245</v>
      </c>
      <c r="BT16" s="15">
        <v>3262</v>
      </c>
      <c r="BU16" s="15">
        <v>850</v>
      </c>
      <c r="BV16" s="113">
        <v>954965</v>
      </c>
      <c r="BW16" s="244"/>
      <c r="BX16" s="238">
        <v>100</v>
      </c>
      <c r="BZ16" s="12">
        <v>0</v>
      </c>
      <c r="CA16" s="12">
        <v>0</v>
      </c>
      <c r="CB16" s="12">
        <v>0</v>
      </c>
      <c r="CC16" s="12">
        <v>0</v>
      </c>
    </row>
    <row r="17" spans="1:81" x14ac:dyDescent="0.2">
      <c r="A17" s="395">
        <v>11</v>
      </c>
      <c r="B17" s="7" t="s">
        <v>264</v>
      </c>
      <c r="D17" s="140"/>
      <c r="E17" s="325">
        <v>868386</v>
      </c>
      <c r="F17" s="33">
        <v>6874183</v>
      </c>
      <c r="G17" s="33">
        <v>17479</v>
      </c>
      <c r="H17" s="33">
        <v>166</v>
      </c>
      <c r="I17" s="284">
        <v>7760214</v>
      </c>
      <c r="J17" s="113">
        <v>56180</v>
      </c>
      <c r="K17" s="15">
        <v>1231312</v>
      </c>
      <c r="L17" s="15">
        <v>193</v>
      </c>
      <c r="M17" s="15">
        <v>0</v>
      </c>
      <c r="N17" s="284">
        <v>1287685</v>
      </c>
      <c r="O17" s="15">
        <v>64574</v>
      </c>
      <c r="P17" s="15">
        <v>156127</v>
      </c>
      <c r="Q17" s="15">
        <v>1403</v>
      </c>
      <c r="R17" s="15">
        <v>0</v>
      </c>
      <c r="S17" s="284">
        <v>222104</v>
      </c>
      <c r="T17" s="113">
        <v>98696</v>
      </c>
      <c r="U17" s="15">
        <v>394727</v>
      </c>
      <c r="V17" s="15">
        <v>2008</v>
      </c>
      <c r="W17" s="15">
        <v>0</v>
      </c>
      <c r="X17" s="284">
        <v>495431</v>
      </c>
      <c r="Y17" s="113">
        <v>65628</v>
      </c>
      <c r="Z17" s="15">
        <v>1057255</v>
      </c>
      <c r="AA17" s="15">
        <v>1220</v>
      </c>
      <c r="AB17" s="15">
        <v>0</v>
      </c>
      <c r="AC17" s="284">
        <v>1124103</v>
      </c>
      <c r="AD17" s="113">
        <v>78891</v>
      </c>
      <c r="AE17" s="15">
        <v>352032</v>
      </c>
      <c r="AF17" s="15">
        <v>5515</v>
      </c>
      <c r="AG17" s="15">
        <v>0</v>
      </c>
      <c r="AH17" s="284">
        <v>436438</v>
      </c>
      <c r="AI17" s="113">
        <v>64686</v>
      </c>
      <c r="AJ17" s="15">
        <v>145775</v>
      </c>
      <c r="AK17" s="15">
        <v>1304</v>
      </c>
      <c r="AL17" s="15">
        <v>0</v>
      </c>
      <c r="AM17" s="284">
        <v>211765</v>
      </c>
      <c r="AN17" s="113">
        <v>66095</v>
      </c>
      <c r="AO17" s="15">
        <v>1265207</v>
      </c>
      <c r="AP17" s="15">
        <v>2567</v>
      </c>
      <c r="AQ17" s="15">
        <v>0</v>
      </c>
      <c r="AR17" s="284">
        <v>1333869</v>
      </c>
      <c r="AS17" s="113">
        <v>81198</v>
      </c>
      <c r="AT17" s="15">
        <v>317409</v>
      </c>
      <c r="AU17" s="15">
        <v>780</v>
      </c>
      <c r="AV17" s="15">
        <v>0</v>
      </c>
      <c r="AW17" s="284">
        <v>399387</v>
      </c>
      <c r="AX17" s="113">
        <v>71138</v>
      </c>
      <c r="AY17" s="15">
        <v>133451</v>
      </c>
      <c r="AZ17" s="15">
        <v>293</v>
      </c>
      <c r="BA17" s="15">
        <v>0</v>
      </c>
      <c r="BB17" s="284">
        <v>204882</v>
      </c>
      <c r="BC17" s="113">
        <v>52811</v>
      </c>
      <c r="BD17" s="15">
        <v>1441993</v>
      </c>
      <c r="BE17" s="15">
        <v>359</v>
      </c>
      <c r="BF17" s="15">
        <v>0</v>
      </c>
      <c r="BG17" s="284">
        <v>1495163</v>
      </c>
      <c r="BH17" s="113">
        <v>74302</v>
      </c>
      <c r="BI17" s="15">
        <v>217933</v>
      </c>
      <c r="BJ17" s="15">
        <v>1049</v>
      </c>
      <c r="BK17" s="15">
        <v>0</v>
      </c>
      <c r="BL17" s="284">
        <v>293284</v>
      </c>
      <c r="BM17" s="113">
        <v>94187</v>
      </c>
      <c r="BN17" s="15">
        <v>160962</v>
      </c>
      <c r="BO17" s="15">
        <v>788</v>
      </c>
      <c r="BP17" s="15">
        <v>166</v>
      </c>
      <c r="BQ17" s="284">
        <v>256103</v>
      </c>
      <c r="BR17" s="113">
        <v>868386</v>
      </c>
      <c r="BS17" s="33">
        <v>6874183</v>
      </c>
      <c r="BT17" s="15">
        <v>17479</v>
      </c>
      <c r="BU17" s="15">
        <v>166</v>
      </c>
      <c r="BV17" s="113">
        <v>7760214</v>
      </c>
      <c r="BW17" s="244"/>
      <c r="BX17" s="238">
        <v>100</v>
      </c>
      <c r="BZ17" s="12">
        <v>0</v>
      </c>
      <c r="CA17" s="12">
        <v>0</v>
      </c>
      <c r="CB17" s="12">
        <v>0</v>
      </c>
      <c r="CC17" s="12">
        <v>0</v>
      </c>
    </row>
    <row r="18" spans="1:81" x14ac:dyDescent="0.2">
      <c r="A18" s="395">
        <v>12</v>
      </c>
      <c r="B18" s="185" t="s">
        <v>206</v>
      </c>
      <c r="D18" s="213"/>
      <c r="E18" s="325">
        <v>2225953</v>
      </c>
      <c r="F18" s="33">
        <v>3272</v>
      </c>
      <c r="G18" s="33">
        <v>315599</v>
      </c>
      <c r="H18" s="33">
        <v>8638</v>
      </c>
      <c r="I18" s="284">
        <v>2553462</v>
      </c>
      <c r="J18" s="113">
        <v>144532</v>
      </c>
      <c r="K18" s="15">
        <v>75</v>
      </c>
      <c r="L18" s="15">
        <v>21611</v>
      </c>
      <c r="M18" s="15">
        <v>0</v>
      </c>
      <c r="N18" s="284">
        <v>166218</v>
      </c>
      <c r="O18" s="15">
        <v>170732</v>
      </c>
      <c r="P18" s="15">
        <v>4730</v>
      </c>
      <c r="Q18" s="15">
        <v>21913</v>
      </c>
      <c r="R18" s="15">
        <v>0</v>
      </c>
      <c r="S18" s="284">
        <v>197375</v>
      </c>
      <c r="T18" s="113">
        <v>169470</v>
      </c>
      <c r="U18" s="15">
        <v>-4219</v>
      </c>
      <c r="V18" s="15">
        <v>22083</v>
      </c>
      <c r="W18" s="15">
        <v>0</v>
      </c>
      <c r="X18" s="284">
        <v>187334</v>
      </c>
      <c r="Y18" s="113">
        <v>172504</v>
      </c>
      <c r="Z18" s="15">
        <v>43</v>
      </c>
      <c r="AA18" s="15">
        <v>21481</v>
      </c>
      <c r="AB18" s="15">
        <v>0</v>
      </c>
      <c r="AC18" s="284">
        <v>194028</v>
      </c>
      <c r="AD18" s="113">
        <v>172018</v>
      </c>
      <c r="AE18" s="15">
        <v>515</v>
      </c>
      <c r="AF18" s="15">
        <v>21655</v>
      </c>
      <c r="AG18" s="15">
        <v>0</v>
      </c>
      <c r="AH18" s="284">
        <v>194188</v>
      </c>
      <c r="AI18" s="113">
        <v>174780</v>
      </c>
      <c r="AJ18" s="15">
        <v>136</v>
      </c>
      <c r="AK18" s="15">
        <v>26745</v>
      </c>
      <c r="AL18" s="15">
        <v>0</v>
      </c>
      <c r="AM18" s="284">
        <v>201661</v>
      </c>
      <c r="AN18" s="113">
        <v>187413</v>
      </c>
      <c r="AO18" s="15">
        <v>723</v>
      </c>
      <c r="AP18" s="15">
        <v>17944</v>
      </c>
      <c r="AQ18" s="15">
        <v>0</v>
      </c>
      <c r="AR18" s="284">
        <v>206080</v>
      </c>
      <c r="AS18" s="113">
        <v>180304</v>
      </c>
      <c r="AT18" s="15">
        <v>158</v>
      </c>
      <c r="AU18" s="15">
        <v>21921</v>
      </c>
      <c r="AV18" s="15">
        <v>0</v>
      </c>
      <c r="AW18" s="284">
        <v>202383</v>
      </c>
      <c r="AX18" s="113">
        <v>204958</v>
      </c>
      <c r="AY18" s="15">
        <v>261</v>
      </c>
      <c r="AZ18" s="15">
        <v>23227</v>
      </c>
      <c r="BA18" s="15">
        <v>0</v>
      </c>
      <c r="BB18" s="284">
        <v>228446</v>
      </c>
      <c r="BC18" s="113">
        <v>161062</v>
      </c>
      <c r="BD18" s="15">
        <v>102</v>
      </c>
      <c r="BE18" s="15">
        <v>23133</v>
      </c>
      <c r="BF18" s="15">
        <v>0</v>
      </c>
      <c r="BG18" s="284">
        <v>184297</v>
      </c>
      <c r="BH18" s="113">
        <v>191480</v>
      </c>
      <c r="BI18" s="15">
        <v>1973</v>
      </c>
      <c r="BJ18" s="15">
        <v>23672</v>
      </c>
      <c r="BK18" s="15">
        <v>0</v>
      </c>
      <c r="BL18" s="284">
        <v>217125</v>
      </c>
      <c r="BM18" s="113">
        <v>296700</v>
      </c>
      <c r="BN18" s="15">
        <v>-1225</v>
      </c>
      <c r="BO18" s="15">
        <v>70214</v>
      </c>
      <c r="BP18" s="15">
        <v>8638</v>
      </c>
      <c r="BQ18" s="284">
        <v>374327</v>
      </c>
      <c r="BR18" s="113">
        <v>2225953</v>
      </c>
      <c r="BS18" s="33">
        <v>3272</v>
      </c>
      <c r="BT18" s="15">
        <v>315599</v>
      </c>
      <c r="BU18" s="15">
        <v>8638</v>
      </c>
      <c r="BV18" s="113">
        <v>2553462</v>
      </c>
      <c r="BW18" s="244"/>
      <c r="BX18" s="238">
        <v>100</v>
      </c>
      <c r="BY18" s="15"/>
      <c r="BZ18" s="12">
        <v>0</v>
      </c>
      <c r="CA18" s="12">
        <v>0</v>
      </c>
      <c r="CB18" s="12">
        <v>0</v>
      </c>
      <c r="CC18" s="12">
        <v>0</v>
      </c>
    </row>
    <row r="19" spans="1:81" x14ac:dyDescent="0.2">
      <c r="A19" s="395">
        <v>13</v>
      </c>
      <c r="B19" s="7" t="s">
        <v>265</v>
      </c>
      <c r="D19" s="342"/>
      <c r="E19" s="325">
        <v>151157</v>
      </c>
      <c r="F19" s="33">
        <v>87146</v>
      </c>
      <c r="G19" s="33">
        <v>2704</v>
      </c>
      <c r="H19" s="33">
        <v>381</v>
      </c>
      <c r="I19" s="284">
        <v>241388</v>
      </c>
      <c r="J19" s="113">
        <v>12411</v>
      </c>
      <c r="K19" s="15">
        <v>7099</v>
      </c>
      <c r="L19" s="15">
        <v>38</v>
      </c>
      <c r="M19" s="15">
        <v>0</v>
      </c>
      <c r="N19" s="284">
        <v>19548</v>
      </c>
      <c r="O19" s="15">
        <v>11788</v>
      </c>
      <c r="P19" s="15">
        <v>7098</v>
      </c>
      <c r="Q19" s="15">
        <v>20</v>
      </c>
      <c r="R19" s="15">
        <v>0</v>
      </c>
      <c r="S19" s="284">
        <v>18906</v>
      </c>
      <c r="T19" s="113">
        <v>14919</v>
      </c>
      <c r="U19" s="15">
        <v>7404</v>
      </c>
      <c r="V19" s="15">
        <v>41</v>
      </c>
      <c r="W19" s="15">
        <v>0</v>
      </c>
      <c r="X19" s="284">
        <v>22364</v>
      </c>
      <c r="Y19" s="113">
        <v>11162</v>
      </c>
      <c r="Z19" s="15">
        <v>8233</v>
      </c>
      <c r="AA19" s="15">
        <v>116</v>
      </c>
      <c r="AB19" s="15">
        <v>0</v>
      </c>
      <c r="AC19" s="284">
        <v>19511</v>
      </c>
      <c r="AD19" s="113">
        <v>12774</v>
      </c>
      <c r="AE19" s="15">
        <v>7131</v>
      </c>
      <c r="AF19" s="15">
        <v>480</v>
      </c>
      <c r="AG19" s="15">
        <v>0</v>
      </c>
      <c r="AH19" s="284">
        <v>20385</v>
      </c>
      <c r="AI19" s="113">
        <v>11630</v>
      </c>
      <c r="AJ19" s="15">
        <v>7098</v>
      </c>
      <c r="AK19" s="15">
        <v>19</v>
      </c>
      <c r="AL19" s="15">
        <v>0</v>
      </c>
      <c r="AM19" s="284">
        <v>18747</v>
      </c>
      <c r="AN19" s="113">
        <v>14968</v>
      </c>
      <c r="AO19" s="15">
        <v>7099</v>
      </c>
      <c r="AP19" s="15">
        <v>282</v>
      </c>
      <c r="AQ19" s="15">
        <v>0</v>
      </c>
      <c r="AR19" s="284">
        <v>22349</v>
      </c>
      <c r="AS19" s="113">
        <v>16211</v>
      </c>
      <c r="AT19" s="15">
        <v>7419</v>
      </c>
      <c r="AU19" s="15">
        <v>264</v>
      </c>
      <c r="AV19" s="15">
        <v>0</v>
      </c>
      <c r="AW19" s="284">
        <v>23894</v>
      </c>
      <c r="AX19" s="113">
        <v>11518</v>
      </c>
      <c r="AY19" s="15">
        <v>7098</v>
      </c>
      <c r="AZ19" s="15">
        <v>18</v>
      </c>
      <c r="BA19" s="15">
        <v>0</v>
      </c>
      <c r="BB19" s="284">
        <v>18634</v>
      </c>
      <c r="BC19" s="113">
        <v>11049</v>
      </c>
      <c r="BD19" s="15">
        <v>7270</v>
      </c>
      <c r="BE19" s="15">
        <v>677</v>
      </c>
      <c r="BF19" s="15">
        <v>0</v>
      </c>
      <c r="BG19" s="284">
        <v>18996</v>
      </c>
      <c r="BH19" s="113">
        <v>10139</v>
      </c>
      <c r="BI19" s="15">
        <v>7099</v>
      </c>
      <c r="BJ19" s="15">
        <v>7</v>
      </c>
      <c r="BK19" s="15">
        <v>381</v>
      </c>
      <c r="BL19" s="284">
        <v>17626</v>
      </c>
      <c r="BM19" s="113">
        <v>12588</v>
      </c>
      <c r="BN19" s="15">
        <v>7098</v>
      </c>
      <c r="BO19" s="15">
        <v>742</v>
      </c>
      <c r="BP19" s="15">
        <v>0</v>
      </c>
      <c r="BQ19" s="284">
        <v>20428</v>
      </c>
      <c r="BR19" s="113">
        <v>151157</v>
      </c>
      <c r="BS19" s="33">
        <v>87146</v>
      </c>
      <c r="BT19" s="15">
        <v>2704</v>
      </c>
      <c r="BU19" s="15">
        <v>381</v>
      </c>
      <c r="BV19" s="113">
        <v>241388</v>
      </c>
      <c r="BW19" s="244"/>
      <c r="BX19" s="238">
        <v>100</v>
      </c>
      <c r="BZ19" s="12">
        <v>0</v>
      </c>
      <c r="CA19" s="12">
        <v>0</v>
      </c>
      <c r="CB19" s="12">
        <v>0</v>
      </c>
      <c r="CC19" s="12">
        <v>0</v>
      </c>
    </row>
    <row r="20" spans="1:81" x14ac:dyDescent="0.2">
      <c r="A20" s="395">
        <v>14</v>
      </c>
      <c r="B20" s="185" t="s">
        <v>208</v>
      </c>
      <c r="D20" s="342"/>
      <c r="E20" s="325">
        <v>2528199</v>
      </c>
      <c r="F20" s="33">
        <v>20110535</v>
      </c>
      <c r="G20" s="33">
        <v>1212589</v>
      </c>
      <c r="H20" s="33">
        <v>240</v>
      </c>
      <c r="I20" s="284">
        <v>23851563</v>
      </c>
      <c r="J20" s="113">
        <v>79776</v>
      </c>
      <c r="K20" s="15">
        <v>3234436</v>
      </c>
      <c r="L20" s="15">
        <v>7750</v>
      </c>
      <c r="M20" s="15">
        <v>180</v>
      </c>
      <c r="N20" s="284">
        <v>3322142</v>
      </c>
      <c r="O20" s="15">
        <v>83503</v>
      </c>
      <c r="P20" s="15">
        <v>3983819</v>
      </c>
      <c r="Q20" s="15">
        <v>69221</v>
      </c>
      <c r="R20" s="15">
        <v>5</v>
      </c>
      <c r="S20" s="284">
        <v>4136548</v>
      </c>
      <c r="T20" s="113">
        <v>93693</v>
      </c>
      <c r="U20" s="15">
        <v>690231</v>
      </c>
      <c r="V20" s="15">
        <v>65939</v>
      </c>
      <c r="W20" s="15">
        <v>1</v>
      </c>
      <c r="X20" s="284">
        <v>849864</v>
      </c>
      <c r="Y20" s="113">
        <v>133545</v>
      </c>
      <c r="Z20" s="15">
        <v>1403599</v>
      </c>
      <c r="AA20" s="15">
        <v>81075</v>
      </c>
      <c r="AB20" s="15">
        <v>0</v>
      </c>
      <c r="AC20" s="284">
        <v>1618219</v>
      </c>
      <c r="AD20" s="113">
        <v>495369</v>
      </c>
      <c r="AE20" s="15">
        <v>2653655</v>
      </c>
      <c r="AF20" s="15">
        <v>212268</v>
      </c>
      <c r="AG20" s="15">
        <v>0</v>
      </c>
      <c r="AH20" s="284">
        <v>3361292</v>
      </c>
      <c r="AI20" s="113">
        <v>133519</v>
      </c>
      <c r="AJ20" s="15">
        <v>781681</v>
      </c>
      <c r="AK20" s="15">
        <v>113406</v>
      </c>
      <c r="AL20" s="15">
        <v>0</v>
      </c>
      <c r="AM20" s="284">
        <v>1028606</v>
      </c>
      <c r="AN20" s="113">
        <v>136997</v>
      </c>
      <c r="AO20" s="15">
        <v>1212127</v>
      </c>
      <c r="AP20" s="15">
        <v>75971</v>
      </c>
      <c r="AQ20" s="15">
        <v>7</v>
      </c>
      <c r="AR20" s="284">
        <v>1425102</v>
      </c>
      <c r="AS20" s="113">
        <v>566643</v>
      </c>
      <c r="AT20" s="15">
        <v>1929063</v>
      </c>
      <c r="AU20" s="15">
        <v>67182</v>
      </c>
      <c r="AV20" s="15">
        <v>41</v>
      </c>
      <c r="AW20" s="284">
        <v>2562929</v>
      </c>
      <c r="AX20" s="113">
        <v>225581</v>
      </c>
      <c r="AY20" s="15">
        <v>581299</v>
      </c>
      <c r="AZ20" s="15">
        <v>156757</v>
      </c>
      <c r="BA20" s="15">
        <v>2</v>
      </c>
      <c r="BB20" s="284">
        <v>963639</v>
      </c>
      <c r="BC20" s="113">
        <v>154667</v>
      </c>
      <c r="BD20" s="15">
        <v>3009243</v>
      </c>
      <c r="BE20" s="15">
        <v>113434</v>
      </c>
      <c r="BF20" s="15">
        <v>3</v>
      </c>
      <c r="BG20" s="284">
        <v>3277347</v>
      </c>
      <c r="BH20" s="113">
        <v>174009</v>
      </c>
      <c r="BI20" s="15">
        <v>45615</v>
      </c>
      <c r="BJ20" s="15">
        <v>46301</v>
      </c>
      <c r="BK20" s="15">
        <v>0</v>
      </c>
      <c r="BL20" s="284">
        <v>265925</v>
      </c>
      <c r="BM20" s="113">
        <v>250897</v>
      </c>
      <c r="BN20" s="15">
        <v>585767</v>
      </c>
      <c r="BO20" s="15">
        <v>203285</v>
      </c>
      <c r="BP20" s="15">
        <v>1</v>
      </c>
      <c r="BQ20" s="284">
        <v>1039950</v>
      </c>
      <c r="BR20" s="113">
        <v>2528199</v>
      </c>
      <c r="BS20" s="33">
        <v>20110535</v>
      </c>
      <c r="BT20" s="15">
        <v>1212589</v>
      </c>
      <c r="BU20" s="15">
        <v>240</v>
      </c>
      <c r="BV20" s="113">
        <v>23851563</v>
      </c>
      <c r="BW20" s="244"/>
      <c r="BX20" s="238">
        <v>100</v>
      </c>
      <c r="BY20" s="12"/>
      <c r="BZ20" s="12">
        <v>0</v>
      </c>
      <c r="CA20" s="12">
        <v>0</v>
      </c>
      <c r="CB20" s="12">
        <v>0</v>
      </c>
      <c r="CC20" s="12">
        <v>0</v>
      </c>
    </row>
    <row r="21" spans="1:81" x14ac:dyDescent="0.2">
      <c r="A21" s="395">
        <v>15</v>
      </c>
      <c r="B21" s="185" t="s">
        <v>209</v>
      </c>
      <c r="D21" s="213"/>
      <c r="E21" s="325">
        <v>9909400</v>
      </c>
      <c r="F21" s="33">
        <v>78893467</v>
      </c>
      <c r="G21" s="33">
        <v>7926</v>
      </c>
      <c r="H21" s="33">
        <v>1661</v>
      </c>
      <c r="I21" s="284">
        <v>88812454</v>
      </c>
      <c r="J21" s="113">
        <v>762757</v>
      </c>
      <c r="K21" s="15">
        <v>19038631</v>
      </c>
      <c r="L21" s="15">
        <v>780</v>
      </c>
      <c r="M21" s="15">
        <v>1</v>
      </c>
      <c r="N21" s="284">
        <v>19802169</v>
      </c>
      <c r="O21" s="15">
        <v>715486</v>
      </c>
      <c r="P21" s="15">
        <v>8936316</v>
      </c>
      <c r="Q21" s="15">
        <v>248</v>
      </c>
      <c r="R21" s="15">
        <v>1</v>
      </c>
      <c r="S21" s="284">
        <v>9652051</v>
      </c>
      <c r="T21" s="113">
        <v>775576</v>
      </c>
      <c r="U21" s="15">
        <v>10765997</v>
      </c>
      <c r="V21" s="15">
        <v>132</v>
      </c>
      <c r="W21" s="15">
        <v>0</v>
      </c>
      <c r="X21" s="284">
        <v>11541705</v>
      </c>
      <c r="Y21" s="113">
        <v>760051</v>
      </c>
      <c r="Z21" s="15">
        <v>4154468</v>
      </c>
      <c r="AA21" s="15">
        <v>426</v>
      </c>
      <c r="AB21" s="15">
        <v>3</v>
      </c>
      <c r="AC21" s="284">
        <v>4914948</v>
      </c>
      <c r="AD21" s="113">
        <v>797538</v>
      </c>
      <c r="AE21" s="15">
        <v>11187843</v>
      </c>
      <c r="AF21" s="15">
        <v>381</v>
      </c>
      <c r="AG21" s="15">
        <v>0</v>
      </c>
      <c r="AH21" s="284">
        <v>11985762</v>
      </c>
      <c r="AI21" s="113">
        <v>844326</v>
      </c>
      <c r="AJ21" s="15">
        <v>4765797</v>
      </c>
      <c r="AK21" s="15">
        <v>96</v>
      </c>
      <c r="AL21" s="15">
        <v>0</v>
      </c>
      <c r="AM21" s="284">
        <v>5610219</v>
      </c>
      <c r="AN21" s="113">
        <v>790057</v>
      </c>
      <c r="AO21" s="15">
        <v>11882605</v>
      </c>
      <c r="AP21" s="15">
        <v>3002</v>
      </c>
      <c r="AQ21" s="15">
        <v>0</v>
      </c>
      <c r="AR21" s="284">
        <v>12675664</v>
      </c>
      <c r="AS21" s="113">
        <v>855423</v>
      </c>
      <c r="AT21" s="15">
        <v>2992682</v>
      </c>
      <c r="AU21" s="15">
        <v>194</v>
      </c>
      <c r="AV21" s="15">
        <v>0</v>
      </c>
      <c r="AW21" s="284">
        <v>3848299</v>
      </c>
      <c r="AX21" s="113">
        <v>798931</v>
      </c>
      <c r="AY21" s="15">
        <v>201864</v>
      </c>
      <c r="AZ21" s="15">
        <v>255</v>
      </c>
      <c r="BA21" s="15">
        <v>0</v>
      </c>
      <c r="BB21" s="284">
        <v>1001050</v>
      </c>
      <c r="BC21" s="113">
        <v>744629</v>
      </c>
      <c r="BD21" s="15">
        <v>1425649</v>
      </c>
      <c r="BE21" s="15">
        <v>150</v>
      </c>
      <c r="BF21" s="15">
        <v>0</v>
      </c>
      <c r="BG21" s="284">
        <v>2170428</v>
      </c>
      <c r="BH21" s="113">
        <v>857856</v>
      </c>
      <c r="BI21" s="15">
        <v>1352010</v>
      </c>
      <c r="BJ21" s="15">
        <v>736</v>
      </c>
      <c r="BK21" s="15">
        <v>0</v>
      </c>
      <c r="BL21" s="284">
        <v>2210602</v>
      </c>
      <c r="BM21" s="113">
        <v>1206770</v>
      </c>
      <c r="BN21" s="15">
        <v>2189605</v>
      </c>
      <c r="BO21" s="15">
        <v>1526</v>
      </c>
      <c r="BP21" s="15">
        <v>1656</v>
      </c>
      <c r="BQ21" s="284">
        <v>3399557</v>
      </c>
      <c r="BR21" s="113">
        <v>9909400</v>
      </c>
      <c r="BS21" s="33">
        <v>78893467</v>
      </c>
      <c r="BT21" s="15">
        <v>7926</v>
      </c>
      <c r="BU21" s="15">
        <v>1661</v>
      </c>
      <c r="BV21" s="113">
        <v>88812454</v>
      </c>
      <c r="BW21" s="244"/>
      <c r="BX21" s="238">
        <v>100</v>
      </c>
      <c r="BY21" s="12"/>
      <c r="BZ21" s="12">
        <v>0</v>
      </c>
      <c r="CA21" s="12">
        <v>0</v>
      </c>
      <c r="CB21" s="12">
        <v>0</v>
      </c>
      <c r="CC21" s="12">
        <v>0</v>
      </c>
    </row>
    <row r="22" spans="1:81" x14ac:dyDescent="0.2">
      <c r="A22" s="395">
        <v>16</v>
      </c>
      <c r="B22" s="185" t="s">
        <v>210</v>
      </c>
      <c r="D22" s="342"/>
      <c r="E22" s="325">
        <v>2114769</v>
      </c>
      <c r="F22" s="33">
        <v>47863455</v>
      </c>
      <c r="G22" s="33">
        <v>794547</v>
      </c>
      <c r="H22" s="33">
        <v>0</v>
      </c>
      <c r="I22" s="284">
        <v>50772771</v>
      </c>
      <c r="J22" s="113">
        <v>97182</v>
      </c>
      <c r="K22" s="15">
        <v>5527538</v>
      </c>
      <c r="L22" s="15">
        <v>1585</v>
      </c>
      <c r="M22" s="15">
        <v>0</v>
      </c>
      <c r="N22" s="284">
        <v>5626305</v>
      </c>
      <c r="O22" s="15">
        <v>111121</v>
      </c>
      <c r="P22" s="15">
        <v>3249197</v>
      </c>
      <c r="Q22" s="15">
        <v>14590</v>
      </c>
      <c r="R22" s="15">
        <v>0</v>
      </c>
      <c r="S22" s="284">
        <v>3374908</v>
      </c>
      <c r="T22" s="113">
        <v>130668</v>
      </c>
      <c r="U22" s="15">
        <v>3289852</v>
      </c>
      <c r="V22" s="15">
        <v>53737</v>
      </c>
      <c r="W22" s="15">
        <v>0</v>
      </c>
      <c r="X22" s="284">
        <v>3474257</v>
      </c>
      <c r="Y22" s="113">
        <v>174782</v>
      </c>
      <c r="Z22" s="15">
        <v>5294934</v>
      </c>
      <c r="AA22" s="15">
        <v>77787</v>
      </c>
      <c r="AB22" s="15">
        <v>0</v>
      </c>
      <c r="AC22" s="284">
        <v>5547503</v>
      </c>
      <c r="AD22" s="113">
        <v>158079</v>
      </c>
      <c r="AE22" s="15">
        <v>3248753</v>
      </c>
      <c r="AF22" s="15">
        <v>64015</v>
      </c>
      <c r="AG22" s="15">
        <v>0</v>
      </c>
      <c r="AH22" s="284">
        <v>3470847</v>
      </c>
      <c r="AI22" s="113">
        <v>207339</v>
      </c>
      <c r="AJ22" s="15">
        <v>3267348</v>
      </c>
      <c r="AK22" s="15">
        <v>28763</v>
      </c>
      <c r="AL22" s="15">
        <v>0</v>
      </c>
      <c r="AM22" s="284">
        <v>3503450</v>
      </c>
      <c r="AN22" s="113">
        <v>139336</v>
      </c>
      <c r="AO22" s="15">
        <v>5290237</v>
      </c>
      <c r="AP22" s="15">
        <v>87604</v>
      </c>
      <c r="AQ22" s="15">
        <v>0</v>
      </c>
      <c r="AR22" s="284">
        <v>5517177</v>
      </c>
      <c r="AS22" s="113">
        <v>188159</v>
      </c>
      <c r="AT22" s="15">
        <v>3254104</v>
      </c>
      <c r="AU22" s="15">
        <v>58013</v>
      </c>
      <c r="AV22" s="15">
        <v>0</v>
      </c>
      <c r="AW22" s="284">
        <v>3500276</v>
      </c>
      <c r="AX22" s="113">
        <v>163240</v>
      </c>
      <c r="AY22" s="15">
        <v>3261642</v>
      </c>
      <c r="AZ22" s="15">
        <v>72205</v>
      </c>
      <c r="BA22" s="15">
        <v>0</v>
      </c>
      <c r="BB22" s="284">
        <v>3497087</v>
      </c>
      <c r="BC22" s="113">
        <v>164854</v>
      </c>
      <c r="BD22" s="15">
        <v>5057839</v>
      </c>
      <c r="BE22" s="15">
        <v>89935</v>
      </c>
      <c r="BF22" s="15">
        <v>0</v>
      </c>
      <c r="BG22" s="284">
        <v>5312628</v>
      </c>
      <c r="BH22" s="113">
        <v>179428</v>
      </c>
      <c r="BI22" s="15">
        <v>3742852</v>
      </c>
      <c r="BJ22" s="15">
        <v>89180</v>
      </c>
      <c r="BK22" s="15">
        <v>0</v>
      </c>
      <c r="BL22" s="284">
        <v>4011460</v>
      </c>
      <c r="BM22" s="113">
        <v>400581</v>
      </c>
      <c r="BN22" s="15">
        <v>3379159</v>
      </c>
      <c r="BO22" s="15">
        <v>157133</v>
      </c>
      <c r="BP22" s="15">
        <v>0</v>
      </c>
      <c r="BQ22" s="284">
        <v>3936873</v>
      </c>
      <c r="BR22" s="113">
        <v>2114769</v>
      </c>
      <c r="BS22" s="33">
        <v>47863455</v>
      </c>
      <c r="BT22" s="15">
        <v>794547</v>
      </c>
      <c r="BU22" s="15">
        <v>0</v>
      </c>
      <c r="BV22" s="113">
        <v>50772771</v>
      </c>
      <c r="BW22" s="244"/>
      <c r="BX22" s="238">
        <v>100</v>
      </c>
      <c r="BZ22" s="12">
        <v>0</v>
      </c>
      <c r="CA22" s="12">
        <v>0</v>
      </c>
      <c r="CB22" s="12">
        <v>0</v>
      </c>
      <c r="CC22" s="12">
        <v>0</v>
      </c>
    </row>
    <row r="23" spans="1:81" x14ac:dyDescent="0.2">
      <c r="A23" s="469">
        <v>17</v>
      </c>
      <c r="B23" s="266" t="s">
        <v>211</v>
      </c>
      <c r="D23" s="148"/>
      <c r="E23" s="325">
        <v>902874</v>
      </c>
      <c r="F23" s="33">
        <v>198571699</v>
      </c>
      <c r="G23" s="33">
        <v>7264</v>
      </c>
      <c r="H23" s="33">
        <v>248539</v>
      </c>
      <c r="I23" s="284">
        <v>199730376</v>
      </c>
      <c r="J23" s="113">
        <v>52234</v>
      </c>
      <c r="K23" s="15">
        <v>14985759</v>
      </c>
      <c r="L23" s="15">
        <v>131</v>
      </c>
      <c r="M23" s="15">
        <v>0</v>
      </c>
      <c r="N23" s="284">
        <v>15038124</v>
      </c>
      <c r="O23" s="15">
        <v>55199</v>
      </c>
      <c r="P23" s="15">
        <v>15008444</v>
      </c>
      <c r="Q23" s="15">
        <v>215</v>
      </c>
      <c r="R23" s="15">
        <v>0</v>
      </c>
      <c r="S23" s="284">
        <v>15063858</v>
      </c>
      <c r="T23" s="113">
        <v>71414</v>
      </c>
      <c r="U23" s="15">
        <v>14567398</v>
      </c>
      <c r="V23" s="15">
        <v>117</v>
      </c>
      <c r="W23" s="15">
        <v>0</v>
      </c>
      <c r="X23" s="284">
        <v>14638929</v>
      </c>
      <c r="Y23" s="113">
        <v>71573</v>
      </c>
      <c r="Z23" s="15">
        <v>15807991</v>
      </c>
      <c r="AA23" s="15">
        <v>328</v>
      </c>
      <c r="AB23" s="15">
        <v>0</v>
      </c>
      <c r="AC23" s="284">
        <v>15879892</v>
      </c>
      <c r="AD23" s="113">
        <v>68321</v>
      </c>
      <c r="AE23" s="15">
        <v>15130117</v>
      </c>
      <c r="AF23" s="15">
        <v>241</v>
      </c>
      <c r="AG23" s="15">
        <v>0</v>
      </c>
      <c r="AH23" s="284">
        <v>15198679</v>
      </c>
      <c r="AI23" s="113">
        <v>62641</v>
      </c>
      <c r="AJ23" s="15">
        <v>15194011</v>
      </c>
      <c r="AK23" s="15">
        <v>623</v>
      </c>
      <c r="AL23" s="15">
        <v>0</v>
      </c>
      <c r="AM23" s="284">
        <v>15257275</v>
      </c>
      <c r="AN23" s="113">
        <v>66836</v>
      </c>
      <c r="AO23" s="15">
        <v>15440254</v>
      </c>
      <c r="AP23" s="15">
        <v>452</v>
      </c>
      <c r="AQ23" s="15">
        <v>0</v>
      </c>
      <c r="AR23" s="284">
        <v>15507542</v>
      </c>
      <c r="AS23" s="113">
        <v>69086</v>
      </c>
      <c r="AT23" s="15">
        <v>15536262</v>
      </c>
      <c r="AU23" s="15">
        <v>292</v>
      </c>
      <c r="AV23" s="15">
        <v>0</v>
      </c>
      <c r="AW23" s="284">
        <v>15605640</v>
      </c>
      <c r="AX23" s="113">
        <v>87995</v>
      </c>
      <c r="AY23" s="15">
        <v>15357143</v>
      </c>
      <c r="AZ23" s="15">
        <v>226</v>
      </c>
      <c r="BA23" s="15">
        <v>0</v>
      </c>
      <c r="BB23" s="284">
        <v>15445364</v>
      </c>
      <c r="BC23" s="113">
        <v>71019</v>
      </c>
      <c r="BD23" s="15">
        <v>15488068</v>
      </c>
      <c r="BE23" s="15">
        <v>853</v>
      </c>
      <c r="BF23" s="15">
        <v>0</v>
      </c>
      <c r="BG23" s="284">
        <v>15559940</v>
      </c>
      <c r="BH23" s="113">
        <v>72393</v>
      </c>
      <c r="BI23" s="15">
        <v>15180681</v>
      </c>
      <c r="BJ23" s="15">
        <v>5584</v>
      </c>
      <c r="BK23" s="15">
        <v>0</v>
      </c>
      <c r="BL23" s="284">
        <v>15258658</v>
      </c>
      <c r="BM23" s="113">
        <v>154163</v>
      </c>
      <c r="BN23" s="15">
        <v>30875571</v>
      </c>
      <c r="BO23" s="15">
        <v>-1798</v>
      </c>
      <c r="BP23" s="15">
        <v>248539</v>
      </c>
      <c r="BQ23" s="284">
        <v>31276475</v>
      </c>
      <c r="BR23" s="113">
        <v>902874</v>
      </c>
      <c r="BS23" s="33">
        <v>198571699</v>
      </c>
      <c r="BT23" s="15">
        <v>7264</v>
      </c>
      <c r="BU23" s="15">
        <v>248539</v>
      </c>
      <c r="BV23" s="113">
        <v>199730376</v>
      </c>
      <c r="BW23" s="244"/>
      <c r="BX23" s="238">
        <v>100</v>
      </c>
      <c r="BZ23" s="12">
        <v>0</v>
      </c>
      <c r="CA23" s="12">
        <v>0</v>
      </c>
      <c r="CB23" s="12">
        <v>0</v>
      </c>
      <c r="CC23" s="12">
        <v>0</v>
      </c>
    </row>
    <row r="24" spans="1:81" x14ac:dyDescent="0.2">
      <c r="A24" s="395">
        <v>18</v>
      </c>
      <c r="B24" s="185" t="s">
        <v>214</v>
      </c>
      <c r="D24" s="342"/>
      <c r="E24" s="325">
        <v>23783415</v>
      </c>
      <c r="F24" s="33">
        <v>877957</v>
      </c>
      <c r="G24" s="33">
        <v>515439</v>
      </c>
      <c r="H24" s="33">
        <v>9335</v>
      </c>
      <c r="I24" s="284">
        <v>25186146</v>
      </c>
      <c r="J24" s="113">
        <v>1539111</v>
      </c>
      <c r="K24" s="15">
        <v>44796</v>
      </c>
      <c r="L24" s="15">
        <v>31904</v>
      </c>
      <c r="M24" s="15">
        <v>599</v>
      </c>
      <c r="N24" s="284">
        <v>1616410</v>
      </c>
      <c r="O24" s="15">
        <v>1840776</v>
      </c>
      <c r="P24" s="15">
        <v>49396</v>
      </c>
      <c r="Q24" s="15">
        <v>4802</v>
      </c>
      <c r="R24" s="15">
        <v>0</v>
      </c>
      <c r="S24" s="284">
        <v>1894974</v>
      </c>
      <c r="T24" s="113">
        <v>1748453</v>
      </c>
      <c r="U24" s="15">
        <v>9065</v>
      </c>
      <c r="V24" s="15">
        <v>14344</v>
      </c>
      <c r="W24" s="15">
        <v>-599</v>
      </c>
      <c r="X24" s="284">
        <v>1771263</v>
      </c>
      <c r="Y24" s="113">
        <v>1738280</v>
      </c>
      <c r="Z24" s="15">
        <v>52855</v>
      </c>
      <c r="AA24" s="15">
        <v>7422</v>
      </c>
      <c r="AB24" s="15">
        <v>0</v>
      </c>
      <c r="AC24" s="284">
        <v>1798557</v>
      </c>
      <c r="AD24" s="113">
        <v>1929944</v>
      </c>
      <c r="AE24" s="15">
        <v>86830</v>
      </c>
      <c r="AF24" s="15">
        <v>22188</v>
      </c>
      <c r="AG24" s="15">
        <v>0</v>
      </c>
      <c r="AH24" s="284">
        <v>2038962</v>
      </c>
      <c r="AI24" s="113">
        <v>2156686</v>
      </c>
      <c r="AJ24" s="15">
        <v>46091</v>
      </c>
      <c r="AK24" s="15">
        <v>61013</v>
      </c>
      <c r="AL24" s="15">
        <v>0</v>
      </c>
      <c r="AM24" s="284">
        <v>2263790</v>
      </c>
      <c r="AN24" s="113">
        <v>1959084</v>
      </c>
      <c r="AO24" s="15">
        <v>54195</v>
      </c>
      <c r="AP24" s="15">
        <v>-26875</v>
      </c>
      <c r="AQ24" s="15">
        <v>0</v>
      </c>
      <c r="AR24" s="284">
        <v>1986404</v>
      </c>
      <c r="AS24" s="113">
        <v>2158851</v>
      </c>
      <c r="AT24" s="15">
        <v>12826</v>
      </c>
      <c r="AU24" s="15">
        <v>23394</v>
      </c>
      <c r="AV24" s="15">
        <v>0</v>
      </c>
      <c r="AW24" s="284">
        <v>2195071</v>
      </c>
      <c r="AX24" s="113">
        <v>1927133</v>
      </c>
      <c r="AY24" s="15">
        <v>81830</v>
      </c>
      <c r="AZ24" s="15">
        <v>221099</v>
      </c>
      <c r="BA24" s="15">
        <v>0</v>
      </c>
      <c r="BB24" s="284">
        <v>2230062</v>
      </c>
      <c r="BC24" s="113">
        <v>1836620</v>
      </c>
      <c r="BD24" s="15">
        <v>52822</v>
      </c>
      <c r="BE24" s="15">
        <v>-9546</v>
      </c>
      <c r="BF24" s="15">
        <v>0</v>
      </c>
      <c r="BG24" s="284">
        <v>1879896</v>
      </c>
      <c r="BH24" s="113">
        <v>2054316</v>
      </c>
      <c r="BI24" s="15">
        <v>80777</v>
      </c>
      <c r="BJ24" s="15">
        <v>66282</v>
      </c>
      <c r="BK24" s="15">
        <v>0</v>
      </c>
      <c r="BL24" s="284">
        <v>2201375</v>
      </c>
      <c r="BM24" s="113">
        <v>2894161</v>
      </c>
      <c r="BN24" s="15">
        <v>306474</v>
      </c>
      <c r="BO24" s="15">
        <v>99412</v>
      </c>
      <c r="BP24" s="15">
        <v>9335</v>
      </c>
      <c r="BQ24" s="284">
        <v>3309382</v>
      </c>
      <c r="BR24" s="113">
        <v>23783415</v>
      </c>
      <c r="BS24" s="33">
        <v>877957</v>
      </c>
      <c r="BT24" s="15">
        <v>515439</v>
      </c>
      <c r="BU24" s="15">
        <v>9335</v>
      </c>
      <c r="BV24" s="113">
        <v>25186146</v>
      </c>
      <c r="BW24" s="244"/>
      <c r="BX24" s="238">
        <v>100</v>
      </c>
      <c r="BZ24" s="12">
        <v>0</v>
      </c>
      <c r="CA24" s="12">
        <v>0</v>
      </c>
      <c r="CB24" s="12">
        <v>0</v>
      </c>
      <c r="CC24" s="12">
        <v>0</v>
      </c>
    </row>
    <row r="25" spans="1:81" x14ac:dyDescent="0.2">
      <c r="A25" s="395">
        <v>19</v>
      </c>
      <c r="B25" s="185" t="s">
        <v>266</v>
      </c>
      <c r="D25" s="324"/>
      <c r="E25" s="325">
        <v>42763210</v>
      </c>
      <c r="F25" s="33">
        <v>6674370</v>
      </c>
      <c r="G25" s="33">
        <v>1417666</v>
      </c>
      <c r="H25" s="33">
        <v>27011</v>
      </c>
      <c r="I25" s="284">
        <v>50882257</v>
      </c>
      <c r="J25" s="113">
        <v>2735310</v>
      </c>
      <c r="K25" s="15">
        <v>342471</v>
      </c>
      <c r="L25" s="15">
        <v>43383</v>
      </c>
      <c r="M25" s="15">
        <v>0</v>
      </c>
      <c r="N25" s="284">
        <v>3121164</v>
      </c>
      <c r="O25" s="15">
        <v>3565541</v>
      </c>
      <c r="P25" s="15">
        <v>831702</v>
      </c>
      <c r="Q25" s="15">
        <v>149417</v>
      </c>
      <c r="R25" s="15">
        <v>0</v>
      </c>
      <c r="S25" s="284">
        <v>4546660</v>
      </c>
      <c r="T25" s="113">
        <v>3527797</v>
      </c>
      <c r="U25" s="15">
        <v>495850</v>
      </c>
      <c r="V25" s="15">
        <v>21837</v>
      </c>
      <c r="W25" s="15">
        <v>0</v>
      </c>
      <c r="X25" s="284">
        <v>4045484</v>
      </c>
      <c r="Y25" s="113">
        <v>3692128</v>
      </c>
      <c r="Z25" s="15">
        <v>781446</v>
      </c>
      <c r="AA25" s="15">
        <v>48763</v>
      </c>
      <c r="AB25" s="15">
        <v>0</v>
      </c>
      <c r="AC25" s="284">
        <v>4522337</v>
      </c>
      <c r="AD25" s="113">
        <v>3549026</v>
      </c>
      <c r="AE25" s="15">
        <v>454941</v>
      </c>
      <c r="AF25" s="15">
        <v>84076</v>
      </c>
      <c r="AG25" s="15">
        <v>0</v>
      </c>
      <c r="AH25" s="284">
        <v>4088043</v>
      </c>
      <c r="AI25" s="113">
        <v>3337918</v>
      </c>
      <c r="AJ25" s="15">
        <v>485673</v>
      </c>
      <c r="AK25" s="15">
        <v>126998</v>
      </c>
      <c r="AL25" s="15">
        <v>0</v>
      </c>
      <c r="AM25" s="284">
        <v>3950589</v>
      </c>
      <c r="AN25" s="113">
        <v>3977863</v>
      </c>
      <c r="AO25" s="15">
        <v>828489</v>
      </c>
      <c r="AP25" s="15">
        <v>31045</v>
      </c>
      <c r="AQ25" s="15">
        <v>0</v>
      </c>
      <c r="AR25" s="284">
        <v>4837397</v>
      </c>
      <c r="AS25" s="113">
        <v>3404449</v>
      </c>
      <c r="AT25" s="15">
        <v>503949</v>
      </c>
      <c r="AU25" s="15">
        <v>73715</v>
      </c>
      <c r="AV25" s="15">
        <v>0</v>
      </c>
      <c r="AW25" s="284">
        <v>3982113</v>
      </c>
      <c r="AX25" s="113">
        <v>2993100</v>
      </c>
      <c r="AY25" s="15">
        <v>602865</v>
      </c>
      <c r="AZ25" s="15">
        <v>147861</v>
      </c>
      <c r="BA25" s="15">
        <v>0</v>
      </c>
      <c r="BB25" s="284">
        <v>3743826</v>
      </c>
      <c r="BC25" s="113">
        <v>3947413</v>
      </c>
      <c r="BD25" s="15">
        <v>942508</v>
      </c>
      <c r="BE25" s="15">
        <v>104728</v>
      </c>
      <c r="BF25" s="15">
        <v>0</v>
      </c>
      <c r="BG25" s="284">
        <v>4994649</v>
      </c>
      <c r="BH25" s="113">
        <v>3804794</v>
      </c>
      <c r="BI25" s="15">
        <v>715909</v>
      </c>
      <c r="BJ25" s="15">
        <v>39319</v>
      </c>
      <c r="BK25" s="15">
        <v>0</v>
      </c>
      <c r="BL25" s="284">
        <v>4560022</v>
      </c>
      <c r="BM25" s="113">
        <v>4227871</v>
      </c>
      <c r="BN25" s="15">
        <v>-311433</v>
      </c>
      <c r="BO25" s="15">
        <v>546524</v>
      </c>
      <c r="BP25" s="15">
        <v>27011</v>
      </c>
      <c r="BQ25" s="284">
        <v>4489973</v>
      </c>
      <c r="BR25" s="113">
        <v>42763210</v>
      </c>
      <c r="BS25" s="33">
        <v>6674370</v>
      </c>
      <c r="BT25" s="15">
        <v>1417666</v>
      </c>
      <c r="BU25" s="15">
        <v>27011</v>
      </c>
      <c r="BV25" s="113">
        <v>50882257</v>
      </c>
      <c r="BW25" s="244"/>
      <c r="BX25" s="238">
        <v>100</v>
      </c>
      <c r="BZ25" s="12">
        <v>0</v>
      </c>
      <c r="CA25" s="12">
        <v>0</v>
      </c>
      <c r="CB25" s="12">
        <v>0</v>
      </c>
      <c r="CC25" s="12">
        <v>0</v>
      </c>
    </row>
    <row r="26" spans="1:81" x14ac:dyDescent="0.2">
      <c r="A26" s="395">
        <v>20</v>
      </c>
      <c r="B26" s="185" t="s">
        <v>216</v>
      </c>
      <c r="D26" s="342"/>
      <c r="E26" s="325">
        <v>332584</v>
      </c>
      <c r="F26" s="33">
        <v>1670</v>
      </c>
      <c r="G26" s="33">
        <v>2356</v>
      </c>
      <c r="H26" s="33">
        <v>0</v>
      </c>
      <c r="I26" s="284">
        <v>336610</v>
      </c>
      <c r="J26" s="113">
        <v>24834</v>
      </c>
      <c r="K26" s="15">
        <v>35</v>
      </c>
      <c r="L26" s="15">
        <v>24</v>
      </c>
      <c r="M26" s="15">
        <v>0</v>
      </c>
      <c r="N26" s="284">
        <v>24893</v>
      </c>
      <c r="O26" s="15">
        <v>21484</v>
      </c>
      <c r="P26" s="15">
        <v>49</v>
      </c>
      <c r="Q26" s="15">
        <v>6</v>
      </c>
      <c r="R26" s="15">
        <v>0</v>
      </c>
      <c r="S26" s="284">
        <v>21539</v>
      </c>
      <c r="T26" s="113">
        <v>21968</v>
      </c>
      <c r="U26" s="15">
        <v>1</v>
      </c>
      <c r="V26" s="15">
        <v>0</v>
      </c>
      <c r="W26" s="15">
        <v>0</v>
      </c>
      <c r="X26" s="284">
        <v>21969</v>
      </c>
      <c r="Y26" s="113">
        <v>22983</v>
      </c>
      <c r="Z26" s="15">
        <v>162</v>
      </c>
      <c r="AA26" s="15">
        <v>0</v>
      </c>
      <c r="AB26" s="15">
        <v>0</v>
      </c>
      <c r="AC26" s="284">
        <v>23145</v>
      </c>
      <c r="AD26" s="113">
        <v>24384</v>
      </c>
      <c r="AE26" s="15">
        <v>788</v>
      </c>
      <c r="AF26" s="15">
        <v>795</v>
      </c>
      <c r="AG26" s="15">
        <v>0</v>
      </c>
      <c r="AH26" s="284">
        <v>25967</v>
      </c>
      <c r="AI26" s="113">
        <v>26851</v>
      </c>
      <c r="AJ26" s="15">
        <v>28</v>
      </c>
      <c r="AK26" s="15">
        <v>672</v>
      </c>
      <c r="AL26" s="15">
        <v>0</v>
      </c>
      <c r="AM26" s="284">
        <v>27551</v>
      </c>
      <c r="AN26" s="113">
        <v>23826</v>
      </c>
      <c r="AO26" s="15">
        <v>46</v>
      </c>
      <c r="AP26" s="15">
        <v>37</v>
      </c>
      <c r="AQ26" s="15">
        <v>0</v>
      </c>
      <c r="AR26" s="284">
        <v>23909</v>
      </c>
      <c r="AS26" s="113">
        <v>21510</v>
      </c>
      <c r="AT26" s="15">
        <v>9</v>
      </c>
      <c r="AU26" s="15">
        <v>0</v>
      </c>
      <c r="AV26" s="15">
        <v>0</v>
      </c>
      <c r="AW26" s="284">
        <v>21519</v>
      </c>
      <c r="AX26" s="113">
        <v>22274</v>
      </c>
      <c r="AY26" s="15">
        <v>7</v>
      </c>
      <c r="AZ26" s="15">
        <v>0</v>
      </c>
      <c r="BA26" s="15">
        <v>0</v>
      </c>
      <c r="BB26" s="284">
        <v>22281</v>
      </c>
      <c r="BC26" s="113">
        <v>21339</v>
      </c>
      <c r="BD26" s="15">
        <v>11</v>
      </c>
      <c r="BE26" s="15">
        <v>554</v>
      </c>
      <c r="BF26" s="15">
        <v>0</v>
      </c>
      <c r="BG26" s="284">
        <v>21904</v>
      </c>
      <c r="BH26" s="113">
        <v>54163</v>
      </c>
      <c r="BI26" s="15">
        <v>437</v>
      </c>
      <c r="BJ26" s="15">
        <v>268</v>
      </c>
      <c r="BK26" s="15">
        <v>0</v>
      </c>
      <c r="BL26" s="284">
        <v>54868</v>
      </c>
      <c r="BM26" s="113">
        <v>46968</v>
      </c>
      <c r="BN26" s="15">
        <v>97</v>
      </c>
      <c r="BO26" s="15">
        <v>0</v>
      </c>
      <c r="BP26" s="15">
        <v>0</v>
      </c>
      <c r="BQ26" s="284">
        <v>47065</v>
      </c>
      <c r="BR26" s="113">
        <v>332584</v>
      </c>
      <c r="BS26" s="33">
        <v>1670</v>
      </c>
      <c r="BT26" s="15">
        <v>2356</v>
      </c>
      <c r="BU26" s="15">
        <v>0</v>
      </c>
      <c r="BV26" s="113">
        <v>336610</v>
      </c>
      <c r="BW26" s="244"/>
      <c r="BX26" s="238">
        <v>100</v>
      </c>
      <c r="BZ26" s="12">
        <v>0</v>
      </c>
      <c r="CA26" s="12">
        <v>0</v>
      </c>
      <c r="CB26" s="12">
        <v>0</v>
      </c>
      <c r="CC26" s="12">
        <v>0</v>
      </c>
    </row>
    <row r="27" spans="1:81" x14ac:dyDescent="0.2">
      <c r="A27" s="395">
        <v>21</v>
      </c>
      <c r="B27" s="185" t="s">
        <v>217</v>
      </c>
      <c r="D27" s="342"/>
      <c r="E27" s="325">
        <v>14599089</v>
      </c>
      <c r="F27" s="33">
        <v>2969361</v>
      </c>
      <c r="G27" s="33">
        <v>608601</v>
      </c>
      <c r="H27" s="33">
        <v>10769</v>
      </c>
      <c r="I27" s="284">
        <v>18187820</v>
      </c>
      <c r="J27" s="113">
        <v>1047609</v>
      </c>
      <c r="K27" s="15">
        <v>246807</v>
      </c>
      <c r="L27" s="15">
        <v>58943</v>
      </c>
      <c r="M27" s="15">
        <v>20</v>
      </c>
      <c r="N27" s="284">
        <v>1353379</v>
      </c>
      <c r="O27" s="15">
        <v>987834</v>
      </c>
      <c r="P27" s="15">
        <v>235842</v>
      </c>
      <c r="Q27" s="15">
        <v>17899</v>
      </c>
      <c r="R27" s="15">
        <v>0</v>
      </c>
      <c r="S27" s="284">
        <v>1241575</v>
      </c>
      <c r="T27" s="113">
        <v>1108319</v>
      </c>
      <c r="U27" s="15">
        <v>238627</v>
      </c>
      <c r="V27" s="15">
        <v>31655</v>
      </c>
      <c r="W27" s="15">
        <v>282</v>
      </c>
      <c r="X27" s="284">
        <v>1378883</v>
      </c>
      <c r="Y27" s="113">
        <v>1227956</v>
      </c>
      <c r="Z27" s="15">
        <v>264202</v>
      </c>
      <c r="AA27" s="15">
        <v>27987</v>
      </c>
      <c r="AB27" s="15">
        <v>-203</v>
      </c>
      <c r="AC27" s="284">
        <v>1519942</v>
      </c>
      <c r="AD27" s="113">
        <v>1026461</v>
      </c>
      <c r="AE27" s="15">
        <v>245846</v>
      </c>
      <c r="AF27" s="15">
        <v>50761</v>
      </c>
      <c r="AG27" s="15">
        <v>109</v>
      </c>
      <c r="AH27" s="284">
        <v>1323177</v>
      </c>
      <c r="AI27" s="113">
        <v>1249034</v>
      </c>
      <c r="AJ27" s="15">
        <v>244693</v>
      </c>
      <c r="AK27" s="15">
        <v>37295</v>
      </c>
      <c r="AL27" s="15">
        <v>892</v>
      </c>
      <c r="AM27" s="284">
        <v>1531914</v>
      </c>
      <c r="AN27" s="113">
        <v>1050463</v>
      </c>
      <c r="AO27" s="15">
        <v>239708</v>
      </c>
      <c r="AP27" s="15">
        <v>33745</v>
      </c>
      <c r="AQ27" s="15">
        <v>144</v>
      </c>
      <c r="AR27" s="284">
        <v>1324060</v>
      </c>
      <c r="AS27" s="113">
        <v>1215423</v>
      </c>
      <c r="AT27" s="15">
        <v>242797</v>
      </c>
      <c r="AU27" s="15">
        <v>59962</v>
      </c>
      <c r="AV27" s="15">
        <v>2092</v>
      </c>
      <c r="AW27" s="284">
        <v>1520274</v>
      </c>
      <c r="AX27" s="113">
        <v>1320848</v>
      </c>
      <c r="AY27" s="15">
        <v>246613</v>
      </c>
      <c r="AZ27" s="15">
        <v>9587</v>
      </c>
      <c r="BA27" s="15">
        <v>21</v>
      </c>
      <c r="BB27" s="284">
        <v>1577069</v>
      </c>
      <c r="BC27" s="113">
        <v>1057100</v>
      </c>
      <c r="BD27" s="15">
        <v>251217</v>
      </c>
      <c r="BE27" s="15">
        <v>81727</v>
      </c>
      <c r="BF27" s="15">
        <v>16</v>
      </c>
      <c r="BG27" s="284">
        <v>1390060</v>
      </c>
      <c r="BH27" s="113">
        <v>1222001</v>
      </c>
      <c r="BI27" s="15">
        <v>248810</v>
      </c>
      <c r="BJ27" s="15">
        <v>36332</v>
      </c>
      <c r="BK27" s="15">
        <v>607</v>
      </c>
      <c r="BL27" s="284">
        <v>1507750</v>
      </c>
      <c r="BM27" s="113">
        <v>2086041</v>
      </c>
      <c r="BN27" s="15">
        <v>264199</v>
      </c>
      <c r="BO27" s="15">
        <v>162708</v>
      </c>
      <c r="BP27" s="15">
        <v>6789</v>
      </c>
      <c r="BQ27" s="284">
        <v>2519737</v>
      </c>
      <c r="BR27" s="113">
        <v>14599089</v>
      </c>
      <c r="BS27" s="33">
        <v>2969361</v>
      </c>
      <c r="BT27" s="15">
        <v>608601</v>
      </c>
      <c r="BU27" s="15">
        <v>10769</v>
      </c>
      <c r="BV27" s="113">
        <v>18187820</v>
      </c>
      <c r="BW27" s="244"/>
      <c r="BX27" s="238">
        <v>100</v>
      </c>
      <c r="BZ27" s="12">
        <v>0</v>
      </c>
      <c r="CA27" s="12">
        <v>0</v>
      </c>
      <c r="CB27" s="12">
        <v>0</v>
      </c>
      <c r="CC27" s="12">
        <v>0</v>
      </c>
    </row>
    <row r="28" spans="1:81" x14ac:dyDescent="0.2">
      <c r="A28" s="395">
        <v>22</v>
      </c>
      <c r="B28" s="7" t="s">
        <v>267</v>
      </c>
      <c r="D28" s="342"/>
      <c r="E28" s="325">
        <v>1035531</v>
      </c>
      <c r="F28" s="33">
        <v>3266</v>
      </c>
      <c r="G28" s="33">
        <v>95066</v>
      </c>
      <c r="H28" s="33">
        <v>24</v>
      </c>
      <c r="I28" s="284">
        <v>1133887</v>
      </c>
      <c r="J28" s="113">
        <v>68601</v>
      </c>
      <c r="K28" s="15">
        <v>302</v>
      </c>
      <c r="L28" s="15">
        <v>934</v>
      </c>
      <c r="M28" s="15">
        <v>0</v>
      </c>
      <c r="N28" s="284">
        <v>69837</v>
      </c>
      <c r="O28" s="15">
        <v>73422</v>
      </c>
      <c r="P28" s="15">
        <v>38</v>
      </c>
      <c r="Q28" s="15">
        <v>623</v>
      </c>
      <c r="R28" s="15">
        <v>24</v>
      </c>
      <c r="S28" s="284">
        <v>74107</v>
      </c>
      <c r="T28" s="113">
        <v>79779</v>
      </c>
      <c r="U28" s="15">
        <v>44</v>
      </c>
      <c r="V28" s="15">
        <v>2601</v>
      </c>
      <c r="W28" s="15">
        <v>0</v>
      </c>
      <c r="X28" s="284">
        <v>82424</v>
      </c>
      <c r="Y28" s="113">
        <v>82810</v>
      </c>
      <c r="Z28" s="15">
        <v>1478</v>
      </c>
      <c r="AA28" s="15">
        <v>5692</v>
      </c>
      <c r="AB28" s="15">
        <v>0</v>
      </c>
      <c r="AC28" s="284">
        <v>89980</v>
      </c>
      <c r="AD28" s="113">
        <v>92608</v>
      </c>
      <c r="AE28" s="15">
        <v>-295</v>
      </c>
      <c r="AF28" s="15">
        <v>19853</v>
      </c>
      <c r="AG28" s="15">
        <v>0</v>
      </c>
      <c r="AH28" s="284">
        <v>112166</v>
      </c>
      <c r="AI28" s="113">
        <v>82339</v>
      </c>
      <c r="AJ28" s="15">
        <v>48</v>
      </c>
      <c r="AK28" s="15">
        <v>6178</v>
      </c>
      <c r="AL28" s="15">
        <v>0</v>
      </c>
      <c r="AM28" s="284">
        <v>88565</v>
      </c>
      <c r="AN28" s="113">
        <v>87425</v>
      </c>
      <c r="AO28" s="15">
        <v>231</v>
      </c>
      <c r="AP28" s="15">
        <v>9702</v>
      </c>
      <c r="AQ28" s="15">
        <v>0</v>
      </c>
      <c r="AR28" s="284">
        <v>97358</v>
      </c>
      <c r="AS28" s="113">
        <v>79280</v>
      </c>
      <c r="AT28" s="15">
        <v>138</v>
      </c>
      <c r="AU28" s="15">
        <v>2628</v>
      </c>
      <c r="AV28" s="15">
        <v>0</v>
      </c>
      <c r="AW28" s="284">
        <v>82046</v>
      </c>
      <c r="AX28" s="113">
        <v>80448</v>
      </c>
      <c r="AY28" s="15">
        <v>392</v>
      </c>
      <c r="AZ28" s="15">
        <v>6977</v>
      </c>
      <c r="BA28" s="15">
        <v>0</v>
      </c>
      <c r="BB28" s="284">
        <v>87817</v>
      </c>
      <c r="BC28" s="113">
        <v>78691</v>
      </c>
      <c r="BD28" s="15">
        <v>77</v>
      </c>
      <c r="BE28" s="15">
        <v>5212</v>
      </c>
      <c r="BF28" s="15">
        <v>0</v>
      </c>
      <c r="BG28" s="284">
        <v>83980</v>
      </c>
      <c r="BH28" s="113">
        <v>89355</v>
      </c>
      <c r="BI28" s="15">
        <v>549</v>
      </c>
      <c r="BJ28" s="15">
        <v>9336</v>
      </c>
      <c r="BK28" s="15">
        <v>0</v>
      </c>
      <c r="BL28" s="284">
        <v>99240</v>
      </c>
      <c r="BM28" s="113">
        <v>140773</v>
      </c>
      <c r="BN28" s="15">
        <v>264</v>
      </c>
      <c r="BO28" s="15">
        <v>25330</v>
      </c>
      <c r="BP28" s="15">
        <v>0</v>
      </c>
      <c r="BQ28" s="284">
        <v>166367</v>
      </c>
      <c r="BR28" s="113">
        <v>1035531</v>
      </c>
      <c r="BS28" s="33">
        <v>3266</v>
      </c>
      <c r="BT28" s="15">
        <v>95066</v>
      </c>
      <c r="BU28" s="15">
        <v>24</v>
      </c>
      <c r="BV28" s="113">
        <v>1133887</v>
      </c>
      <c r="BW28" s="244"/>
      <c r="BX28" s="238">
        <v>100</v>
      </c>
      <c r="BZ28" s="12">
        <v>0</v>
      </c>
      <c r="CA28" s="12">
        <v>0</v>
      </c>
      <c r="CB28" s="12">
        <v>0</v>
      </c>
      <c r="CC28" s="12">
        <v>0</v>
      </c>
    </row>
    <row r="29" spans="1:81" x14ac:dyDescent="0.2">
      <c r="A29" s="395">
        <v>23</v>
      </c>
      <c r="B29" s="185" t="s">
        <v>220</v>
      </c>
      <c r="D29" s="342"/>
      <c r="E29" s="325">
        <v>92232130</v>
      </c>
      <c r="F29" s="33">
        <v>1368195</v>
      </c>
      <c r="G29" s="33">
        <v>2440586</v>
      </c>
      <c r="H29" s="33">
        <v>32306</v>
      </c>
      <c r="I29" s="284">
        <v>96073217</v>
      </c>
      <c r="J29" s="113">
        <v>7584822</v>
      </c>
      <c r="K29" s="15">
        <v>126582</v>
      </c>
      <c r="L29" s="15">
        <v>77961</v>
      </c>
      <c r="M29" s="15">
        <v>833</v>
      </c>
      <c r="N29" s="284">
        <v>7790198</v>
      </c>
      <c r="O29" s="15">
        <v>7378437</v>
      </c>
      <c r="P29" s="15">
        <v>109950</v>
      </c>
      <c r="Q29" s="15">
        <v>62539</v>
      </c>
      <c r="R29" s="15">
        <v>1248</v>
      </c>
      <c r="S29" s="284">
        <v>7552174</v>
      </c>
      <c r="T29" s="113">
        <v>7722221</v>
      </c>
      <c r="U29" s="15">
        <v>75464</v>
      </c>
      <c r="V29" s="15">
        <v>165924</v>
      </c>
      <c r="W29" s="15">
        <v>154</v>
      </c>
      <c r="X29" s="113">
        <v>7963763</v>
      </c>
      <c r="Y29" s="113">
        <v>7886220</v>
      </c>
      <c r="Z29" s="15">
        <v>148077</v>
      </c>
      <c r="AA29" s="15">
        <v>163921</v>
      </c>
      <c r="AB29" s="15">
        <v>1732</v>
      </c>
      <c r="AC29" s="284">
        <v>8199950</v>
      </c>
      <c r="AD29" s="113">
        <v>7276739</v>
      </c>
      <c r="AE29" s="15">
        <v>105180</v>
      </c>
      <c r="AF29" s="15">
        <v>125595</v>
      </c>
      <c r="AG29" s="15">
        <v>881</v>
      </c>
      <c r="AH29" s="284">
        <v>7508395</v>
      </c>
      <c r="AI29" s="113">
        <v>7181134</v>
      </c>
      <c r="AJ29" s="15">
        <v>102595</v>
      </c>
      <c r="AK29" s="15">
        <v>97674</v>
      </c>
      <c r="AL29" s="15">
        <v>534</v>
      </c>
      <c r="AM29" s="284">
        <v>7381937</v>
      </c>
      <c r="AN29" s="113">
        <v>7767415</v>
      </c>
      <c r="AO29" s="15">
        <v>177789</v>
      </c>
      <c r="AP29" s="15">
        <v>193976</v>
      </c>
      <c r="AQ29" s="15">
        <v>1256</v>
      </c>
      <c r="AR29" s="284">
        <v>8140436</v>
      </c>
      <c r="AS29" s="113">
        <v>7162635</v>
      </c>
      <c r="AT29" s="15">
        <v>103389</v>
      </c>
      <c r="AU29" s="15">
        <v>184574</v>
      </c>
      <c r="AV29" s="15">
        <v>8429</v>
      </c>
      <c r="AW29" s="284">
        <v>7459027</v>
      </c>
      <c r="AX29" s="113">
        <v>7653704</v>
      </c>
      <c r="AY29" s="15">
        <v>115101</v>
      </c>
      <c r="AZ29" s="15">
        <v>349001</v>
      </c>
      <c r="BA29" s="15">
        <v>1353</v>
      </c>
      <c r="BB29" s="284">
        <v>8119159</v>
      </c>
      <c r="BC29" s="113">
        <v>7632078</v>
      </c>
      <c r="BD29" s="15">
        <v>95367</v>
      </c>
      <c r="BE29" s="15">
        <v>312444</v>
      </c>
      <c r="BF29" s="15">
        <v>6848</v>
      </c>
      <c r="BG29" s="284">
        <v>8046737</v>
      </c>
      <c r="BH29" s="113">
        <v>8040210</v>
      </c>
      <c r="BI29" s="15">
        <v>109212</v>
      </c>
      <c r="BJ29" s="15">
        <v>215520</v>
      </c>
      <c r="BK29" s="15">
        <v>6491</v>
      </c>
      <c r="BL29" s="284">
        <v>8371433</v>
      </c>
      <c r="BM29" s="113">
        <v>8946515</v>
      </c>
      <c r="BN29" s="15">
        <v>99489</v>
      </c>
      <c r="BO29" s="15">
        <v>491457</v>
      </c>
      <c r="BP29" s="15">
        <v>2547</v>
      </c>
      <c r="BQ29" s="284">
        <v>9540008</v>
      </c>
      <c r="BR29" s="113">
        <v>92232130</v>
      </c>
      <c r="BS29" s="33">
        <v>1368195</v>
      </c>
      <c r="BT29" s="15">
        <v>2440586</v>
      </c>
      <c r="BU29" s="15">
        <v>32306</v>
      </c>
      <c r="BV29" s="113">
        <v>96073217</v>
      </c>
      <c r="BW29" s="244"/>
      <c r="BX29" s="238">
        <v>100</v>
      </c>
      <c r="BZ29" s="12">
        <v>0</v>
      </c>
      <c r="CA29" s="12">
        <v>0</v>
      </c>
      <c r="CB29" s="12">
        <v>0</v>
      </c>
      <c r="CC29" s="12">
        <v>0</v>
      </c>
    </row>
    <row r="30" spans="1:81" x14ac:dyDescent="0.2">
      <c r="A30" s="395">
        <v>24</v>
      </c>
      <c r="B30" s="185" t="s">
        <v>268</v>
      </c>
      <c r="D30" s="342"/>
      <c r="E30" s="325">
        <v>3069306</v>
      </c>
      <c r="F30" s="33">
        <v>4185490</v>
      </c>
      <c r="G30" s="33">
        <v>202276</v>
      </c>
      <c r="H30" s="33">
        <v>2928</v>
      </c>
      <c r="I30" s="284">
        <v>7460000</v>
      </c>
      <c r="J30" s="113">
        <v>309658</v>
      </c>
      <c r="K30" s="15">
        <v>549654</v>
      </c>
      <c r="L30" s="15">
        <v>8219</v>
      </c>
      <c r="M30" s="15">
        <v>0</v>
      </c>
      <c r="N30" s="284">
        <v>867531</v>
      </c>
      <c r="O30" s="15">
        <v>270415</v>
      </c>
      <c r="P30" s="15">
        <v>369038</v>
      </c>
      <c r="Q30" s="15">
        <v>20066</v>
      </c>
      <c r="R30" s="15">
        <v>17</v>
      </c>
      <c r="S30" s="284">
        <v>659536</v>
      </c>
      <c r="T30" s="113">
        <v>257411</v>
      </c>
      <c r="U30" s="15">
        <v>157097</v>
      </c>
      <c r="V30" s="15">
        <v>12852</v>
      </c>
      <c r="W30" s="15">
        <v>14</v>
      </c>
      <c r="X30" s="284">
        <v>427374</v>
      </c>
      <c r="Y30" s="113">
        <v>254616</v>
      </c>
      <c r="Z30" s="15">
        <v>127626</v>
      </c>
      <c r="AA30" s="15">
        <v>24567</v>
      </c>
      <c r="AB30" s="15">
        <v>3</v>
      </c>
      <c r="AC30" s="284">
        <v>406812</v>
      </c>
      <c r="AD30" s="113">
        <v>261910</v>
      </c>
      <c r="AE30" s="15">
        <v>898028</v>
      </c>
      <c r="AF30" s="15">
        <v>19103</v>
      </c>
      <c r="AG30" s="15">
        <v>116</v>
      </c>
      <c r="AH30" s="284">
        <v>1179157</v>
      </c>
      <c r="AI30" s="113">
        <v>238307</v>
      </c>
      <c r="AJ30" s="15">
        <v>90631</v>
      </c>
      <c r="AK30" s="15">
        <v>9568</v>
      </c>
      <c r="AL30" s="15">
        <v>23</v>
      </c>
      <c r="AM30" s="284">
        <v>338529</v>
      </c>
      <c r="AN30" s="113">
        <v>219257</v>
      </c>
      <c r="AO30" s="15">
        <v>918239</v>
      </c>
      <c r="AP30" s="15">
        <v>29482</v>
      </c>
      <c r="AQ30" s="15">
        <v>27</v>
      </c>
      <c r="AR30" s="284">
        <v>1167005</v>
      </c>
      <c r="AS30" s="113">
        <v>250456</v>
      </c>
      <c r="AT30" s="15">
        <v>89739</v>
      </c>
      <c r="AU30" s="15">
        <v>22610</v>
      </c>
      <c r="AV30" s="15">
        <v>20</v>
      </c>
      <c r="AW30" s="284">
        <v>362825</v>
      </c>
      <c r="AX30" s="113">
        <v>249862</v>
      </c>
      <c r="AY30" s="15">
        <v>93770</v>
      </c>
      <c r="AZ30" s="15">
        <v>14433</v>
      </c>
      <c r="BA30" s="15">
        <v>31</v>
      </c>
      <c r="BB30" s="284">
        <v>358096</v>
      </c>
      <c r="BC30" s="113">
        <v>229489</v>
      </c>
      <c r="BD30" s="15">
        <v>855251</v>
      </c>
      <c r="BE30" s="15">
        <v>10574</v>
      </c>
      <c r="BF30" s="15">
        <v>34</v>
      </c>
      <c r="BG30" s="284">
        <v>1095348</v>
      </c>
      <c r="BH30" s="113">
        <v>142168</v>
      </c>
      <c r="BI30" s="15">
        <v>2002</v>
      </c>
      <c r="BJ30" s="15">
        <v>16706</v>
      </c>
      <c r="BK30" s="15">
        <v>14</v>
      </c>
      <c r="BL30" s="284">
        <v>160890</v>
      </c>
      <c r="BM30" s="113">
        <v>385757</v>
      </c>
      <c r="BN30" s="15">
        <v>34415</v>
      </c>
      <c r="BO30" s="15">
        <v>14096</v>
      </c>
      <c r="BP30" s="15">
        <v>2629</v>
      </c>
      <c r="BQ30" s="284">
        <v>436897</v>
      </c>
      <c r="BR30" s="113">
        <v>3069306</v>
      </c>
      <c r="BS30" s="33">
        <v>4185490</v>
      </c>
      <c r="BT30" s="15">
        <v>202276</v>
      </c>
      <c r="BU30" s="15">
        <v>2928</v>
      </c>
      <c r="BV30" s="113">
        <v>7460000</v>
      </c>
      <c r="BW30" s="244"/>
      <c r="BX30" s="238">
        <v>100</v>
      </c>
      <c r="BZ30" s="12">
        <v>0</v>
      </c>
      <c r="CA30" s="12">
        <v>0</v>
      </c>
      <c r="CB30" s="12">
        <v>0</v>
      </c>
      <c r="CC30" s="12">
        <v>0</v>
      </c>
    </row>
    <row r="31" spans="1:81" x14ac:dyDescent="0.2">
      <c r="A31" s="395">
        <v>25</v>
      </c>
      <c r="B31" s="185" t="s">
        <v>269</v>
      </c>
      <c r="D31" s="342"/>
      <c r="E31" s="325">
        <v>124792</v>
      </c>
      <c r="F31" s="33">
        <v>840821</v>
      </c>
      <c r="G31" s="33">
        <v>746</v>
      </c>
      <c r="H31" s="33">
        <v>0</v>
      </c>
      <c r="I31" s="284">
        <v>966359</v>
      </c>
      <c r="J31" s="113">
        <v>12577</v>
      </c>
      <c r="K31" s="15">
        <v>160603</v>
      </c>
      <c r="L31" s="15">
        <v>38</v>
      </c>
      <c r="M31" s="15">
        <v>0</v>
      </c>
      <c r="N31" s="284">
        <v>173218</v>
      </c>
      <c r="O31" s="15">
        <v>8990</v>
      </c>
      <c r="P31" s="15">
        <v>72420</v>
      </c>
      <c r="Q31" s="15">
        <v>76</v>
      </c>
      <c r="R31" s="15">
        <v>0</v>
      </c>
      <c r="S31" s="284">
        <v>81486</v>
      </c>
      <c r="T31" s="113">
        <v>10450</v>
      </c>
      <c r="U31" s="15">
        <v>17500</v>
      </c>
      <c r="V31" s="15">
        <v>59</v>
      </c>
      <c r="W31" s="15">
        <v>0</v>
      </c>
      <c r="X31" s="284">
        <v>28009</v>
      </c>
      <c r="Y31" s="113">
        <v>12028</v>
      </c>
      <c r="Z31" s="15">
        <v>100656</v>
      </c>
      <c r="AA31" s="15">
        <v>58</v>
      </c>
      <c r="AB31" s="15">
        <v>0</v>
      </c>
      <c r="AC31" s="284">
        <v>112742</v>
      </c>
      <c r="AD31" s="113">
        <v>10832</v>
      </c>
      <c r="AE31" s="15">
        <v>113420</v>
      </c>
      <c r="AF31" s="15">
        <v>47</v>
      </c>
      <c r="AG31" s="15">
        <v>0</v>
      </c>
      <c r="AH31" s="284">
        <v>124299</v>
      </c>
      <c r="AI31" s="113">
        <v>12479</v>
      </c>
      <c r="AJ31" s="15">
        <v>17504</v>
      </c>
      <c r="AK31" s="15">
        <v>65</v>
      </c>
      <c r="AL31" s="15">
        <v>0</v>
      </c>
      <c r="AM31" s="284">
        <v>30048</v>
      </c>
      <c r="AN31" s="113">
        <v>8628</v>
      </c>
      <c r="AO31" s="15">
        <v>100592</v>
      </c>
      <c r="AP31" s="15">
        <v>53</v>
      </c>
      <c r="AQ31" s="15">
        <v>0</v>
      </c>
      <c r="AR31" s="284">
        <v>109273</v>
      </c>
      <c r="AS31" s="113">
        <v>9780</v>
      </c>
      <c r="AT31" s="15">
        <v>92671</v>
      </c>
      <c r="AU31" s="15">
        <v>50</v>
      </c>
      <c r="AV31" s="15">
        <v>0</v>
      </c>
      <c r="AW31" s="284">
        <v>102501</v>
      </c>
      <c r="AX31" s="113">
        <v>8874</v>
      </c>
      <c r="AY31" s="15">
        <v>0</v>
      </c>
      <c r="AZ31" s="15">
        <v>50</v>
      </c>
      <c r="BA31" s="15">
        <v>0</v>
      </c>
      <c r="BB31" s="284">
        <v>8924</v>
      </c>
      <c r="BC31" s="113">
        <v>9465</v>
      </c>
      <c r="BD31" s="15">
        <v>105092</v>
      </c>
      <c r="BE31" s="15">
        <v>49</v>
      </c>
      <c r="BF31" s="15">
        <v>0</v>
      </c>
      <c r="BG31" s="284">
        <v>114606</v>
      </c>
      <c r="BH31" s="113">
        <v>8319</v>
      </c>
      <c r="BI31" s="15">
        <v>60364</v>
      </c>
      <c r="BJ31" s="15">
        <v>50</v>
      </c>
      <c r="BK31" s="15">
        <v>0</v>
      </c>
      <c r="BL31" s="284">
        <v>68733</v>
      </c>
      <c r="BM31" s="113">
        <v>12370</v>
      </c>
      <c r="BN31" s="15">
        <v>-1</v>
      </c>
      <c r="BO31" s="15">
        <v>151</v>
      </c>
      <c r="BP31" s="15">
        <v>0</v>
      </c>
      <c r="BQ31" s="284">
        <v>12520</v>
      </c>
      <c r="BR31" s="113">
        <v>124792</v>
      </c>
      <c r="BS31" s="33">
        <v>840821</v>
      </c>
      <c r="BT31" s="15">
        <v>746</v>
      </c>
      <c r="BU31" s="15">
        <v>0</v>
      </c>
      <c r="BV31" s="113">
        <v>966359</v>
      </c>
      <c r="BW31" s="244"/>
      <c r="BX31" s="238">
        <v>100</v>
      </c>
      <c r="BZ31" s="12">
        <v>0</v>
      </c>
      <c r="CA31" s="12">
        <v>0</v>
      </c>
      <c r="CB31" s="12">
        <v>0</v>
      </c>
      <c r="CC31" s="12">
        <v>0</v>
      </c>
    </row>
    <row r="32" spans="1:81" x14ac:dyDescent="0.2">
      <c r="A32" s="395">
        <v>26</v>
      </c>
      <c r="B32" s="185" t="s">
        <v>270</v>
      </c>
      <c r="D32" s="342"/>
      <c r="E32" s="325">
        <v>615208</v>
      </c>
      <c r="F32" s="33">
        <v>6309774</v>
      </c>
      <c r="G32" s="33">
        <v>2237</v>
      </c>
      <c r="H32" s="33">
        <v>11</v>
      </c>
      <c r="I32" s="284">
        <v>6927230</v>
      </c>
      <c r="J32" s="113">
        <v>34656</v>
      </c>
      <c r="K32" s="15">
        <v>476094</v>
      </c>
      <c r="L32" s="15">
        <v>0</v>
      </c>
      <c r="M32" s="15">
        <v>0</v>
      </c>
      <c r="N32" s="284">
        <v>510750</v>
      </c>
      <c r="O32" s="15">
        <v>41232</v>
      </c>
      <c r="P32" s="15">
        <v>613287</v>
      </c>
      <c r="Q32" s="15">
        <v>495</v>
      </c>
      <c r="R32" s="15">
        <v>0</v>
      </c>
      <c r="S32" s="284">
        <v>655014</v>
      </c>
      <c r="T32" s="113">
        <v>42340</v>
      </c>
      <c r="U32" s="15">
        <v>94049</v>
      </c>
      <c r="V32" s="15">
        <v>294</v>
      </c>
      <c r="W32" s="15">
        <v>0</v>
      </c>
      <c r="X32" s="284">
        <v>136683</v>
      </c>
      <c r="Y32" s="113">
        <v>41777</v>
      </c>
      <c r="Z32" s="15">
        <v>740658</v>
      </c>
      <c r="AA32" s="15">
        <v>127</v>
      </c>
      <c r="AB32" s="15">
        <v>0</v>
      </c>
      <c r="AC32" s="284">
        <v>782562</v>
      </c>
      <c r="AD32" s="113">
        <v>42470</v>
      </c>
      <c r="AE32" s="15">
        <v>793677</v>
      </c>
      <c r="AF32" s="15">
        <v>433</v>
      </c>
      <c r="AG32" s="15">
        <v>8</v>
      </c>
      <c r="AH32" s="284">
        <v>836588</v>
      </c>
      <c r="AI32" s="113">
        <v>63596</v>
      </c>
      <c r="AJ32" s="15">
        <v>110403</v>
      </c>
      <c r="AK32" s="15">
        <v>240</v>
      </c>
      <c r="AL32" s="15">
        <v>0</v>
      </c>
      <c r="AM32" s="284">
        <v>174239</v>
      </c>
      <c r="AN32" s="113">
        <v>57457</v>
      </c>
      <c r="AO32" s="15">
        <v>982087</v>
      </c>
      <c r="AP32" s="15">
        <v>103</v>
      </c>
      <c r="AQ32" s="15">
        <v>0</v>
      </c>
      <c r="AR32" s="284">
        <v>1039647</v>
      </c>
      <c r="AS32" s="113">
        <v>43483</v>
      </c>
      <c r="AT32" s="15">
        <v>677986</v>
      </c>
      <c r="AU32" s="15">
        <v>0</v>
      </c>
      <c r="AV32" s="15">
        <v>0</v>
      </c>
      <c r="AW32" s="284">
        <v>721469</v>
      </c>
      <c r="AX32" s="113">
        <v>79933</v>
      </c>
      <c r="AY32" s="15">
        <v>850901</v>
      </c>
      <c r="AZ32" s="15">
        <v>328</v>
      </c>
      <c r="BA32" s="15">
        <v>0</v>
      </c>
      <c r="BB32" s="284">
        <v>931162</v>
      </c>
      <c r="BC32" s="113">
        <v>35073</v>
      </c>
      <c r="BD32" s="15">
        <v>416</v>
      </c>
      <c r="BE32" s="15">
        <v>23</v>
      </c>
      <c r="BF32" s="15">
        <v>0</v>
      </c>
      <c r="BG32" s="284">
        <v>35512</v>
      </c>
      <c r="BH32" s="113">
        <v>49298</v>
      </c>
      <c r="BI32" s="15">
        <v>653203</v>
      </c>
      <c r="BJ32" s="15">
        <v>36</v>
      </c>
      <c r="BK32" s="15">
        <v>0</v>
      </c>
      <c r="BL32" s="284">
        <v>702537</v>
      </c>
      <c r="BM32" s="113">
        <v>83893</v>
      </c>
      <c r="BN32" s="15">
        <v>317013</v>
      </c>
      <c r="BO32" s="15">
        <v>158</v>
      </c>
      <c r="BP32" s="15">
        <v>3</v>
      </c>
      <c r="BQ32" s="284">
        <v>401067</v>
      </c>
      <c r="BR32" s="113">
        <v>615208</v>
      </c>
      <c r="BS32" s="33">
        <v>6309774</v>
      </c>
      <c r="BT32" s="15">
        <v>2237</v>
      </c>
      <c r="BU32" s="15">
        <v>11</v>
      </c>
      <c r="BV32" s="113">
        <v>6927230</v>
      </c>
      <c r="BW32" s="244"/>
      <c r="BX32" s="238">
        <v>100</v>
      </c>
      <c r="BZ32" s="12">
        <v>0</v>
      </c>
      <c r="CA32" s="12">
        <v>0</v>
      </c>
      <c r="CB32" s="12">
        <v>0</v>
      </c>
      <c r="CC32" s="12">
        <v>0</v>
      </c>
    </row>
    <row r="33" spans="1:81" x14ac:dyDescent="0.2">
      <c r="A33" s="395">
        <v>27</v>
      </c>
      <c r="B33" s="368" t="s">
        <v>271</v>
      </c>
      <c r="D33" s="140"/>
      <c r="E33" s="325">
        <v>4745830</v>
      </c>
      <c r="F33" s="33">
        <v>2030324</v>
      </c>
      <c r="G33" s="33">
        <v>576725</v>
      </c>
      <c r="H33" s="33">
        <v>13768</v>
      </c>
      <c r="I33" s="284">
        <v>7366647</v>
      </c>
      <c r="J33" s="113">
        <v>152643</v>
      </c>
      <c r="K33" s="15">
        <v>126597</v>
      </c>
      <c r="L33" s="15">
        <v>69</v>
      </c>
      <c r="M33" s="15">
        <v>0</v>
      </c>
      <c r="N33" s="284">
        <v>279309</v>
      </c>
      <c r="O33" s="15">
        <v>413177</v>
      </c>
      <c r="P33" s="15">
        <v>141813</v>
      </c>
      <c r="Q33" s="15">
        <v>1106</v>
      </c>
      <c r="R33" s="15">
        <v>0</v>
      </c>
      <c r="S33" s="284">
        <v>556096</v>
      </c>
      <c r="T33" s="113">
        <v>303803</v>
      </c>
      <c r="U33" s="15">
        <v>64958</v>
      </c>
      <c r="V33" s="15">
        <v>26154</v>
      </c>
      <c r="W33" s="15">
        <v>0</v>
      </c>
      <c r="X33" s="284">
        <v>394915</v>
      </c>
      <c r="Y33" s="113">
        <v>463602</v>
      </c>
      <c r="Z33" s="15">
        <v>110638</v>
      </c>
      <c r="AA33" s="15">
        <v>17527</v>
      </c>
      <c r="AB33" s="15">
        <v>0</v>
      </c>
      <c r="AC33" s="284">
        <v>591767</v>
      </c>
      <c r="AD33" s="113">
        <v>276602</v>
      </c>
      <c r="AE33" s="15">
        <v>64335</v>
      </c>
      <c r="AF33" s="15">
        <v>18336</v>
      </c>
      <c r="AG33" s="15">
        <v>0</v>
      </c>
      <c r="AH33" s="284">
        <v>359273</v>
      </c>
      <c r="AI33" s="113">
        <v>411961</v>
      </c>
      <c r="AJ33" s="15">
        <v>89756</v>
      </c>
      <c r="AK33" s="15">
        <v>26648</v>
      </c>
      <c r="AL33" s="15">
        <v>1534</v>
      </c>
      <c r="AM33" s="284">
        <v>529899</v>
      </c>
      <c r="AN33" s="113">
        <v>572272</v>
      </c>
      <c r="AO33" s="15">
        <v>186771</v>
      </c>
      <c r="AP33" s="15">
        <v>17033</v>
      </c>
      <c r="AQ33" s="15">
        <v>0</v>
      </c>
      <c r="AR33" s="284">
        <v>776076</v>
      </c>
      <c r="AS33" s="113">
        <v>294636</v>
      </c>
      <c r="AT33" s="15">
        <v>97982</v>
      </c>
      <c r="AU33" s="15">
        <v>16449</v>
      </c>
      <c r="AV33" s="15">
        <v>1</v>
      </c>
      <c r="AW33" s="284">
        <v>409068</v>
      </c>
      <c r="AX33" s="113">
        <v>538931</v>
      </c>
      <c r="AY33" s="15">
        <v>320168</v>
      </c>
      <c r="AZ33" s="15">
        <v>13730</v>
      </c>
      <c r="BA33" s="15">
        <v>0</v>
      </c>
      <c r="BB33" s="284">
        <v>872829</v>
      </c>
      <c r="BC33" s="113">
        <v>409919</v>
      </c>
      <c r="BD33" s="15">
        <v>257841</v>
      </c>
      <c r="BE33" s="15">
        <v>1188</v>
      </c>
      <c r="BF33" s="15">
        <v>0</v>
      </c>
      <c r="BG33" s="284">
        <v>668948</v>
      </c>
      <c r="BH33" s="113">
        <v>477368</v>
      </c>
      <c r="BI33" s="15">
        <v>186566</v>
      </c>
      <c r="BJ33" s="15">
        <v>30874</v>
      </c>
      <c r="BK33" s="15">
        <v>8</v>
      </c>
      <c r="BL33" s="284">
        <v>694816</v>
      </c>
      <c r="BM33" s="113">
        <v>430916</v>
      </c>
      <c r="BN33" s="15">
        <v>382899</v>
      </c>
      <c r="BO33" s="15">
        <v>407611</v>
      </c>
      <c r="BP33" s="15">
        <v>12225</v>
      </c>
      <c r="BQ33" s="284">
        <v>1233651</v>
      </c>
      <c r="BR33" s="113">
        <v>4745830</v>
      </c>
      <c r="BS33" s="33">
        <v>2030324</v>
      </c>
      <c r="BT33" s="15">
        <v>576725</v>
      </c>
      <c r="BU33" s="15">
        <v>13768</v>
      </c>
      <c r="BV33" s="113">
        <v>7366647</v>
      </c>
      <c r="BW33" s="244"/>
      <c r="BX33" s="238">
        <v>100</v>
      </c>
      <c r="BZ33" s="12">
        <v>0</v>
      </c>
      <c r="CA33" s="12">
        <v>0</v>
      </c>
      <c r="CB33" s="12">
        <v>0</v>
      </c>
      <c r="CC33" s="12">
        <v>0</v>
      </c>
    </row>
    <row r="34" spans="1:81" x14ac:dyDescent="0.2">
      <c r="A34" s="395">
        <v>28</v>
      </c>
      <c r="B34" s="368" t="s">
        <v>272</v>
      </c>
      <c r="D34" s="342"/>
      <c r="E34" s="325">
        <v>1833326</v>
      </c>
      <c r="F34" s="33">
        <v>1338288</v>
      </c>
      <c r="G34" s="33">
        <v>43145</v>
      </c>
      <c r="H34" s="33">
        <v>1118</v>
      </c>
      <c r="I34" s="284">
        <v>3215877</v>
      </c>
      <c r="J34" s="113">
        <v>125523</v>
      </c>
      <c r="K34" s="15">
        <v>292413</v>
      </c>
      <c r="L34" s="15">
        <v>628</v>
      </c>
      <c r="M34" s="15">
        <v>1</v>
      </c>
      <c r="N34" s="284">
        <v>418565</v>
      </c>
      <c r="O34" s="15">
        <v>149186</v>
      </c>
      <c r="P34" s="15">
        <v>2085</v>
      </c>
      <c r="Q34" s="15">
        <v>2847</v>
      </c>
      <c r="R34" s="15">
        <v>60</v>
      </c>
      <c r="S34" s="284">
        <v>154178</v>
      </c>
      <c r="T34" s="113">
        <v>133260</v>
      </c>
      <c r="U34" s="15">
        <v>52148</v>
      </c>
      <c r="V34" s="15">
        <v>379</v>
      </c>
      <c r="W34" s="15">
        <v>114</v>
      </c>
      <c r="X34" s="284">
        <v>185901</v>
      </c>
      <c r="Y34" s="113">
        <v>161126</v>
      </c>
      <c r="Z34" s="15">
        <v>2994</v>
      </c>
      <c r="AA34" s="15">
        <v>10417</v>
      </c>
      <c r="AB34" s="15">
        <v>-3</v>
      </c>
      <c r="AC34" s="284">
        <v>174534</v>
      </c>
      <c r="AD34" s="113">
        <v>142292</v>
      </c>
      <c r="AE34" s="15">
        <v>296631</v>
      </c>
      <c r="AF34" s="15">
        <v>2945</v>
      </c>
      <c r="AG34" s="15">
        <v>43</v>
      </c>
      <c r="AH34" s="284">
        <v>441911</v>
      </c>
      <c r="AI34" s="113">
        <v>153646</v>
      </c>
      <c r="AJ34" s="15">
        <v>5014</v>
      </c>
      <c r="AK34" s="15">
        <v>3527</v>
      </c>
      <c r="AL34" s="15">
        <v>12</v>
      </c>
      <c r="AM34" s="284">
        <v>162199</v>
      </c>
      <c r="AN34" s="113">
        <v>150328</v>
      </c>
      <c r="AO34" s="15">
        <v>324248</v>
      </c>
      <c r="AP34" s="15">
        <v>5471</v>
      </c>
      <c r="AQ34" s="15">
        <v>25</v>
      </c>
      <c r="AR34" s="284">
        <v>480072</v>
      </c>
      <c r="AS34" s="113">
        <v>155752</v>
      </c>
      <c r="AT34" s="15">
        <v>17774</v>
      </c>
      <c r="AU34" s="15">
        <v>1157</v>
      </c>
      <c r="AV34" s="15">
        <v>5</v>
      </c>
      <c r="AW34" s="284">
        <v>174688</v>
      </c>
      <c r="AX34" s="113">
        <v>150059</v>
      </c>
      <c r="AY34" s="15">
        <v>24462</v>
      </c>
      <c r="AZ34" s="15">
        <v>819</v>
      </c>
      <c r="BA34" s="15">
        <v>3</v>
      </c>
      <c r="BB34" s="284">
        <v>175343</v>
      </c>
      <c r="BC34" s="113">
        <v>138742</v>
      </c>
      <c r="BD34" s="15">
        <v>37393</v>
      </c>
      <c r="BE34" s="15">
        <v>764</v>
      </c>
      <c r="BF34" s="15">
        <v>2</v>
      </c>
      <c r="BG34" s="284">
        <v>176901</v>
      </c>
      <c r="BH34" s="113">
        <v>161193</v>
      </c>
      <c r="BI34" s="15">
        <v>251978</v>
      </c>
      <c r="BJ34" s="15">
        <v>6054</v>
      </c>
      <c r="BK34" s="15">
        <v>2</v>
      </c>
      <c r="BL34" s="284">
        <v>419227</v>
      </c>
      <c r="BM34" s="113">
        <v>212219</v>
      </c>
      <c r="BN34" s="15">
        <v>31148</v>
      </c>
      <c r="BO34" s="15">
        <v>8137</v>
      </c>
      <c r="BP34" s="15">
        <v>854</v>
      </c>
      <c r="BQ34" s="284">
        <v>252358</v>
      </c>
      <c r="BR34" s="113">
        <v>1833326</v>
      </c>
      <c r="BS34" s="33">
        <v>1338288</v>
      </c>
      <c r="BT34" s="15">
        <v>43145</v>
      </c>
      <c r="BU34" s="15">
        <v>1118</v>
      </c>
      <c r="BV34" s="113">
        <v>3215877</v>
      </c>
      <c r="BW34" s="244"/>
      <c r="BX34" s="238">
        <v>100</v>
      </c>
      <c r="BZ34" s="12">
        <v>0</v>
      </c>
      <c r="CA34" s="12">
        <v>0</v>
      </c>
      <c r="CB34" s="12">
        <v>0</v>
      </c>
      <c r="CC34" s="12">
        <v>0</v>
      </c>
    </row>
    <row r="35" spans="1:81" x14ac:dyDescent="0.2">
      <c r="A35" s="395">
        <v>29</v>
      </c>
      <c r="B35" s="185" t="s">
        <v>273</v>
      </c>
      <c r="D35" s="342"/>
      <c r="E35" s="325">
        <v>937330</v>
      </c>
      <c r="F35" s="33">
        <v>1048651</v>
      </c>
      <c r="G35" s="33">
        <v>2238</v>
      </c>
      <c r="H35" s="33">
        <v>73</v>
      </c>
      <c r="I35" s="284">
        <v>1988292</v>
      </c>
      <c r="J35" s="113">
        <v>91734</v>
      </c>
      <c r="K35" s="15">
        <v>200010</v>
      </c>
      <c r="L35" s="15">
        <v>133</v>
      </c>
      <c r="M35" s="15">
        <v>0</v>
      </c>
      <c r="N35" s="284">
        <v>291877</v>
      </c>
      <c r="O35" s="15">
        <v>71355</v>
      </c>
      <c r="P35" s="15">
        <v>76379</v>
      </c>
      <c r="Q35" s="15">
        <v>569</v>
      </c>
      <c r="R35" s="15">
        <v>0</v>
      </c>
      <c r="S35" s="284">
        <v>148303</v>
      </c>
      <c r="T35" s="113">
        <v>81849</v>
      </c>
      <c r="U35" s="15">
        <v>64821</v>
      </c>
      <c r="V35" s="15">
        <v>0</v>
      </c>
      <c r="W35" s="15">
        <v>0</v>
      </c>
      <c r="X35" s="284">
        <v>146670</v>
      </c>
      <c r="Y35" s="113">
        <v>81415</v>
      </c>
      <c r="Z35" s="15">
        <v>163708</v>
      </c>
      <c r="AA35" s="15">
        <v>268</v>
      </c>
      <c r="AB35" s="15">
        <v>0</v>
      </c>
      <c r="AC35" s="284">
        <v>245391</v>
      </c>
      <c r="AD35" s="113">
        <v>70428</v>
      </c>
      <c r="AE35" s="15">
        <v>77762</v>
      </c>
      <c r="AF35" s="15">
        <v>34</v>
      </c>
      <c r="AG35" s="15">
        <v>0</v>
      </c>
      <c r="AH35" s="284">
        <v>148224</v>
      </c>
      <c r="AI35" s="113">
        <v>72692</v>
      </c>
      <c r="AJ35" s="15">
        <v>62024</v>
      </c>
      <c r="AK35" s="15">
        <v>49</v>
      </c>
      <c r="AL35" s="15">
        <v>0</v>
      </c>
      <c r="AM35" s="284">
        <v>134765</v>
      </c>
      <c r="AN35" s="113">
        <v>87051</v>
      </c>
      <c r="AO35" s="15">
        <v>62856</v>
      </c>
      <c r="AP35" s="15">
        <v>195</v>
      </c>
      <c r="AQ35" s="15">
        <v>3</v>
      </c>
      <c r="AR35" s="284">
        <v>150105</v>
      </c>
      <c r="AS35" s="113">
        <v>73365</v>
      </c>
      <c r="AT35" s="15">
        <v>55587</v>
      </c>
      <c r="AU35" s="15">
        <v>267</v>
      </c>
      <c r="AV35" s="15">
        <v>70</v>
      </c>
      <c r="AW35" s="284">
        <v>129289</v>
      </c>
      <c r="AX35" s="113">
        <v>84975</v>
      </c>
      <c r="AY35" s="15">
        <v>66619</v>
      </c>
      <c r="AZ35" s="15">
        <v>74</v>
      </c>
      <c r="BA35" s="15">
        <v>0</v>
      </c>
      <c r="BB35" s="284">
        <v>151668</v>
      </c>
      <c r="BC35" s="113">
        <v>88293</v>
      </c>
      <c r="BD35" s="15">
        <v>72994</v>
      </c>
      <c r="BE35" s="15">
        <v>177</v>
      </c>
      <c r="BF35" s="15">
        <v>0</v>
      </c>
      <c r="BG35" s="284">
        <v>161464</v>
      </c>
      <c r="BH35" s="113">
        <v>71273</v>
      </c>
      <c r="BI35" s="15">
        <v>75565</v>
      </c>
      <c r="BJ35" s="15">
        <v>433</v>
      </c>
      <c r="BK35" s="15">
        <v>0</v>
      </c>
      <c r="BL35" s="284">
        <v>147271</v>
      </c>
      <c r="BM35" s="113">
        <v>62900</v>
      </c>
      <c r="BN35" s="15">
        <v>70326</v>
      </c>
      <c r="BO35" s="15">
        <v>39</v>
      </c>
      <c r="BP35" s="15">
        <v>0</v>
      </c>
      <c r="BQ35" s="284">
        <v>133265</v>
      </c>
      <c r="BR35" s="113">
        <v>937330</v>
      </c>
      <c r="BS35" s="33">
        <v>1048651</v>
      </c>
      <c r="BT35" s="15">
        <v>2238</v>
      </c>
      <c r="BU35" s="15">
        <v>73</v>
      </c>
      <c r="BV35" s="113">
        <v>1988292</v>
      </c>
      <c r="BW35" s="244"/>
      <c r="BX35" s="238">
        <v>100</v>
      </c>
      <c r="BZ35" s="12">
        <v>0</v>
      </c>
      <c r="CA35" s="12">
        <v>0</v>
      </c>
      <c r="CB35" s="12">
        <v>0</v>
      </c>
      <c r="CC35" s="12">
        <v>0</v>
      </c>
    </row>
    <row r="36" spans="1:81" x14ac:dyDescent="0.2">
      <c r="A36" s="395">
        <v>30</v>
      </c>
      <c r="B36" s="185" t="s">
        <v>274</v>
      </c>
      <c r="D36" s="342"/>
      <c r="E36" s="325">
        <v>530935</v>
      </c>
      <c r="F36" s="33">
        <v>7513932</v>
      </c>
      <c r="G36" s="33">
        <v>7541</v>
      </c>
      <c r="H36" s="33">
        <v>89</v>
      </c>
      <c r="I36" s="284">
        <v>8052497</v>
      </c>
      <c r="J36" s="113">
        <v>34532</v>
      </c>
      <c r="K36" s="15">
        <v>842756</v>
      </c>
      <c r="L36" s="15">
        <v>3</v>
      </c>
      <c r="M36" s="15">
        <v>0</v>
      </c>
      <c r="N36" s="284">
        <v>877291</v>
      </c>
      <c r="O36" s="15">
        <v>36142</v>
      </c>
      <c r="P36" s="15">
        <v>30668</v>
      </c>
      <c r="Q36" s="15">
        <v>373</v>
      </c>
      <c r="R36" s="15">
        <v>0</v>
      </c>
      <c r="S36" s="284">
        <v>67183</v>
      </c>
      <c r="T36" s="113">
        <v>40271</v>
      </c>
      <c r="U36" s="15">
        <v>225000</v>
      </c>
      <c r="V36" s="15">
        <v>1296</v>
      </c>
      <c r="W36" s="15">
        <v>0</v>
      </c>
      <c r="X36" s="284">
        <v>266567</v>
      </c>
      <c r="Y36" s="113">
        <v>40131</v>
      </c>
      <c r="Z36" s="15">
        <v>744276</v>
      </c>
      <c r="AA36" s="15">
        <v>1178</v>
      </c>
      <c r="AB36" s="15">
        <v>1</v>
      </c>
      <c r="AC36" s="284">
        <v>785586</v>
      </c>
      <c r="AD36" s="113">
        <v>47254</v>
      </c>
      <c r="AE36" s="15">
        <v>1822059</v>
      </c>
      <c r="AF36" s="15">
        <v>2066</v>
      </c>
      <c r="AG36" s="15">
        <v>1</v>
      </c>
      <c r="AH36" s="284">
        <v>1871380</v>
      </c>
      <c r="AI36" s="113">
        <v>37249</v>
      </c>
      <c r="AJ36" s="15">
        <v>191665</v>
      </c>
      <c r="AK36" s="15">
        <v>1331</v>
      </c>
      <c r="AL36" s="15">
        <v>7</v>
      </c>
      <c r="AM36" s="284">
        <v>230252</v>
      </c>
      <c r="AN36" s="113">
        <v>44257</v>
      </c>
      <c r="AO36" s="15">
        <v>989373</v>
      </c>
      <c r="AP36" s="15">
        <v>541</v>
      </c>
      <c r="AQ36" s="15">
        <v>0</v>
      </c>
      <c r="AR36" s="284">
        <v>1034171</v>
      </c>
      <c r="AS36" s="113">
        <v>40090</v>
      </c>
      <c r="AT36" s="15">
        <v>934184</v>
      </c>
      <c r="AU36" s="15">
        <v>221</v>
      </c>
      <c r="AV36" s="15">
        <v>19</v>
      </c>
      <c r="AW36" s="284">
        <v>974514</v>
      </c>
      <c r="AX36" s="113">
        <v>50402</v>
      </c>
      <c r="AY36" s="15">
        <v>268026</v>
      </c>
      <c r="AZ36" s="15">
        <v>407</v>
      </c>
      <c r="BA36" s="15">
        <v>3</v>
      </c>
      <c r="BB36" s="284">
        <v>318838</v>
      </c>
      <c r="BC36" s="113">
        <v>60221</v>
      </c>
      <c r="BD36" s="15">
        <v>511200</v>
      </c>
      <c r="BE36" s="15">
        <v>-840</v>
      </c>
      <c r="BF36" s="15">
        <v>0</v>
      </c>
      <c r="BG36" s="284">
        <v>570581</v>
      </c>
      <c r="BH36" s="113">
        <v>39125</v>
      </c>
      <c r="BI36" s="15">
        <v>113179</v>
      </c>
      <c r="BJ36" s="15">
        <v>187</v>
      </c>
      <c r="BK36" s="15">
        <v>55</v>
      </c>
      <c r="BL36" s="284">
        <v>152546</v>
      </c>
      <c r="BM36" s="113">
        <v>61261</v>
      </c>
      <c r="BN36" s="15">
        <v>841546</v>
      </c>
      <c r="BO36" s="15">
        <v>778</v>
      </c>
      <c r="BP36" s="15">
        <v>3</v>
      </c>
      <c r="BQ36" s="284">
        <v>903588</v>
      </c>
      <c r="BR36" s="113">
        <v>530935</v>
      </c>
      <c r="BS36" s="33">
        <v>7513932</v>
      </c>
      <c r="BT36" s="15">
        <v>7541</v>
      </c>
      <c r="BU36" s="15">
        <v>89</v>
      </c>
      <c r="BV36" s="113">
        <v>8052497</v>
      </c>
      <c r="BW36" s="244"/>
      <c r="BX36" s="238">
        <v>100</v>
      </c>
      <c r="BZ36" s="12">
        <v>0</v>
      </c>
      <c r="CA36" s="12">
        <v>0</v>
      </c>
      <c r="CB36" s="12">
        <v>0</v>
      </c>
      <c r="CC36" s="12">
        <v>0</v>
      </c>
    </row>
    <row r="37" spans="1:81" x14ac:dyDescent="0.2">
      <c r="A37" s="395">
        <v>31</v>
      </c>
      <c r="B37" s="7" t="s">
        <v>228</v>
      </c>
      <c r="D37" s="324"/>
      <c r="E37" s="325">
        <v>198825</v>
      </c>
      <c r="F37" s="33">
        <v>2025730</v>
      </c>
      <c r="G37" s="33">
        <v>4224</v>
      </c>
      <c r="H37" s="33">
        <v>0</v>
      </c>
      <c r="I37" s="284">
        <v>2228779</v>
      </c>
      <c r="J37" s="113">
        <v>15388</v>
      </c>
      <c r="K37" s="15">
        <v>13938</v>
      </c>
      <c r="L37" s="15">
        <v>72</v>
      </c>
      <c r="M37" s="15">
        <v>0</v>
      </c>
      <c r="N37" s="284">
        <v>29398</v>
      </c>
      <c r="O37" s="15">
        <v>16666</v>
      </c>
      <c r="P37" s="15">
        <v>219455</v>
      </c>
      <c r="Q37" s="15">
        <v>307</v>
      </c>
      <c r="R37" s="15">
        <v>0</v>
      </c>
      <c r="S37" s="284">
        <v>236428</v>
      </c>
      <c r="T37" s="113">
        <v>15258</v>
      </c>
      <c r="U37" s="15">
        <v>105476</v>
      </c>
      <c r="V37" s="15">
        <v>221</v>
      </c>
      <c r="W37" s="15">
        <v>0</v>
      </c>
      <c r="X37" s="284">
        <v>120955</v>
      </c>
      <c r="Y37" s="113">
        <v>16077</v>
      </c>
      <c r="Z37" s="15">
        <v>94055</v>
      </c>
      <c r="AA37" s="15">
        <v>258</v>
      </c>
      <c r="AB37" s="15">
        <v>0</v>
      </c>
      <c r="AC37" s="284">
        <v>110390</v>
      </c>
      <c r="AD37" s="113">
        <v>16832</v>
      </c>
      <c r="AE37" s="15">
        <v>87256</v>
      </c>
      <c r="AF37" s="15">
        <v>236</v>
      </c>
      <c r="AG37" s="15">
        <v>0</v>
      </c>
      <c r="AH37" s="284">
        <v>104324</v>
      </c>
      <c r="AI37" s="113">
        <v>17925</v>
      </c>
      <c r="AJ37" s="15">
        <v>286705</v>
      </c>
      <c r="AK37" s="15">
        <v>455</v>
      </c>
      <c r="AL37" s="15">
        <v>0</v>
      </c>
      <c r="AM37" s="284">
        <v>305085</v>
      </c>
      <c r="AN37" s="113">
        <v>17846</v>
      </c>
      <c r="AO37" s="15">
        <v>109300</v>
      </c>
      <c r="AP37" s="15">
        <v>229</v>
      </c>
      <c r="AQ37" s="15">
        <v>0</v>
      </c>
      <c r="AR37" s="284">
        <v>127375</v>
      </c>
      <c r="AS37" s="113">
        <v>16164</v>
      </c>
      <c r="AT37" s="15">
        <v>668565</v>
      </c>
      <c r="AU37" s="15">
        <v>299</v>
      </c>
      <c r="AV37" s="15">
        <v>0</v>
      </c>
      <c r="AW37" s="284">
        <v>685028</v>
      </c>
      <c r="AX37" s="113">
        <v>16490</v>
      </c>
      <c r="AY37" s="15">
        <v>125650</v>
      </c>
      <c r="AZ37" s="15">
        <v>111</v>
      </c>
      <c r="BA37" s="15">
        <v>0</v>
      </c>
      <c r="BB37" s="284">
        <v>142251</v>
      </c>
      <c r="BC37" s="113">
        <v>14092</v>
      </c>
      <c r="BD37" s="15">
        <v>90173</v>
      </c>
      <c r="BE37" s="15">
        <v>210</v>
      </c>
      <c r="BF37" s="15">
        <v>0</v>
      </c>
      <c r="BG37" s="284">
        <v>104475</v>
      </c>
      <c r="BH37" s="113">
        <v>17159</v>
      </c>
      <c r="BI37" s="15">
        <v>53747</v>
      </c>
      <c r="BJ37" s="15">
        <v>577</v>
      </c>
      <c r="BK37" s="15">
        <v>0</v>
      </c>
      <c r="BL37" s="284">
        <v>71483</v>
      </c>
      <c r="BM37" s="113">
        <v>18928</v>
      </c>
      <c r="BN37" s="15">
        <v>171410</v>
      </c>
      <c r="BO37" s="15">
        <v>1249</v>
      </c>
      <c r="BP37" s="15">
        <v>0</v>
      </c>
      <c r="BQ37" s="284">
        <v>191587</v>
      </c>
      <c r="BR37" s="113">
        <v>198825</v>
      </c>
      <c r="BS37" s="33">
        <v>2025730</v>
      </c>
      <c r="BT37" s="15">
        <v>4224</v>
      </c>
      <c r="BU37" s="15">
        <v>0</v>
      </c>
      <c r="BV37" s="113">
        <v>2228779</v>
      </c>
      <c r="BW37" s="244"/>
      <c r="BX37" s="238">
        <v>100</v>
      </c>
      <c r="BZ37" s="12">
        <v>0</v>
      </c>
      <c r="CA37" s="12">
        <v>0</v>
      </c>
      <c r="CB37" s="12">
        <v>0</v>
      </c>
      <c r="CC37" s="12">
        <v>0</v>
      </c>
    </row>
    <row r="38" spans="1:81" x14ac:dyDescent="0.2">
      <c r="A38" s="395">
        <v>32</v>
      </c>
      <c r="B38" s="7" t="s">
        <v>275</v>
      </c>
      <c r="D38" s="342"/>
      <c r="E38" s="325">
        <v>561330</v>
      </c>
      <c r="F38" s="33">
        <v>1052672</v>
      </c>
      <c r="G38" s="33">
        <v>6881</v>
      </c>
      <c r="H38" s="33">
        <v>1</v>
      </c>
      <c r="I38" s="284">
        <v>1620884</v>
      </c>
      <c r="J38" s="113">
        <v>27245</v>
      </c>
      <c r="K38" s="15">
        <v>218820</v>
      </c>
      <c r="L38" s="15">
        <v>944</v>
      </c>
      <c r="M38" s="15">
        <v>0</v>
      </c>
      <c r="N38" s="284">
        <v>247009</v>
      </c>
      <c r="O38" s="15">
        <v>32341</v>
      </c>
      <c r="P38" s="15">
        <v>112743</v>
      </c>
      <c r="Q38" s="15">
        <v>204</v>
      </c>
      <c r="R38" s="15">
        <v>0</v>
      </c>
      <c r="S38" s="284">
        <v>145288</v>
      </c>
      <c r="T38" s="113">
        <v>22715</v>
      </c>
      <c r="U38" s="15">
        <v>25790</v>
      </c>
      <c r="V38" s="15">
        <v>4</v>
      </c>
      <c r="W38" s="15">
        <v>0</v>
      </c>
      <c r="X38" s="284">
        <v>48509</v>
      </c>
      <c r="Y38" s="113">
        <v>27493</v>
      </c>
      <c r="Z38" s="15">
        <v>241509</v>
      </c>
      <c r="AA38" s="15">
        <v>381</v>
      </c>
      <c r="AB38" s="15">
        <v>0</v>
      </c>
      <c r="AC38" s="284">
        <v>269383</v>
      </c>
      <c r="AD38" s="113">
        <v>25967</v>
      </c>
      <c r="AE38" s="15">
        <v>342</v>
      </c>
      <c r="AF38" s="15">
        <v>84</v>
      </c>
      <c r="AG38" s="15">
        <v>0</v>
      </c>
      <c r="AH38" s="284">
        <v>26393</v>
      </c>
      <c r="AI38" s="113">
        <v>24845</v>
      </c>
      <c r="AJ38" s="15">
        <v>247</v>
      </c>
      <c r="AK38" s="15">
        <v>148</v>
      </c>
      <c r="AL38" s="15">
        <v>0</v>
      </c>
      <c r="AM38" s="284">
        <v>25240</v>
      </c>
      <c r="AN38" s="113">
        <v>26673</v>
      </c>
      <c r="AO38" s="15">
        <v>207509</v>
      </c>
      <c r="AP38" s="15">
        <v>361</v>
      </c>
      <c r="AQ38" s="15">
        <v>0</v>
      </c>
      <c r="AR38" s="284">
        <v>234543</v>
      </c>
      <c r="AS38" s="113">
        <v>31686</v>
      </c>
      <c r="AT38" s="15">
        <v>88</v>
      </c>
      <c r="AU38" s="15">
        <v>82</v>
      </c>
      <c r="AV38" s="15">
        <v>1</v>
      </c>
      <c r="AW38" s="284">
        <v>31857</v>
      </c>
      <c r="AX38" s="113">
        <v>25445</v>
      </c>
      <c r="AY38" s="15">
        <v>6687</v>
      </c>
      <c r="AZ38" s="15">
        <v>254</v>
      </c>
      <c r="BA38" s="15">
        <v>0</v>
      </c>
      <c r="BB38" s="284">
        <v>32386</v>
      </c>
      <c r="BC38" s="113">
        <v>89340</v>
      </c>
      <c r="BD38" s="15">
        <v>214444</v>
      </c>
      <c r="BE38" s="15">
        <v>1142</v>
      </c>
      <c r="BF38" s="15">
        <v>0</v>
      </c>
      <c r="BG38" s="284">
        <v>304926</v>
      </c>
      <c r="BH38" s="113">
        <v>33068</v>
      </c>
      <c r="BI38" s="15">
        <v>24067</v>
      </c>
      <c r="BJ38" s="15">
        <v>253</v>
      </c>
      <c r="BK38" s="15">
        <v>0</v>
      </c>
      <c r="BL38" s="284">
        <v>57388</v>
      </c>
      <c r="BM38" s="113">
        <v>194512</v>
      </c>
      <c r="BN38" s="15">
        <v>426</v>
      </c>
      <c r="BO38" s="15">
        <v>3024</v>
      </c>
      <c r="BP38" s="15">
        <v>0</v>
      </c>
      <c r="BQ38" s="284">
        <v>197962</v>
      </c>
      <c r="BR38" s="113">
        <v>561330</v>
      </c>
      <c r="BS38" s="33">
        <v>1052672</v>
      </c>
      <c r="BT38" s="15">
        <v>6881</v>
      </c>
      <c r="BU38" s="15">
        <v>1</v>
      </c>
      <c r="BV38" s="113">
        <v>1620884</v>
      </c>
      <c r="BW38" s="244"/>
      <c r="BX38" s="238">
        <v>100</v>
      </c>
      <c r="BZ38" s="12">
        <v>0</v>
      </c>
      <c r="CA38" s="12">
        <v>0</v>
      </c>
      <c r="CB38" s="12">
        <v>0</v>
      </c>
      <c r="CC38" s="12">
        <v>0</v>
      </c>
    </row>
    <row r="39" spans="1:81" x14ac:dyDescent="0.2">
      <c r="A39" s="395">
        <v>33</v>
      </c>
      <c r="B39" s="185" t="s">
        <v>230</v>
      </c>
      <c r="D39" s="342"/>
      <c r="E39" s="325">
        <v>864723</v>
      </c>
      <c r="F39" s="33">
        <v>1499202</v>
      </c>
      <c r="G39" s="33">
        <v>20035</v>
      </c>
      <c r="H39" s="33">
        <v>432</v>
      </c>
      <c r="I39" s="284">
        <v>2384392</v>
      </c>
      <c r="J39" s="113">
        <v>44361</v>
      </c>
      <c r="K39" s="15">
        <v>996606</v>
      </c>
      <c r="L39" s="15">
        <v>406</v>
      </c>
      <c r="M39" s="15">
        <v>7</v>
      </c>
      <c r="N39" s="284">
        <v>1041380</v>
      </c>
      <c r="O39" s="15">
        <v>64944</v>
      </c>
      <c r="P39" s="15">
        <v>14664</v>
      </c>
      <c r="Q39" s="15">
        <v>5626</v>
      </c>
      <c r="R39" s="15">
        <v>0</v>
      </c>
      <c r="S39" s="284">
        <v>85234</v>
      </c>
      <c r="T39" s="113">
        <v>37975</v>
      </c>
      <c r="U39" s="15">
        <v>11382</v>
      </c>
      <c r="V39" s="15">
        <v>-2692</v>
      </c>
      <c r="W39" s="15">
        <v>0</v>
      </c>
      <c r="X39" s="284">
        <v>46665</v>
      </c>
      <c r="Y39" s="113">
        <v>92749</v>
      </c>
      <c r="Z39" s="15">
        <v>68112</v>
      </c>
      <c r="AA39" s="15">
        <v>751</v>
      </c>
      <c r="AB39" s="15">
        <v>84</v>
      </c>
      <c r="AC39" s="284">
        <v>161696</v>
      </c>
      <c r="AD39" s="113">
        <v>73183</v>
      </c>
      <c r="AE39" s="15">
        <v>882</v>
      </c>
      <c r="AF39" s="15">
        <v>252</v>
      </c>
      <c r="AG39" s="15">
        <v>0</v>
      </c>
      <c r="AH39" s="284">
        <v>74317</v>
      </c>
      <c r="AI39" s="113">
        <v>69083</v>
      </c>
      <c r="AJ39" s="15">
        <v>5568</v>
      </c>
      <c r="AK39" s="15">
        <v>585</v>
      </c>
      <c r="AL39" s="15">
        <v>0</v>
      </c>
      <c r="AM39" s="284">
        <v>75236</v>
      </c>
      <c r="AN39" s="113">
        <v>87047</v>
      </c>
      <c r="AO39" s="15">
        <v>86232</v>
      </c>
      <c r="AP39" s="15">
        <v>8938</v>
      </c>
      <c r="AQ39" s="15">
        <v>0</v>
      </c>
      <c r="AR39" s="284">
        <v>182217</v>
      </c>
      <c r="AS39" s="113">
        <v>70269</v>
      </c>
      <c r="AT39" s="15">
        <v>16648</v>
      </c>
      <c r="AU39" s="15">
        <v>399</v>
      </c>
      <c r="AV39" s="15">
        <v>0</v>
      </c>
      <c r="AW39" s="284">
        <v>87316</v>
      </c>
      <c r="AX39" s="113">
        <v>66781</v>
      </c>
      <c r="AY39" s="15">
        <v>40172</v>
      </c>
      <c r="AZ39" s="15">
        <v>637</v>
      </c>
      <c r="BA39" s="15">
        <v>0</v>
      </c>
      <c r="BB39" s="284">
        <v>107590</v>
      </c>
      <c r="BC39" s="113">
        <v>37961</v>
      </c>
      <c r="BD39" s="15">
        <v>86572</v>
      </c>
      <c r="BE39" s="15">
        <v>599</v>
      </c>
      <c r="BF39" s="15">
        <v>0</v>
      </c>
      <c r="BG39" s="284">
        <v>125132</v>
      </c>
      <c r="BH39" s="113">
        <v>77177</v>
      </c>
      <c r="BI39" s="15">
        <v>69718</v>
      </c>
      <c r="BJ39" s="15">
        <v>201</v>
      </c>
      <c r="BK39" s="15">
        <v>0</v>
      </c>
      <c r="BL39" s="284">
        <v>147096</v>
      </c>
      <c r="BM39" s="113">
        <v>143193</v>
      </c>
      <c r="BN39" s="15">
        <v>102646</v>
      </c>
      <c r="BO39" s="15">
        <v>4333</v>
      </c>
      <c r="BP39" s="15">
        <v>341</v>
      </c>
      <c r="BQ39" s="284">
        <v>250513</v>
      </c>
      <c r="BR39" s="113">
        <v>864723</v>
      </c>
      <c r="BS39" s="33">
        <v>1499202</v>
      </c>
      <c r="BT39" s="15">
        <v>20035</v>
      </c>
      <c r="BU39" s="15">
        <v>432</v>
      </c>
      <c r="BV39" s="113">
        <v>2384392</v>
      </c>
      <c r="BW39" s="244"/>
      <c r="BX39" s="238">
        <v>100</v>
      </c>
      <c r="BZ39" s="12">
        <v>0</v>
      </c>
      <c r="CA39" s="12">
        <v>0</v>
      </c>
      <c r="CB39" s="12">
        <v>0</v>
      </c>
      <c r="CC39" s="12">
        <v>0</v>
      </c>
    </row>
    <row r="40" spans="1:81" ht="12" customHeight="1" x14ac:dyDescent="0.2">
      <c r="A40" s="395">
        <v>34</v>
      </c>
      <c r="B40" s="7" t="s">
        <v>276</v>
      </c>
      <c r="D40" s="342"/>
      <c r="E40" s="325">
        <v>1684263</v>
      </c>
      <c r="F40" s="33">
        <v>8259005</v>
      </c>
      <c r="G40" s="33">
        <v>11817</v>
      </c>
      <c r="H40" s="33">
        <v>14521</v>
      </c>
      <c r="I40" s="284">
        <v>9969606</v>
      </c>
      <c r="J40" s="113">
        <v>114852</v>
      </c>
      <c r="K40" s="15">
        <v>1113915</v>
      </c>
      <c r="L40" s="15">
        <v>0</v>
      </c>
      <c r="M40" s="15">
        <v>0</v>
      </c>
      <c r="N40" s="284">
        <v>1228767</v>
      </c>
      <c r="O40" s="15">
        <v>132340</v>
      </c>
      <c r="P40" s="15">
        <v>365422</v>
      </c>
      <c r="Q40" s="15">
        <v>509</v>
      </c>
      <c r="R40" s="15">
        <v>0</v>
      </c>
      <c r="S40" s="284">
        <v>498271</v>
      </c>
      <c r="T40" s="113">
        <v>129816</v>
      </c>
      <c r="U40" s="15">
        <v>672401</v>
      </c>
      <c r="V40" s="15">
        <v>14</v>
      </c>
      <c r="W40" s="15">
        <v>3</v>
      </c>
      <c r="X40" s="284">
        <v>802234</v>
      </c>
      <c r="Y40" s="113">
        <v>141324</v>
      </c>
      <c r="Z40" s="15">
        <v>705406</v>
      </c>
      <c r="AA40" s="15">
        <v>163</v>
      </c>
      <c r="AB40" s="15">
        <v>0</v>
      </c>
      <c r="AC40" s="284">
        <v>846893</v>
      </c>
      <c r="AD40" s="113">
        <v>130851</v>
      </c>
      <c r="AE40" s="15">
        <v>328117</v>
      </c>
      <c r="AF40" s="15">
        <v>-52</v>
      </c>
      <c r="AG40" s="15">
        <v>0</v>
      </c>
      <c r="AH40" s="284">
        <v>458916</v>
      </c>
      <c r="AI40" s="113">
        <v>123023</v>
      </c>
      <c r="AJ40" s="15">
        <v>399167</v>
      </c>
      <c r="AK40" s="15">
        <v>27</v>
      </c>
      <c r="AL40" s="15">
        <v>0</v>
      </c>
      <c r="AM40" s="284">
        <v>522217</v>
      </c>
      <c r="AN40" s="113">
        <v>154894</v>
      </c>
      <c r="AO40" s="15">
        <v>202814</v>
      </c>
      <c r="AP40" s="15">
        <v>20</v>
      </c>
      <c r="AQ40" s="15">
        <v>0</v>
      </c>
      <c r="AR40" s="284">
        <v>357728</v>
      </c>
      <c r="AS40" s="113">
        <v>150695</v>
      </c>
      <c r="AT40" s="15">
        <v>347296</v>
      </c>
      <c r="AU40" s="15">
        <v>8329</v>
      </c>
      <c r="AV40" s="15">
        <v>0</v>
      </c>
      <c r="AW40" s="284">
        <v>506320</v>
      </c>
      <c r="AX40" s="113">
        <v>128092</v>
      </c>
      <c r="AY40" s="15">
        <v>830909</v>
      </c>
      <c r="AZ40" s="15">
        <v>884</v>
      </c>
      <c r="BA40" s="15">
        <v>0</v>
      </c>
      <c r="BB40" s="284">
        <v>959885</v>
      </c>
      <c r="BC40" s="113">
        <v>136518</v>
      </c>
      <c r="BD40" s="15">
        <v>725871</v>
      </c>
      <c r="BE40" s="15">
        <v>362</v>
      </c>
      <c r="BF40" s="15">
        <v>0</v>
      </c>
      <c r="BG40" s="284">
        <v>862751</v>
      </c>
      <c r="BH40" s="113">
        <v>145302</v>
      </c>
      <c r="BI40" s="15">
        <v>542577</v>
      </c>
      <c r="BJ40" s="15">
        <v>926</v>
      </c>
      <c r="BK40" s="15">
        <v>0</v>
      </c>
      <c r="BL40" s="284">
        <v>688805</v>
      </c>
      <c r="BM40" s="113">
        <v>196556</v>
      </c>
      <c r="BN40" s="15">
        <v>2025110</v>
      </c>
      <c r="BO40" s="15">
        <v>635</v>
      </c>
      <c r="BP40" s="15">
        <v>14518</v>
      </c>
      <c r="BQ40" s="284">
        <v>2236819</v>
      </c>
      <c r="BR40" s="113">
        <v>1684263</v>
      </c>
      <c r="BS40" s="33">
        <v>8259005</v>
      </c>
      <c r="BT40" s="15">
        <v>11817</v>
      </c>
      <c r="BU40" s="15">
        <v>14521</v>
      </c>
      <c r="BV40" s="113">
        <v>9969606</v>
      </c>
      <c r="BW40" s="244"/>
      <c r="BX40" s="238">
        <v>100</v>
      </c>
      <c r="BZ40" s="12">
        <v>0</v>
      </c>
      <c r="CA40" s="12">
        <v>0</v>
      </c>
      <c r="CB40" s="12">
        <v>0</v>
      </c>
      <c r="CC40" s="12">
        <v>0</v>
      </c>
    </row>
    <row r="41" spans="1:81" x14ac:dyDescent="0.2">
      <c r="A41" s="395">
        <v>35</v>
      </c>
      <c r="B41" s="185" t="s">
        <v>232</v>
      </c>
      <c r="D41" s="342"/>
      <c r="E41" s="325">
        <v>1348297</v>
      </c>
      <c r="F41" s="33">
        <v>62512600</v>
      </c>
      <c r="G41" s="33">
        <v>21367</v>
      </c>
      <c r="H41" s="33">
        <v>6347</v>
      </c>
      <c r="I41" s="284">
        <v>63888611</v>
      </c>
      <c r="J41" s="113">
        <v>51047</v>
      </c>
      <c r="K41" s="15">
        <v>2750093</v>
      </c>
      <c r="L41" s="15">
        <v>79</v>
      </c>
      <c r="M41" s="15">
        <v>0</v>
      </c>
      <c r="N41" s="284">
        <v>2801219</v>
      </c>
      <c r="O41" s="15">
        <v>83842</v>
      </c>
      <c r="P41" s="15">
        <v>7264640</v>
      </c>
      <c r="Q41" s="15">
        <v>997</v>
      </c>
      <c r="R41" s="15">
        <v>25</v>
      </c>
      <c r="S41" s="284">
        <v>7349504</v>
      </c>
      <c r="T41" s="113">
        <v>99081</v>
      </c>
      <c r="U41" s="15">
        <v>2940710</v>
      </c>
      <c r="V41" s="15">
        <v>294</v>
      </c>
      <c r="W41" s="15">
        <v>0</v>
      </c>
      <c r="X41" s="284">
        <v>3040085</v>
      </c>
      <c r="Y41" s="113">
        <v>71867</v>
      </c>
      <c r="Z41" s="15">
        <v>8264971</v>
      </c>
      <c r="AA41" s="15">
        <v>1115</v>
      </c>
      <c r="AB41" s="15">
        <v>2</v>
      </c>
      <c r="AC41" s="284">
        <v>8337955</v>
      </c>
      <c r="AD41" s="113">
        <v>105110</v>
      </c>
      <c r="AE41" s="15">
        <v>5682722</v>
      </c>
      <c r="AF41" s="15">
        <v>1352</v>
      </c>
      <c r="AG41" s="15">
        <v>8</v>
      </c>
      <c r="AH41" s="284">
        <v>5789192</v>
      </c>
      <c r="AI41" s="113">
        <v>66056</v>
      </c>
      <c r="AJ41" s="15">
        <v>2687767</v>
      </c>
      <c r="AK41" s="15">
        <v>1125</v>
      </c>
      <c r="AL41" s="15">
        <v>0</v>
      </c>
      <c r="AM41" s="284">
        <v>2754948</v>
      </c>
      <c r="AN41" s="113">
        <v>79589</v>
      </c>
      <c r="AO41" s="15">
        <v>7792822</v>
      </c>
      <c r="AP41" s="15">
        <v>1162</v>
      </c>
      <c r="AQ41" s="15">
        <v>9</v>
      </c>
      <c r="AR41" s="284">
        <v>7873582</v>
      </c>
      <c r="AS41" s="113">
        <v>106392</v>
      </c>
      <c r="AT41" s="15">
        <v>7469428</v>
      </c>
      <c r="AU41" s="15">
        <v>1000</v>
      </c>
      <c r="AV41" s="15">
        <v>0</v>
      </c>
      <c r="AW41" s="284">
        <v>7576820</v>
      </c>
      <c r="AX41" s="113">
        <v>111324</v>
      </c>
      <c r="AY41" s="15">
        <v>2538602</v>
      </c>
      <c r="AZ41" s="15">
        <v>916</v>
      </c>
      <c r="BA41" s="15">
        <v>0</v>
      </c>
      <c r="BB41" s="284">
        <v>2650842</v>
      </c>
      <c r="BC41" s="113">
        <v>47154</v>
      </c>
      <c r="BD41" s="15">
        <v>7997184</v>
      </c>
      <c r="BE41" s="15">
        <v>504</v>
      </c>
      <c r="BF41" s="15">
        <v>3</v>
      </c>
      <c r="BG41" s="284">
        <v>8044845</v>
      </c>
      <c r="BH41" s="113">
        <v>273927</v>
      </c>
      <c r="BI41" s="15">
        <v>2693160</v>
      </c>
      <c r="BJ41" s="15">
        <v>686</v>
      </c>
      <c r="BK41" s="15">
        <v>6089</v>
      </c>
      <c r="BL41" s="284">
        <v>2973862</v>
      </c>
      <c r="BM41" s="113">
        <v>252908</v>
      </c>
      <c r="BN41" s="15">
        <v>4430501</v>
      </c>
      <c r="BO41" s="15">
        <v>12137</v>
      </c>
      <c r="BP41" s="15">
        <v>211</v>
      </c>
      <c r="BQ41" s="284">
        <v>4695757</v>
      </c>
      <c r="BR41" s="113">
        <v>1348297</v>
      </c>
      <c r="BS41" s="33">
        <v>62512600</v>
      </c>
      <c r="BT41" s="15">
        <v>21367</v>
      </c>
      <c r="BU41" s="15">
        <v>6347</v>
      </c>
      <c r="BV41" s="113">
        <v>63888611</v>
      </c>
      <c r="BW41" s="244"/>
      <c r="BX41" s="238">
        <v>100</v>
      </c>
      <c r="BZ41" s="12">
        <v>0</v>
      </c>
      <c r="CA41" s="12">
        <v>0</v>
      </c>
      <c r="CB41" s="12">
        <v>0</v>
      </c>
      <c r="CC41" s="12">
        <v>0</v>
      </c>
    </row>
    <row r="42" spans="1:81" x14ac:dyDescent="0.2">
      <c r="A42" s="395">
        <v>36</v>
      </c>
      <c r="B42" s="185" t="s">
        <v>233</v>
      </c>
      <c r="D42" s="342"/>
      <c r="E42" s="325">
        <v>3705515</v>
      </c>
      <c r="F42" s="33">
        <v>9116654</v>
      </c>
      <c r="G42" s="33">
        <v>2394699</v>
      </c>
      <c r="H42" s="33">
        <v>738</v>
      </c>
      <c r="I42" s="284">
        <v>15217606</v>
      </c>
      <c r="J42" s="113">
        <v>222359</v>
      </c>
      <c r="K42" s="15">
        <v>823699</v>
      </c>
      <c r="L42" s="15">
        <v>72483</v>
      </c>
      <c r="M42" s="15">
        <v>484</v>
      </c>
      <c r="N42" s="284">
        <v>1119025</v>
      </c>
      <c r="O42" s="15">
        <v>259052</v>
      </c>
      <c r="P42" s="15">
        <v>10820</v>
      </c>
      <c r="Q42" s="15">
        <v>95915</v>
      </c>
      <c r="R42" s="15">
        <v>6</v>
      </c>
      <c r="S42" s="284">
        <v>365793</v>
      </c>
      <c r="T42" s="113">
        <v>252724</v>
      </c>
      <c r="U42" s="15">
        <v>778268</v>
      </c>
      <c r="V42" s="15">
        <v>68287</v>
      </c>
      <c r="W42" s="15">
        <v>0</v>
      </c>
      <c r="X42" s="284">
        <v>1099279</v>
      </c>
      <c r="Y42" s="113">
        <v>260129</v>
      </c>
      <c r="Z42" s="15">
        <v>8357</v>
      </c>
      <c r="AA42" s="15">
        <v>97860</v>
      </c>
      <c r="AB42" s="15">
        <v>248</v>
      </c>
      <c r="AC42" s="284">
        <v>366594</v>
      </c>
      <c r="AD42" s="113">
        <v>180163</v>
      </c>
      <c r="AE42" s="15">
        <v>1327367</v>
      </c>
      <c r="AF42" s="15">
        <v>104408</v>
      </c>
      <c r="AG42" s="15">
        <v>0</v>
      </c>
      <c r="AH42" s="284">
        <v>1611938</v>
      </c>
      <c r="AI42" s="113">
        <v>287128</v>
      </c>
      <c r="AJ42" s="15">
        <v>971322</v>
      </c>
      <c r="AK42" s="15">
        <v>299821</v>
      </c>
      <c r="AL42" s="15">
        <v>0</v>
      </c>
      <c r="AM42" s="284">
        <v>1558271</v>
      </c>
      <c r="AN42" s="113">
        <v>300175</v>
      </c>
      <c r="AO42" s="15">
        <v>2542</v>
      </c>
      <c r="AP42" s="15">
        <v>85189</v>
      </c>
      <c r="AQ42" s="15">
        <v>0</v>
      </c>
      <c r="AR42" s="284">
        <v>387906</v>
      </c>
      <c r="AS42" s="113">
        <v>225707</v>
      </c>
      <c r="AT42" s="15">
        <v>1418814</v>
      </c>
      <c r="AU42" s="15">
        <v>90390</v>
      </c>
      <c r="AV42" s="15">
        <v>0</v>
      </c>
      <c r="AW42" s="284">
        <v>1734911</v>
      </c>
      <c r="AX42" s="113">
        <v>277464</v>
      </c>
      <c r="AY42" s="15">
        <v>930242</v>
      </c>
      <c r="AZ42" s="15">
        <v>287536</v>
      </c>
      <c r="BA42" s="15">
        <v>0</v>
      </c>
      <c r="BB42" s="284">
        <v>1495242</v>
      </c>
      <c r="BC42" s="113">
        <v>301817</v>
      </c>
      <c r="BD42" s="15">
        <v>-42073</v>
      </c>
      <c r="BE42" s="15">
        <v>135285</v>
      </c>
      <c r="BF42" s="15">
        <v>0</v>
      </c>
      <c r="BG42" s="284">
        <v>395029</v>
      </c>
      <c r="BH42" s="113">
        <v>273276</v>
      </c>
      <c r="BI42" s="15">
        <v>32982</v>
      </c>
      <c r="BJ42" s="15">
        <v>19624</v>
      </c>
      <c r="BK42" s="15">
        <v>0</v>
      </c>
      <c r="BL42" s="284">
        <v>325882</v>
      </c>
      <c r="BM42" s="113">
        <v>865521</v>
      </c>
      <c r="BN42" s="15">
        <v>2854314</v>
      </c>
      <c r="BO42" s="15">
        <v>1037901</v>
      </c>
      <c r="BP42" s="15">
        <v>0</v>
      </c>
      <c r="BQ42" s="284">
        <v>4757736</v>
      </c>
      <c r="BR42" s="113">
        <v>3705515</v>
      </c>
      <c r="BS42" s="33">
        <v>9116654</v>
      </c>
      <c r="BT42" s="15">
        <v>2394699</v>
      </c>
      <c r="BU42" s="15">
        <v>738</v>
      </c>
      <c r="BV42" s="113">
        <v>15217606</v>
      </c>
      <c r="BW42" s="244"/>
      <c r="BX42" s="238">
        <v>100</v>
      </c>
      <c r="BZ42" s="12">
        <v>0</v>
      </c>
      <c r="CA42" s="12">
        <v>0</v>
      </c>
      <c r="CB42" s="12">
        <v>0</v>
      </c>
      <c r="CC42" s="12">
        <v>0</v>
      </c>
    </row>
    <row r="43" spans="1:81" x14ac:dyDescent="0.2">
      <c r="A43" s="395">
        <v>37</v>
      </c>
      <c r="B43" s="185" t="s">
        <v>277</v>
      </c>
      <c r="D43" s="342"/>
      <c r="E43" s="325">
        <v>673523</v>
      </c>
      <c r="F43" s="33">
        <v>3624491</v>
      </c>
      <c r="G43" s="33">
        <v>45804</v>
      </c>
      <c r="H43" s="33">
        <v>749</v>
      </c>
      <c r="I43" s="284">
        <v>4344567</v>
      </c>
      <c r="J43" s="113">
        <v>52549</v>
      </c>
      <c r="K43" s="15">
        <v>686320</v>
      </c>
      <c r="L43" s="15">
        <v>370</v>
      </c>
      <c r="M43" s="15">
        <v>0</v>
      </c>
      <c r="N43" s="284">
        <v>739239</v>
      </c>
      <c r="O43" s="15">
        <v>58639</v>
      </c>
      <c r="P43" s="15">
        <v>41198</v>
      </c>
      <c r="Q43" s="15">
        <v>23502</v>
      </c>
      <c r="R43" s="15">
        <v>0</v>
      </c>
      <c r="S43" s="284">
        <v>123339</v>
      </c>
      <c r="T43" s="113">
        <v>55510</v>
      </c>
      <c r="U43" s="15">
        <v>23937</v>
      </c>
      <c r="V43" s="15">
        <v>1516</v>
      </c>
      <c r="W43" s="15">
        <v>0</v>
      </c>
      <c r="X43" s="284">
        <v>80963</v>
      </c>
      <c r="Y43" s="113">
        <v>46245</v>
      </c>
      <c r="Z43" s="15">
        <v>652664</v>
      </c>
      <c r="AA43" s="15">
        <v>1730</v>
      </c>
      <c r="AB43" s="15">
        <v>0</v>
      </c>
      <c r="AC43" s="284">
        <v>700639</v>
      </c>
      <c r="AD43" s="113">
        <v>50163</v>
      </c>
      <c r="AE43" s="15">
        <v>262113</v>
      </c>
      <c r="AF43" s="15">
        <v>2050</v>
      </c>
      <c r="AG43" s="15">
        <v>23</v>
      </c>
      <c r="AH43" s="284">
        <v>314349</v>
      </c>
      <c r="AI43" s="113">
        <v>47288</v>
      </c>
      <c r="AJ43" s="15">
        <v>26454</v>
      </c>
      <c r="AK43" s="15">
        <v>157</v>
      </c>
      <c r="AL43" s="15">
        <v>7</v>
      </c>
      <c r="AM43" s="284">
        <v>73906</v>
      </c>
      <c r="AN43" s="113">
        <v>48652</v>
      </c>
      <c r="AO43" s="15">
        <v>937143</v>
      </c>
      <c r="AP43" s="15">
        <v>8274</v>
      </c>
      <c r="AQ43" s="15">
        <v>25</v>
      </c>
      <c r="AR43" s="284">
        <v>994094</v>
      </c>
      <c r="AS43" s="113">
        <v>51293</v>
      </c>
      <c r="AT43" s="15">
        <v>-1867</v>
      </c>
      <c r="AU43" s="15">
        <v>0</v>
      </c>
      <c r="AV43" s="15">
        <v>36</v>
      </c>
      <c r="AW43" s="284">
        <v>49462</v>
      </c>
      <c r="AX43" s="113">
        <v>51534</v>
      </c>
      <c r="AY43" s="15">
        <v>47131</v>
      </c>
      <c r="AZ43" s="15">
        <v>3677</v>
      </c>
      <c r="BA43" s="15">
        <v>20</v>
      </c>
      <c r="BB43" s="284">
        <v>102362</v>
      </c>
      <c r="BC43" s="113">
        <v>28534</v>
      </c>
      <c r="BD43" s="15">
        <v>696476</v>
      </c>
      <c r="BE43" s="15">
        <v>-333</v>
      </c>
      <c r="BF43" s="15">
        <v>500</v>
      </c>
      <c r="BG43" s="284">
        <v>725177</v>
      </c>
      <c r="BH43" s="113">
        <v>45649</v>
      </c>
      <c r="BI43" s="15">
        <v>28284</v>
      </c>
      <c r="BJ43" s="15">
        <v>529</v>
      </c>
      <c r="BK43" s="15">
        <v>9</v>
      </c>
      <c r="BL43" s="284">
        <v>74471</v>
      </c>
      <c r="BM43" s="113">
        <v>137467</v>
      </c>
      <c r="BN43" s="15">
        <v>224638</v>
      </c>
      <c r="BO43" s="15">
        <v>4332</v>
      </c>
      <c r="BP43" s="15">
        <v>129</v>
      </c>
      <c r="BQ43" s="284">
        <v>366566</v>
      </c>
      <c r="BR43" s="113">
        <v>673523</v>
      </c>
      <c r="BS43" s="33">
        <v>3624491</v>
      </c>
      <c r="BT43" s="15">
        <v>45804</v>
      </c>
      <c r="BU43" s="15">
        <v>749</v>
      </c>
      <c r="BV43" s="113">
        <v>4344567</v>
      </c>
      <c r="BW43" s="244"/>
      <c r="BX43" s="238">
        <v>100</v>
      </c>
      <c r="BZ43" s="12">
        <v>0</v>
      </c>
      <c r="CA43" s="12">
        <v>0</v>
      </c>
      <c r="CB43" s="12">
        <v>0</v>
      </c>
      <c r="CC43" s="12">
        <v>0</v>
      </c>
    </row>
    <row r="44" spans="1:81" x14ac:dyDescent="0.2">
      <c r="A44" s="395">
        <v>38</v>
      </c>
      <c r="B44" s="185" t="s">
        <v>225</v>
      </c>
      <c r="D44" s="342"/>
      <c r="E44" s="325">
        <v>729375</v>
      </c>
      <c r="F44" s="33">
        <v>32560142</v>
      </c>
      <c r="G44" s="33">
        <v>5872</v>
      </c>
      <c r="H44" s="33">
        <v>50164</v>
      </c>
      <c r="I44" s="284">
        <v>33345553</v>
      </c>
      <c r="J44" s="113">
        <v>48090</v>
      </c>
      <c r="K44" s="15">
        <v>970151</v>
      </c>
      <c r="L44" s="15">
        <v>958</v>
      </c>
      <c r="M44" s="15">
        <v>0</v>
      </c>
      <c r="N44" s="284">
        <v>1019199</v>
      </c>
      <c r="O44" s="15">
        <v>60539</v>
      </c>
      <c r="P44" s="15">
        <v>1909703</v>
      </c>
      <c r="Q44" s="15">
        <v>153</v>
      </c>
      <c r="R44" s="15">
        <v>50071</v>
      </c>
      <c r="S44" s="284">
        <v>2020466</v>
      </c>
      <c r="T44" s="113">
        <v>49155</v>
      </c>
      <c r="U44" s="15">
        <v>2014353</v>
      </c>
      <c r="V44" s="15">
        <v>232</v>
      </c>
      <c r="W44" s="15">
        <v>0</v>
      </c>
      <c r="X44" s="284">
        <v>2063740</v>
      </c>
      <c r="Y44" s="113">
        <v>57857</v>
      </c>
      <c r="Z44" s="15">
        <v>4310160</v>
      </c>
      <c r="AA44" s="15">
        <v>294</v>
      </c>
      <c r="AB44" s="15">
        <v>34</v>
      </c>
      <c r="AC44" s="284">
        <v>4368345</v>
      </c>
      <c r="AD44" s="113">
        <v>50992</v>
      </c>
      <c r="AE44" s="15">
        <v>1653962</v>
      </c>
      <c r="AF44" s="15">
        <v>335</v>
      </c>
      <c r="AG44" s="15">
        <v>37</v>
      </c>
      <c r="AH44" s="284">
        <v>1705326</v>
      </c>
      <c r="AI44" s="113">
        <v>53384</v>
      </c>
      <c r="AJ44" s="15">
        <v>1726776</v>
      </c>
      <c r="AK44" s="15">
        <v>637</v>
      </c>
      <c r="AL44" s="15">
        <v>0</v>
      </c>
      <c r="AM44" s="284">
        <v>1780797</v>
      </c>
      <c r="AN44" s="113">
        <v>66299</v>
      </c>
      <c r="AO44" s="15">
        <v>1694115</v>
      </c>
      <c r="AP44" s="15">
        <v>461</v>
      </c>
      <c r="AQ44" s="15">
        <v>0</v>
      </c>
      <c r="AR44" s="284">
        <v>1760875</v>
      </c>
      <c r="AS44" s="113">
        <v>62564</v>
      </c>
      <c r="AT44" s="15">
        <v>3795088</v>
      </c>
      <c r="AU44" s="15">
        <v>602</v>
      </c>
      <c r="AV44" s="15">
        <v>18</v>
      </c>
      <c r="AW44" s="284">
        <v>3858272</v>
      </c>
      <c r="AX44" s="113">
        <v>63331</v>
      </c>
      <c r="AY44" s="15">
        <v>2384210</v>
      </c>
      <c r="AZ44" s="15">
        <v>204</v>
      </c>
      <c r="BA44" s="15">
        <v>0</v>
      </c>
      <c r="BB44" s="284">
        <v>2447745</v>
      </c>
      <c r="BC44" s="113">
        <v>50149</v>
      </c>
      <c r="BD44" s="15">
        <v>1621300</v>
      </c>
      <c r="BE44" s="15">
        <v>437</v>
      </c>
      <c r="BF44" s="15">
        <v>2</v>
      </c>
      <c r="BG44" s="284">
        <v>1671888</v>
      </c>
      <c r="BH44" s="113">
        <v>55642</v>
      </c>
      <c r="BI44" s="15">
        <v>3709885</v>
      </c>
      <c r="BJ44" s="15">
        <v>508</v>
      </c>
      <c r="BK44" s="15">
        <v>0</v>
      </c>
      <c r="BL44" s="284">
        <v>3766035</v>
      </c>
      <c r="BM44" s="113">
        <v>111373</v>
      </c>
      <c r="BN44" s="15">
        <v>6770439</v>
      </c>
      <c r="BO44" s="15">
        <v>1051</v>
      </c>
      <c r="BP44" s="15">
        <v>2</v>
      </c>
      <c r="BQ44" s="284">
        <v>6882865</v>
      </c>
      <c r="BR44" s="113">
        <v>729375</v>
      </c>
      <c r="BS44" s="33">
        <v>32560142</v>
      </c>
      <c r="BT44" s="15">
        <v>5872</v>
      </c>
      <c r="BU44" s="15">
        <v>50164</v>
      </c>
      <c r="BV44" s="113">
        <v>33345553</v>
      </c>
      <c r="BW44" s="244"/>
      <c r="BX44" s="238">
        <v>100</v>
      </c>
      <c r="BZ44" s="12">
        <v>0</v>
      </c>
      <c r="CA44" s="12">
        <v>0</v>
      </c>
      <c r="CB44" s="12">
        <v>0</v>
      </c>
      <c r="CC44" s="12">
        <v>0</v>
      </c>
    </row>
    <row r="45" spans="1:81" x14ac:dyDescent="0.2">
      <c r="A45" s="395">
        <v>39</v>
      </c>
      <c r="B45" s="185" t="s">
        <v>278</v>
      </c>
      <c r="D45" s="342"/>
      <c r="E45" s="325">
        <v>6510457</v>
      </c>
      <c r="F45" s="33">
        <v>3533838</v>
      </c>
      <c r="G45" s="33">
        <v>761272</v>
      </c>
      <c r="H45" s="33">
        <v>7260</v>
      </c>
      <c r="I45" s="284">
        <v>10812827</v>
      </c>
      <c r="J45" s="113">
        <v>295601</v>
      </c>
      <c r="K45" s="15">
        <v>816400</v>
      </c>
      <c r="L45" s="15">
        <v>19695</v>
      </c>
      <c r="M45" s="15">
        <v>0</v>
      </c>
      <c r="N45" s="284">
        <v>1131696</v>
      </c>
      <c r="O45" s="15">
        <v>348996</v>
      </c>
      <c r="P45" s="15">
        <v>216624</v>
      </c>
      <c r="Q45" s="15">
        <v>31997</v>
      </c>
      <c r="R45" s="15">
        <v>0</v>
      </c>
      <c r="S45" s="284">
        <v>597617</v>
      </c>
      <c r="T45" s="113">
        <v>295796</v>
      </c>
      <c r="U45" s="15">
        <v>141884</v>
      </c>
      <c r="V45" s="15">
        <v>38590</v>
      </c>
      <c r="W45" s="15">
        <v>0</v>
      </c>
      <c r="X45" s="284">
        <v>476270</v>
      </c>
      <c r="Y45" s="113">
        <v>410097</v>
      </c>
      <c r="Z45" s="15">
        <v>606567</v>
      </c>
      <c r="AA45" s="15">
        <v>53873</v>
      </c>
      <c r="AB45" s="15">
        <v>0</v>
      </c>
      <c r="AC45" s="284">
        <v>1070537</v>
      </c>
      <c r="AD45" s="113">
        <v>362701</v>
      </c>
      <c r="AE45" s="15">
        <v>220199</v>
      </c>
      <c r="AF45" s="15">
        <v>32348</v>
      </c>
      <c r="AG45" s="15">
        <v>53</v>
      </c>
      <c r="AH45" s="284">
        <v>615301</v>
      </c>
      <c r="AI45" s="113">
        <v>372929</v>
      </c>
      <c r="AJ45" s="15">
        <v>76154</v>
      </c>
      <c r="AK45" s="15">
        <v>43177</v>
      </c>
      <c r="AL45" s="15">
        <v>0</v>
      </c>
      <c r="AM45" s="284">
        <v>492260</v>
      </c>
      <c r="AN45" s="113">
        <v>417005</v>
      </c>
      <c r="AO45" s="15">
        <v>576839</v>
      </c>
      <c r="AP45" s="15">
        <v>51461</v>
      </c>
      <c r="AQ45" s="15">
        <v>-53</v>
      </c>
      <c r="AR45" s="284">
        <v>1045252</v>
      </c>
      <c r="AS45" s="113">
        <v>363675</v>
      </c>
      <c r="AT45" s="15">
        <v>318348</v>
      </c>
      <c r="AU45" s="15">
        <v>53318</v>
      </c>
      <c r="AV45" s="15">
        <v>0</v>
      </c>
      <c r="AW45" s="284">
        <v>735341</v>
      </c>
      <c r="AX45" s="113">
        <v>351868</v>
      </c>
      <c r="AY45" s="15">
        <v>758984</v>
      </c>
      <c r="AZ45" s="15">
        <v>150127</v>
      </c>
      <c r="BA45" s="15">
        <v>0</v>
      </c>
      <c r="BB45" s="284">
        <v>1260979</v>
      </c>
      <c r="BC45" s="113">
        <v>368472</v>
      </c>
      <c r="BD45" s="15">
        <v>536133</v>
      </c>
      <c r="BE45" s="15">
        <v>4007</v>
      </c>
      <c r="BF45" s="15">
        <v>0</v>
      </c>
      <c r="BG45" s="284">
        <v>908612</v>
      </c>
      <c r="BH45" s="113">
        <v>380669</v>
      </c>
      <c r="BI45" s="15">
        <v>386539</v>
      </c>
      <c r="BJ45" s="15">
        <v>40521</v>
      </c>
      <c r="BK45" s="15">
        <v>0</v>
      </c>
      <c r="BL45" s="284">
        <v>807729</v>
      </c>
      <c r="BM45" s="113">
        <v>2542648</v>
      </c>
      <c r="BN45" s="15">
        <v>-1120833</v>
      </c>
      <c r="BO45" s="15">
        <v>242158</v>
      </c>
      <c r="BP45" s="15">
        <v>7260</v>
      </c>
      <c r="BQ45" s="284">
        <v>1671233</v>
      </c>
      <c r="BR45" s="113">
        <v>6510457</v>
      </c>
      <c r="BS45" s="33">
        <v>3533838</v>
      </c>
      <c r="BT45" s="15">
        <v>761272</v>
      </c>
      <c r="BU45" s="15">
        <v>7260</v>
      </c>
      <c r="BV45" s="113">
        <v>10812827</v>
      </c>
      <c r="BW45" s="244"/>
      <c r="BX45" s="238">
        <v>100</v>
      </c>
      <c r="BZ45" s="12">
        <v>0</v>
      </c>
      <c r="CA45" s="12">
        <v>0</v>
      </c>
      <c r="CB45" s="12">
        <v>0</v>
      </c>
      <c r="CC45" s="12">
        <v>0</v>
      </c>
    </row>
    <row r="46" spans="1:81" x14ac:dyDescent="0.2">
      <c r="A46" s="304">
        <v>40</v>
      </c>
      <c r="B46" s="381" t="s">
        <v>279</v>
      </c>
      <c r="C46" s="381"/>
      <c r="D46" s="176"/>
      <c r="E46" s="325">
        <v>265281</v>
      </c>
      <c r="F46" s="33">
        <v>855647</v>
      </c>
      <c r="G46" s="33">
        <v>2927</v>
      </c>
      <c r="H46" s="33">
        <v>93</v>
      </c>
      <c r="I46" s="284">
        <v>1123948</v>
      </c>
      <c r="J46" s="113">
        <v>16922</v>
      </c>
      <c r="K46" s="15">
        <v>6459</v>
      </c>
      <c r="L46" s="15">
        <v>95</v>
      </c>
      <c r="M46" s="15">
        <v>0</v>
      </c>
      <c r="N46" s="284">
        <v>23476</v>
      </c>
      <c r="O46" s="15">
        <v>19126</v>
      </c>
      <c r="P46" s="15">
        <v>196</v>
      </c>
      <c r="Q46" s="15">
        <v>26</v>
      </c>
      <c r="R46" s="15">
        <v>0</v>
      </c>
      <c r="S46" s="284">
        <v>19348</v>
      </c>
      <c r="T46" s="113">
        <v>18356</v>
      </c>
      <c r="U46" s="15">
        <v>159594</v>
      </c>
      <c r="V46" s="15">
        <v>179</v>
      </c>
      <c r="W46" s="15">
        <v>0</v>
      </c>
      <c r="X46" s="284">
        <v>178129</v>
      </c>
      <c r="Y46" s="113">
        <v>13452</v>
      </c>
      <c r="Z46" s="15">
        <v>208</v>
      </c>
      <c r="AA46" s="15">
        <v>44</v>
      </c>
      <c r="AB46" s="15">
        <v>0</v>
      </c>
      <c r="AC46" s="284">
        <v>13704</v>
      </c>
      <c r="AD46" s="113">
        <v>34106</v>
      </c>
      <c r="AE46" s="15">
        <v>30178</v>
      </c>
      <c r="AF46" s="15">
        <v>3</v>
      </c>
      <c r="AG46" s="15">
        <v>0</v>
      </c>
      <c r="AH46" s="284">
        <v>64287</v>
      </c>
      <c r="AI46" s="113">
        <v>12358</v>
      </c>
      <c r="AJ46" s="15">
        <v>191887</v>
      </c>
      <c r="AK46" s="15">
        <v>27</v>
      </c>
      <c r="AL46" s="15">
        <v>0</v>
      </c>
      <c r="AM46" s="284">
        <v>204272</v>
      </c>
      <c r="AN46" s="113">
        <v>44994</v>
      </c>
      <c r="AO46" s="15">
        <v>69808</v>
      </c>
      <c r="AP46" s="15">
        <v>0</v>
      </c>
      <c r="AQ46" s="15">
        <v>0</v>
      </c>
      <c r="AR46" s="284">
        <v>114802</v>
      </c>
      <c r="AS46" s="113">
        <v>37657</v>
      </c>
      <c r="AT46" s="15">
        <v>249515</v>
      </c>
      <c r="AU46" s="15">
        <v>490</v>
      </c>
      <c r="AV46" s="15">
        <v>0</v>
      </c>
      <c r="AW46" s="284">
        <v>287662</v>
      </c>
      <c r="AX46" s="113">
        <v>24936</v>
      </c>
      <c r="AY46" s="15">
        <v>10398</v>
      </c>
      <c r="AZ46" s="15">
        <v>31</v>
      </c>
      <c r="BA46" s="15">
        <v>0</v>
      </c>
      <c r="BB46" s="284">
        <v>35365</v>
      </c>
      <c r="BC46" s="113">
        <v>13234</v>
      </c>
      <c r="BD46" s="15">
        <v>38565</v>
      </c>
      <c r="BE46" s="15">
        <v>722</v>
      </c>
      <c r="BF46" s="15">
        <v>35</v>
      </c>
      <c r="BG46" s="284">
        <v>52556</v>
      </c>
      <c r="BH46" s="113">
        <v>11081</v>
      </c>
      <c r="BI46" s="15">
        <v>25238</v>
      </c>
      <c r="BJ46" s="15">
        <v>1245</v>
      </c>
      <c r="BK46" s="15">
        <v>16</v>
      </c>
      <c r="BL46" s="284">
        <v>37580</v>
      </c>
      <c r="BM46" s="113">
        <v>19059</v>
      </c>
      <c r="BN46" s="15">
        <v>73601</v>
      </c>
      <c r="BO46" s="483">
        <v>65</v>
      </c>
      <c r="BP46" s="15">
        <v>42</v>
      </c>
      <c r="BQ46" s="284">
        <v>92767</v>
      </c>
      <c r="BR46" s="113">
        <v>265281</v>
      </c>
      <c r="BS46" s="33">
        <v>855647</v>
      </c>
      <c r="BT46" s="15">
        <v>2927</v>
      </c>
      <c r="BU46" s="15">
        <v>93</v>
      </c>
      <c r="BV46" s="113">
        <v>1123948</v>
      </c>
      <c r="BW46" s="244"/>
      <c r="BX46" s="238">
        <v>100</v>
      </c>
      <c r="BZ46" s="12">
        <v>0</v>
      </c>
      <c r="CA46" s="12">
        <v>0</v>
      </c>
      <c r="CB46" s="12">
        <v>0</v>
      </c>
      <c r="CC46" s="12">
        <v>0</v>
      </c>
    </row>
    <row r="47" spans="1:81" x14ac:dyDescent="0.2">
      <c r="A47" s="279" t="s">
        <v>234</v>
      </c>
      <c r="B47" s="185"/>
      <c r="D47" s="123"/>
      <c r="E47" s="337">
        <v>243798853</v>
      </c>
      <c r="F47" s="439">
        <v>624608366</v>
      </c>
      <c r="G47" s="439">
        <v>12204523</v>
      </c>
      <c r="H47" s="439">
        <v>64518506</v>
      </c>
      <c r="I47" s="294">
        <v>945130248</v>
      </c>
      <c r="J47" s="337">
        <v>17419897</v>
      </c>
      <c r="K47" s="439">
        <v>58376647</v>
      </c>
      <c r="L47" s="439">
        <v>362073</v>
      </c>
      <c r="M47" s="439">
        <v>2125</v>
      </c>
      <c r="N47" s="294">
        <v>76160742</v>
      </c>
      <c r="O47" s="439">
        <v>18816680</v>
      </c>
      <c r="P47" s="439">
        <v>46735572</v>
      </c>
      <c r="Q47" s="439">
        <v>582691</v>
      </c>
      <c r="R47" s="439">
        <v>51556</v>
      </c>
      <c r="S47" s="294">
        <v>66186499</v>
      </c>
      <c r="T47" s="337">
        <v>18927123</v>
      </c>
      <c r="U47" s="439">
        <v>40054108</v>
      </c>
      <c r="V47" s="439">
        <v>553754</v>
      </c>
      <c r="W47" s="439">
        <v>-30</v>
      </c>
      <c r="X47" s="294">
        <v>59534955</v>
      </c>
      <c r="Y47" s="337">
        <v>20136950</v>
      </c>
      <c r="Z47" s="439">
        <v>80697705</v>
      </c>
      <c r="AA47" s="439">
        <v>714762</v>
      </c>
      <c r="AB47" s="439">
        <v>2447</v>
      </c>
      <c r="AC47" s="294">
        <v>101551864</v>
      </c>
      <c r="AD47" s="337">
        <v>19206769</v>
      </c>
      <c r="AE47" s="439">
        <v>50967096</v>
      </c>
      <c r="AF47" s="439">
        <v>844913</v>
      </c>
      <c r="AG47" s="439">
        <v>2116</v>
      </c>
      <c r="AH47" s="294">
        <v>71020894</v>
      </c>
      <c r="AI47" s="337">
        <v>19341077</v>
      </c>
      <c r="AJ47" s="439">
        <v>33901185</v>
      </c>
      <c r="AK47" s="439">
        <v>853464</v>
      </c>
      <c r="AL47" s="439">
        <v>13502173</v>
      </c>
      <c r="AM47" s="294">
        <v>67597899</v>
      </c>
      <c r="AN47" s="337">
        <v>20488885</v>
      </c>
      <c r="AO47" s="439">
        <v>54427618</v>
      </c>
      <c r="AP47" s="439">
        <v>670997</v>
      </c>
      <c r="AQ47" s="439">
        <v>1514</v>
      </c>
      <c r="AR47" s="294">
        <v>75589014</v>
      </c>
      <c r="AS47" s="337">
        <v>19784022</v>
      </c>
      <c r="AT47" s="439">
        <v>43850096</v>
      </c>
      <c r="AU47" s="439">
        <v>737799</v>
      </c>
      <c r="AV47" s="439">
        <v>10145</v>
      </c>
      <c r="AW47" s="294">
        <v>64382062</v>
      </c>
      <c r="AX47" s="337">
        <v>19695531</v>
      </c>
      <c r="AY47" s="439">
        <v>54421109</v>
      </c>
      <c r="AZ47" s="439">
        <v>1572655</v>
      </c>
      <c r="BA47" s="439">
        <v>17274933</v>
      </c>
      <c r="BB47" s="294">
        <v>92964228</v>
      </c>
      <c r="BC47" s="337">
        <v>19481922</v>
      </c>
      <c r="BD47" s="439">
        <v>45649125</v>
      </c>
      <c r="BE47" s="439">
        <v>896488</v>
      </c>
      <c r="BF47" s="439">
        <v>9707626</v>
      </c>
      <c r="BG47" s="294">
        <v>75735161</v>
      </c>
      <c r="BH47" s="337">
        <v>20982914</v>
      </c>
      <c r="BI47" s="439">
        <v>34099491</v>
      </c>
      <c r="BJ47" s="439">
        <v>685432</v>
      </c>
      <c r="BK47" s="439">
        <v>13013794</v>
      </c>
      <c r="BL47" s="294">
        <v>68781631</v>
      </c>
      <c r="BM47" s="337">
        <v>29517083</v>
      </c>
      <c r="BN47" s="439">
        <v>81428614</v>
      </c>
      <c r="BO47" s="439">
        <v>3729495</v>
      </c>
      <c r="BP47" s="439">
        <v>10950107</v>
      </c>
      <c r="BQ47" s="294">
        <v>125625299</v>
      </c>
      <c r="BR47" s="337">
        <v>243798853</v>
      </c>
      <c r="BS47" s="439">
        <v>624608366</v>
      </c>
      <c r="BT47" s="439">
        <v>12204523</v>
      </c>
      <c r="BU47" s="439">
        <v>64518506</v>
      </c>
      <c r="BV47" s="294">
        <v>945130248</v>
      </c>
      <c r="BW47" s="244"/>
      <c r="BX47" s="238">
        <v>100</v>
      </c>
      <c r="BZ47" s="20">
        <v>0</v>
      </c>
      <c r="CA47" s="20">
        <v>0</v>
      </c>
      <c r="CB47" s="20">
        <v>0</v>
      </c>
      <c r="CC47" s="20">
        <v>0</v>
      </c>
    </row>
    <row r="48" spans="1:81" x14ac:dyDescent="0.2">
      <c r="A48" s="84" t="s">
        <v>235</v>
      </c>
      <c r="B48" s="185"/>
      <c r="D48" s="123"/>
      <c r="E48" s="290"/>
      <c r="F48" s="20"/>
      <c r="G48" s="20"/>
      <c r="H48" s="20"/>
      <c r="I48" s="95"/>
      <c r="J48" s="290"/>
      <c r="K48" s="20"/>
      <c r="L48" s="20"/>
      <c r="M48" s="20"/>
      <c r="N48" s="95"/>
      <c r="O48" s="20"/>
      <c r="P48" s="20"/>
      <c r="Q48" s="20"/>
      <c r="R48" s="20"/>
      <c r="S48" s="95"/>
      <c r="T48" s="290"/>
      <c r="U48" s="20"/>
      <c r="V48" s="20"/>
      <c r="W48" s="20"/>
      <c r="X48" s="95"/>
      <c r="Y48" s="290"/>
      <c r="Z48" s="20"/>
      <c r="AA48" s="20"/>
      <c r="AB48" s="20"/>
      <c r="AC48" s="95"/>
      <c r="AD48" s="290"/>
      <c r="AE48" s="20"/>
      <c r="AF48" s="20"/>
      <c r="AG48" s="20"/>
      <c r="AH48" s="95"/>
      <c r="AI48" s="290"/>
      <c r="AJ48" s="20"/>
      <c r="AK48" s="20"/>
      <c r="AL48" s="20"/>
      <c r="AM48" s="95"/>
      <c r="AN48" s="290"/>
      <c r="AO48" s="20"/>
      <c r="AP48" s="20"/>
      <c r="AQ48" s="20"/>
      <c r="AR48" s="95"/>
      <c r="AS48" s="290"/>
      <c r="AT48" s="20"/>
      <c r="AU48" s="20"/>
      <c r="AV48" s="20"/>
      <c r="AW48" s="95"/>
      <c r="AX48" s="290"/>
      <c r="AY48" s="20"/>
      <c r="AZ48" s="20"/>
      <c r="BA48" s="20"/>
      <c r="BB48" s="95"/>
      <c r="BC48" s="290"/>
      <c r="BD48" s="20"/>
      <c r="BE48" s="20"/>
      <c r="BF48" s="20"/>
      <c r="BG48" s="95"/>
      <c r="BH48" s="290"/>
      <c r="BI48" s="20"/>
      <c r="BJ48" s="20"/>
      <c r="BK48" s="20"/>
      <c r="BL48" s="95"/>
      <c r="BM48" s="290"/>
      <c r="BN48" s="20"/>
      <c r="BO48" s="20"/>
      <c r="BP48" s="20"/>
      <c r="BQ48" s="95"/>
      <c r="BR48" s="290"/>
      <c r="BS48" s="20"/>
      <c r="BT48" s="20"/>
      <c r="BU48" s="20"/>
      <c r="BV48" s="95"/>
      <c r="BW48" s="244"/>
      <c r="BX48" s="238"/>
      <c r="BZ48" s="15">
        <v>243798853</v>
      </c>
      <c r="CA48" s="12">
        <v>624608366</v>
      </c>
      <c r="CB48" s="12">
        <v>12204523</v>
      </c>
      <c r="CC48" s="12">
        <v>64518506</v>
      </c>
    </row>
    <row r="49" spans="1:81" x14ac:dyDescent="0.2">
      <c r="A49" s="118" t="s">
        <v>20</v>
      </c>
      <c r="D49" s="52"/>
      <c r="E49" s="186"/>
      <c r="F49" s="22"/>
      <c r="G49" s="22"/>
      <c r="H49" s="22"/>
      <c r="I49" s="290"/>
      <c r="J49" s="186"/>
      <c r="K49" s="22"/>
      <c r="L49" s="22"/>
      <c r="M49" s="22"/>
      <c r="N49" s="95"/>
      <c r="O49" s="22"/>
      <c r="P49" s="22"/>
      <c r="Q49" s="22"/>
      <c r="R49" s="22"/>
      <c r="S49" s="290"/>
      <c r="T49" s="186"/>
      <c r="U49" s="22"/>
      <c r="V49" s="22"/>
      <c r="W49" s="22"/>
      <c r="X49" s="290"/>
      <c r="Y49" s="186"/>
      <c r="Z49" s="22"/>
      <c r="AA49" s="22"/>
      <c r="AB49" s="22"/>
      <c r="AC49" s="290"/>
      <c r="AD49" s="186"/>
      <c r="AE49" s="22"/>
      <c r="AF49" s="22"/>
      <c r="AG49" s="22"/>
      <c r="AH49" s="290"/>
      <c r="AI49" s="186"/>
      <c r="AJ49" s="22"/>
      <c r="AK49" s="22"/>
      <c r="AL49" s="22"/>
      <c r="AM49" s="290"/>
      <c r="AN49" s="186"/>
      <c r="AO49" s="22"/>
      <c r="AP49" s="22"/>
      <c r="AQ49" s="22"/>
      <c r="AR49" s="290"/>
      <c r="AS49" s="186"/>
      <c r="AT49" s="22"/>
      <c r="AU49" s="22"/>
      <c r="AV49" s="22"/>
      <c r="AW49" s="290"/>
      <c r="AX49" s="186"/>
      <c r="AY49" s="22"/>
      <c r="AZ49" s="22"/>
      <c r="BA49" s="22"/>
      <c r="BB49" s="290"/>
      <c r="BC49" s="186"/>
      <c r="BD49" s="22"/>
      <c r="BE49" s="22"/>
      <c r="BF49" s="22"/>
      <c r="BG49" s="290"/>
      <c r="BH49" s="186"/>
      <c r="BI49" s="22"/>
      <c r="BJ49" s="22"/>
      <c r="BK49" s="22"/>
      <c r="BL49" s="290"/>
      <c r="BM49" s="186"/>
      <c r="BN49" s="22"/>
      <c r="BO49" s="22"/>
      <c r="BP49" s="22"/>
      <c r="BQ49" s="290"/>
      <c r="BR49" s="186"/>
      <c r="BS49" s="22"/>
      <c r="BT49" s="22"/>
      <c r="BU49" s="22"/>
      <c r="BV49" s="290"/>
      <c r="BW49" s="335"/>
      <c r="BX49" s="238"/>
      <c r="BZ49" s="15">
        <v>0</v>
      </c>
      <c r="CA49" s="7">
        <v>0</v>
      </c>
      <c r="CB49" s="7">
        <v>0</v>
      </c>
      <c r="CC49" s="7">
        <v>0</v>
      </c>
    </row>
    <row r="50" spans="1:81" x14ac:dyDescent="0.2">
      <c r="A50" s="395" t="s">
        <v>236</v>
      </c>
      <c r="B50" s="436"/>
      <c r="C50" s="436"/>
      <c r="D50" s="52"/>
      <c r="E50" s="33">
        <v>5708</v>
      </c>
      <c r="F50" s="33">
        <v>0</v>
      </c>
      <c r="G50" s="33">
        <v>0</v>
      </c>
      <c r="H50" s="33">
        <v>0</v>
      </c>
      <c r="I50" s="284">
        <v>5708</v>
      </c>
      <c r="J50" s="325">
        <v>475</v>
      </c>
      <c r="K50" s="33">
        <v>0</v>
      </c>
      <c r="L50" s="33">
        <v>0</v>
      </c>
      <c r="M50" s="33">
        <v>0</v>
      </c>
      <c r="N50" s="284">
        <v>475</v>
      </c>
      <c r="O50" s="33">
        <v>475</v>
      </c>
      <c r="P50" s="33">
        <v>0</v>
      </c>
      <c r="Q50" s="33">
        <v>0</v>
      </c>
      <c r="R50" s="33">
        <v>0</v>
      </c>
      <c r="S50" s="284">
        <v>475</v>
      </c>
      <c r="T50" s="33">
        <v>475</v>
      </c>
      <c r="U50" s="33">
        <v>0</v>
      </c>
      <c r="V50" s="33">
        <v>0</v>
      </c>
      <c r="W50" s="33">
        <v>0</v>
      </c>
      <c r="X50" s="284">
        <v>475</v>
      </c>
      <c r="Y50" s="33">
        <v>483</v>
      </c>
      <c r="Z50" s="33">
        <v>0</v>
      </c>
      <c r="AA50" s="33">
        <v>0</v>
      </c>
      <c r="AB50" s="33">
        <v>0</v>
      </c>
      <c r="AC50" s="284">
        <v>483</v>
      </c>
      <c r="AD50" s="33">
        <v>475</v>
      </c>
      <c r="AE50" s="33">
        <v>0</v>
      </c>
      <c r="AF50" s="33">
        <v>0</v>
      </c>
      <c r="AG50" s="33">
        <v>0</v>
      </c>
      <c r="AH50" s="284">
        <v>475</v>
      </c>
      <c r="AI50" s="33">
        <v>475</v>
      </c>
      <c r="AJ50" s="33">
        <v>0</v>
      </c>
      <c r="AK50" s="33">
        <v>0</v>
      </c>
      <c r="AL50" s="33">
        <v>0</v>
      </c>
      <c r="AM50" s="284">
        <v>475</v>
      </c>
      <c r="AN50" s="33">
        <v>499</v>
      </c>
      <c r="AO50" s="33">
        <v>0</v>
      </c>
      <c r="AP50" s="33">
        <v>0</v>
      </c>
      <c r="AQ50" s="33">
        <v>0</v>
      </c>
      <c r="AR50" s="284">
        <v>499</v>
      </c>
      <c r="AS50" s="33">
        <v>475</v>
      </c>
      <c r="AT50" s="33">
        <v>0</v>
      </c>
      <c r="AU50" s="33">
        <v>0</v>
      </c>
      <c r="AV50" s="33">
        <v>0</v>
      </c>
      <c r="AW50" s="284">
        <v>475</v>
      </c>
      <c r="AX50" s="33">
        <v>475</v>
      </c>
      <c r="AY50" s="33">
        <v>0</v>
      </c>
      <c r="AZ50" s="33">
        <v>0</v>
      </c>
      <c r="BA50" s="33">
        <v>0</v>
      </c>
      <c r="BB50" s="284">
        <v>475</v>
      </c>
      <c r="BC50" s="33">
        <v>451</v>
      </c>
      <c r="BD50" s="33">
        <v>0</v>
      </c>
      <c r="BE50" s="33">
        <v>0</v>
      </c>
      <c r="BF50" s="33">
        <v>0</v>
      </c>
      <c r="BG50" s="284">
        <v>451</v>
      </c>
      <c r="BH50" s="33">
        <v>475</v>
      </c>
      <c r="BI50" s="33">
        <v>0</v>
      </c>
      <c r="BJ50" s="33">
        <v>0</v>
      </c>
      <c r="BK50" s="33">
        <v>0</v>
      </c>
      <c r="BL50" s="284">
        <v>475</v>
      </c>
      <c r="BM50" s="33">
        <v>475</v>
      </c>
      <c r="BN50" s="33">
        <v>0</v>
      </c>
      <c r="BO50" s="33">
        <v>0</v>
      </c>
      <c r="BP50" s="33">
        <v>0</v>
      </c>
      <c r="BQ50" s="284">
        <v>475</v>
      </c>
      <c r="BR50" s="33">
        <v>5708</v>
      </c>
      <c r="BS50" s="33">
        <v>0</v>
      </c>
      <c r="BT50" s="33">
        <v>0</v>
      </c>
      <c r="BU50" s="33">
        <v>0</v>
      </c>
      <c r="BV50" s="284">
        <v>5708</v>
      </c>
      <c r="BW50" s="244"/>
      <c r="BX50" s="238">
        <v>100</v>
      </c>
      <c r="BZ50" s="15">
        <v>0</v>
      </c>
      <c r="CA50" s="7">
        <v>0</v>
      </c>
      <c r="CB50" s="7">
        <v>0</v>
      </c>
      <c r="CC50" s="7">
        <v>0</v>
      </c>
    </row>
    <row r="51" spans="1:81" x14ac:dyDescent="0.2">
      <c r="A51" s="395" t="s">
        <v>237</v>
      </c>
      <c r="B51" s="436"/>
      <c r="D51" s="123" t="s">
        <v>73</v>
      </c>
      <c r="E51" s="33">
        <v>600518</v>
      </c>
      <c r="F51" s="33">
        <v>0</v>
      </c>
      <c r="G51" s="33">
        <v>0</v>
      </c>
      <c r="H51" s="33">
        <v>0</v>
      </c>
      <c r="I51" s="284">
        <v>600518</v>
      </c>
      <c r="J51" s="325">
        <v>43960</v>
      </c>
      <c r="K51" s="33">
        <v>0</v>
      </c>
      <c r="L51" s="33">
        <v>0</v>
      </c>
      <c r="M51" s="33">
        <v>0</v>
      </c>
      <c r="N51" s="284">
        <v>43960</v>
      </c>
      <c r="O51" s="33">
        <v>43960</v>
      </c>
      <c r="P51" s="33">
        <v>0</v>
      </c>
      <c r="Q51" s="33">
        <v>0</v>
      </c>
      <c r="R51" s="33">
        <v>0</v>
      </c>
      <c r="S51" s="284">
        <v>43960</v>
      </c>
      <c r="T51" s="33">
        <v>43960</v>
      </c>
      <c r="U51" s="33">
        <v>0</v>
      </c>
      <c r="V51" s="33">
        <v>0</v>
      </c>
      <c r="W51" s="33">
        <v>0</v>
      </c>
      <c r="X51" s="284">
        <v>43960</v>
      </c>
      <c r="Y51" s="33">
        <v>103960</v>
      </c>
      <c r="Z51" s="33">
        <v>0</v>
      </c>
      <c r="AA51" s="33">
        <v>0</v>
      </c>
      <c r="AB51" s="33">
        <v>0</v>
      </c>
      <c r="AC51" s="284">
        <v>103960</v>
      </c>
      <c r="AD51" s="33">
        <v>103960</v>
      </c>
      <c r="AE51" s="33">
        <v>0</v>
      </c>
      <c r="AF51" s="33">
        <v>0</v>
      </c>
      <c r="AG51" s="33">
        <v>0</v>
      </c>
      <c r="AH51" s="284">
        <v>103960</v>
      </c>
      <c r="AI51" s="33">
        <v>43960</v>
      </c>
      <c r="AJ51" s="33">
        <v>0</v>
      </c>
      <c r="AK51" s="33">
        <v>0</v>
      </c>
      <c r="AL51" s="33">
        <v>0</v>
      </c>
      <c r="AM51" s="284">
        <v>43960</v>
      </c>
      <c r="AN51" s="33">
        <v>43960</v>
      </c>
      <c r="AO51" s="33">
        <v>0</v>
      </c>
      <c r="AP51" s="33">
        <v>0</v>
      </c>
      <c r="AQ51" s="33">
        <v>0</v>
      </c>
      <c r="AR51" s="284">
        <v>43960</v>
      </c>
      <c r="AS51" s="33">
        <v>43960</v>
      </c>
      <c r="AT51" s="33">
        <v>0</v>
      </c>
      <c r="AU51" s="33">
        <v>0</v>
      </c>
      <c r="AV51" s="33">
        <v>0</v>
      </c>
      <c r="AW51" s="284">
        <v>43960</v>
      </c>
      <c r="AX51" s="33">
        <v>43960</v>
      </c>
      <c r="AY51" s="33">
        <v>0</v>
      </c>
      <c r="AZ51" s="33">
        <v>0</v>
      </c>
      <c r="BA51" s="33">
        <v>0</v>
      </c>
      <c r="BB51" s="284">
        <v>43960</v>
      </c>
      <c r="BC51" s="33">
        <v>3960</v>
      </c>
      <c r="BD51" s="33">
        <v>0</v>
      </c>
      <c r="BE51" s="33">
        <v>0</v>
      </c>
      <c r="BF51" s="33">
        <v>0</v>
      </c>
      <c r="BG51" s="284">
        <v>3960</v>
      </c>
      <c r="BH51" s="33">
        <v>53960</v>
      </c>
      <c r="BI51" s="33">
        <v>0</v>
      </c>
      <c r="BJ51" s="33">
        <v>0</v>
      </c>
      <c r="BK51" s="33">
        <v>0</v>
      </c>
      <c r="BL51" s="284">
        <v>53960</v>
      </c>
      <c r="BM51" s="33">
        <v>26958</v>
      </c>
      <c r="BN51" s="33">
        <v>0</v>
      </c>
      <c r="BO51" s="33">
        <v>0</v>
      </c>
      <c r="BP51" s="33">
        <v>0</v>
      </c>
      <c r="BQ51" s="284">
        <v>26958</v>
      </c>
      <c r="BR51" s="33">
        <v>600518</v>
      </c>
      <c r="BS51" s="33">
        <v>0</v>
      </c>
      <c r="BT51" s="33">
        <v>0</v>
      </c>
      <c r="BU51" s="33">
        <v>0</v>
      </c>
      <c r="BV51" s="284">
        <v>600518</v>
      </c>
      <c r="BW51" s="244"/>
      <c r="BX51" s="238">
        <v>100</v>
      </c>
      <c r="BZ51" s="15">
        <v>0</v>
      </c>
      <c r="CA51" s="7">
        <v>0</v>
      </c>
      <c r="CB51" s="7">
        <v>0</v>
      </c>
      <c r="CC51" s="7">
        <v>0</v>
      </c>
    </row>
    <row r="52" spans="1:81" x14ac:dyDescent="0.2">
      <c r="A52" s="395" t="s">
        <v>238</v>
      </c>
      <c r="B52" s="436"/>
      <c r="D52" s="207"/>
      <c r="E52" s="33">
        <v>204769349.69999999</v>
      </c>
      <c r="F52" s="33">
        <v>0</v>
      </c>
      <c r="G52" s="33">
        <v>0</v>
      </c>
      <c r="H52" s="33">
        <v>0</v>
      </c>
      <c r="I52" s="284">
        <v>204769349.69999999</v>
      </c>
      <c r="J52" s="325">
        <v>3587887</v>
      </c>
      <c r="K52" s="33">
        <v>0</v>
      </c>
      <c r="L52" s="33">
        <v>0</v>
      </c>
      <c r="M52" s="33">
        <v>0</v>
      </c>
      <c r="N52" s="284">
        <v>3587887</v>
      </c>
      <c r="O52" s="33">
        <v>4274259</v>
      </c>
      <c r="P52" s="33">
        <v>0</v>
      </c>
      <c r="Q52" s="33">
        <v>0</v>
      </c>
      <c r="R52" s="33">
        <v>0</v>
      </c>
      <c r="S52" s="284">
        <v>4274259</v>
      </c>
      <c r="T52" s="33">
        <v>20232557</v>
      </c>
      <c r="U52" s="33">
        <v>0</v>
      </c>
      <c r="V52" s="33">
        <v>0</v>
      </c>
      <c r="W52" s="33">
        <v>0</v>
      </c>
      <c r="X52" s="284">
        <v>20232557</v>
      </c>
      <c r="Y52" s="33">
        <v>27300430</v>
      </c>
      <c r="Z52" s="33">
        <v>0</v>
      </c>
      <c r="AA52" s="33">
        <v>0</v>
      </c>
      <c r="AB52" s="33">
        <v>0</v>
      </c>
      <c r="AC52" s="284">
        <v>27300430</v>
      </c>
      <c r="AD52" s="33">
        <v>27624060</v>
      </c>
      <c r="AE52" s="33">
        <v>0</v>
      </c>
      <c r="AF52" s="33">
        <v>0</v>
      </c>
      <c r="AG52" s="33">
        <v>0</v>
      </c>
      <c r="AH52" s="284">
        <v>27624060</v>
      </c>
      <c r="AI52" s="33">
        <v>16497519</v>
      </c>
      <c r="AJ52" s="33">
        <v>0</v>
      </c>
      <c r="AK52" s="33">
        <v>0</v>
      </c>
      <c r="AL52" s="33">
        <v>0</v>
      </c>
      <c r="AM52" s="284">
        <v>16497519</v>
      </c>
      <c r="AN52" s="33">
        <v>4518363</v>
      </c>
      <c r="AO52" s="33">
        <v>0</v>
      </c>
      <c r="AP52" s="33">
        <v>0</v>
      </c>
      <c r="AQ52" s="33">
        <v>0</v>
      </c>
      <c r="AR52" s="284">
        <v>4518363</v>
      </c>
      <c r="AS52" s="33">
        <v>2314875</v>
      </c>
      <c r="AT52" s="33">
        <v>0</v>
      </c>
      <c r="AU52" s="33">
        <v>0</v>
      </c>
      <c r="AV52" s="33">
        <v>0</v>
      </c>
      <c r="AW52" s="284">
        <v>2314875</v>
      </c>
      <c r="AX52" s="33">
        <v>21145008</v>
      </c>
      <c r="AY52" s="33">
        <v>0</v>
      </c>
      <c r="AZ52" s="33">
        <v>0</v>
      </c>
      <c r="BA52" s="33">
        <v>0</v>
      </c>
      <c r="BB52" s="284">
        <v>21145008</v>
      </c>
      <c r="BC52" s="33">
        <v>28808483</v>
      </c>
      <c r="BD52" s="33">
        <v>0</v>
      </c>
      <c r="BE52" s="33">
        <v>0</v>
      </c>
      <c r="BF52" s="33">
        <v>0</v>
      </c>
      <c r="BG52" s="284">
        <v>28808483</v>
      </c>
      <c r="BH52" s="33">
        <v>29392738</v>
      </c>
      <c r="BI52" s="33">
        <v>0</v>
      </c>
      <c r="BJ52" s="33">
        <v>0</v>
      </c>
      <c r="BK52" s="33">
        <v>0</v>
      </c>
      <c r="BL52" s="284">
        <v>29392738</v>
      </c>
      <c r="BM52" s="33">
        <v>19073170.699999999</v>
      </c>
      <c r="BN52" s="33">
        <v>0</v>
      </c>
      <c r="BO52" s="33">
        <v>0</v>
      </c>
      <c r="BP52" s="33">
        <v>0</v>
      </c>
      <c r="BQ52" s="284">
        <v>19073170.699999999</v>
      </c>
      <c r="BR52" s="33">
        <v>204769349.69999999</v>
      </c>
      <c r="BS52" s="33">
        <v>0</v>
      </c>
      <c r="BT52" s="33">
        <v>0</v>
      </c>
      <c r="BU52" s="33">
        <v>0</v>
      </c>
      <c r="BV52" s="284">
        <v>204769349.69999999</v>
      </c>
      <c r="BW52" s="244"/>
      <c r="BX52" s="238">
        <v>100</v>
      </c>
      <c r="BZ52" s="7">
        <v>0</v>
      </c>
      <c r="CA52" s="7">
        <v>0</v>
      </c>
      <c r="CB52" s="7">
        <v>0</v>
      </c>
      <c r="CC52" s="7">
        <v>0</v>
      </c>
    </row>
    <row r="53" spans="1:81" s="25" customFormat="1" x14ac:dyDescent="0.2">
      <c r="A53" s="363" t="s">
        <v>118</v>
      </c>
      <c r="D53" s="207"/>
      <c r="E53" s="28">
        <v>204620552.25</v>
      </c>
      <c r="F53" s="28">
        <v>0</v>
      </c>
      <c r="G53" s="28">
        <v>0</v>
      </c>
      <c r="H53" s="28">
        <v>0</v>
      </c>
      <c r="I53" s="454">
        <v>204620552.25</v>
      </c>
      <c r="J53" s="463">
        <v>3587571</v>
      </c>
      <c r="K53" s="28">
        <v>0</v>
      </c>
      <c r="L53" s="28">
        <v>0</v>
      </c>
      <c r="M53" s="28">
        <v>0</v>
      </c>
      <c r="N53" s="454">
        <v>3587571</v>
      </c>
      <c r="O53" s="28">
        <v>4257039</v>
      </c>
      <c r="P53" s="28">
        <v>0</v>
      </c>
      <c r="Q53" s="28">
        <v>0</v>
      </c>
      <c r="R53" s="28">
        <v>0</v>
      </c>
      <c r="S53" s="454">
        <v>4257039</v>
      </c>
      <c r="T53" s="28">
        <v>20232306</v>
      </c>
      <c r="U53" s="28">
        <v>0</v>
      </c>
      <c r="V53" s="28">
        <v>0</v>
      </c>
      <c r="W53" s="28">
        <v>0</v>
      </c>
      <c r="X53" s="454">
        <v>20232306</v>
      </c>
      <c r="Y53" s="260">
        <v>27299692.5</v>
      </c>
      <c r="Z53" s="28">
        <v>0</v>
      </c>
      <c r="AA53" s="28">
        <v>0</v>
      </c>
      <c r="AB53" s="28">
        <v>0</v>
      </c>
      <c r="AC53" s="454">
        <v>27299692.5</v>
      </c>
      <c r="AD53" s="28">
        <v>27623391</v>
      </c>
      <c r="AE53" s="28">
        <v>0</v>
      </c>
      <c r="AF53" s="28">
        <v>0</v>
      </c>
      <c r="AG53" s="28">
        <v>0</v>
      </c>
      <c r="AH53" s="454">
        <v>27623391</v>
      </c>
      <c r="AI53" s="28">
        <v>16497399</v>
      </c>
      <c r="AJ53" s="28">
        <v>0</v>
      </c>
      <c r="AK53" s="28">
        <v>0</v>
      </c>
      <c r="AL53" s="28">
        <v>0</v>
      </c>
      <c r="AM53" s="454">
        <v>16497399</v>
      </c>
      <c r="AN53" s="28">
        <v>4417100</v>
      </c>
      <c r="AO53" s="28">
        <v>0</v>
      </c>
      <c r="AP53" s="28">
        <v>0</v>
      </c>
      <c r="AQ53" s="28">
        <v>0</v>
      </c>
      <c r="AR53" s="454">
        <v>4417100</v>
      </c>
      <c r="AS53" s="28">
        <v>2309095</v>
      </c>
      <c r="AT53" s="28">
        <v>0</v>
      </c>
      <c r="AU53" s="28">
        <v>0</v>
      </c>
      <c r="AV53" s="28">
        <v>0</v>
      </c>
      <c r="AW53" s="454">
        <v>2309095</v>
      </c>
      <c r="AX53" s="28">
        <v>21144106</v>
      </c>
      <c r="AY53" s="28">
        <v>0</v>
      </c>
      <c r="AZ53" s="28">
        <v>0</v>
      </c>
      <c r="BA53" s="28">
        <v>0</v>
      </c>
      <c r="BB53" s="454">
        <v>21144106</v>
      </c>
      <c r="BC53" s="28">
        <v>28808072</v>
      </c>
      <c r="BD53" s="28">
        <v>0</v>
      </c>
      <c r="BE53" s="28">
        <v>0</v>
      </c>
      <c r="BF53" s="28">
        <v>0</v>
      </c>
      <c r="BG53" s="454">
        <v>28808072</v>
      </c>
      <c r="BH53" s="28">
        <v>29372279</v>
      </c>
      <c r="BI53" s="28">
        <v>0</v>
      </c>
      <c r="BJ53" s="28">
        <v>0</v>
      </c>
      <c r="BK53" s="28">
        <v>0</v>
      </c>
      <c r="BL53" s="454">
        <v>29372279</v>
      </c>
      <c r="BM53" s="28">
        <v>19072501.75</v>
      </c>
      <c r="BN53" s="28">
        <v>0</v>
      </c>
      <c r="BO53" s="28">
        <v>0</v>
      </c>
      <c r="BP53" s="28">
        <v>0</v>
      </c>
      <c r="BQ53" s="454">
        <v>19072501.75</v>
      </c>
      <c r="BR53" s="28">
        <v>204620552.25</v>
      </c>
      <c r="BS53" s="28">
        <v>0</v>
      </c>
      <c r="BT53" s="28">
        <v>0</v>
      </c>
      <c r="BU53" s="28">
        <v>0</v>
      </c>
      <c r="BV53" s="454">
        <v>204620552.25</v>
      </c>
      <c r="BW53" s="268"/>
      <c r="BX53" s="178">
        <v>100</v>
      </c>
      <c r="BZ53" s="25">
        <v>0</v>
      </c>
      <c r="CA53" s="25">
        <v>0</v>
      </c>
      <c r="CB53" s="25">
        <v>0</v>
      </c>
      <c r="CC53" s="25">
        <v>0</v>
      </c>
    </row>
    <row r="54" spans="1:81" s="25" customFormat="1" x14ac:dyDescent="0.2">
      <c r="A54" s="363" t="s">
        <v>239</v>
      </c>
      <c r="D54" s="207"/>
      <c r="E54" s="28">
        <v>148797.45000000001</v>
      </c>
      <c r="F54" s="28">
        <v>0</v>
      </c>
      <c r="G54" s="28">
        <v>0</v>
      </c>
      <c r="H54" s="28">
        <v>0</v>
      </c>
      <c r="I54" s="454">
        <v>148797.45000000001</v>
      </c>
      <c r="J54" s="463">
        <v>316</v>
      </c>
      <c r="K54" s="28">
        <v>0</v>
      </c>
      <c r="L54" s="28">
        <v>0</v>
      </c>
      <c r="M54" s="28">
        <v>0</v>
      </c>
      <c r="N54" s="454">
        <v>316</v>
      </c>
      <c r="O54" s="28">
        <v>17220</v>
      </c>
      <c r="P54" s="28">
        <v>0</v>
      </c>
      <c r="Q54" s="28">
        <v>0</v>
      </c>
      <c r="R54" s="28">
        <v>0</v>
      </c>
      <c r="S54" s="454">
        <v>17220</v>
      </c>
      <c r="T54" s="28">
        <v>251</v>
      </c>
      <c r="U54" s="28">
        <v>0</v>
      </c>
      <c r="V54" s="28">
        <v>0</v>
      </c>
      <c r="W54" s="28">
        <v>0</v>
      </c>
      <c r="X54" s="454">
        <v>251</v>
      </c>
      <c r="Y54" s="260">
        <v>737.5</v>
      </c>
      <c r="Z54" s="28">
        <v>0</v>
      </c>
      <c r="AA54" s="28">
        <v>0</v>
      </c>
      <c r="AB54" s="28">
        <v>0</v>
      </c>
      <c r="AC54" s="454">
        <v>737.5</v>
      </c>
      <c r="AD54" s="28">
        <v>669</v>
      </c>
      <c r="AE54" s="28">
        <v>0</v>
      </c>
      <c r="AF54" s="28">
        <v>0</v>
      </c>
      <c r="AG54" s="28">
        <v>0</v>
      </c>
      <c r="AH54" s="454">
        <v>669</v>
      </c>
      <c r="AI54" s="28">
        <v>120</v>
      </c>
      <c r="AJ54" s="28">
        <v>0</v>
      </c>
      <c r="AK54" s="28">
        <v>0</v>
      </c>
      <c r="AL54" s="28">
        <v>0</v>
      </c>
      <c r="AM54" s="454">
        <v>120</v>
      </c>
      <c r="AN54" s="28">
        <v>101263</v>
      </c>
      <c r="AO54" s="28">
        <v>0</v>
      </c>
      <c r="AP54" s="28">
        <v>0</v>
      </c>
      <c r="AQ54" s="28">
        <v>0</v>
      </c>
      <c r="AR54" s="454">
        <v>101263</v>
      </c>
      <c r="AS54" s="28">
        <v>5780</v>
      </c>
      <c r="AT54" s="28">
        <v>0</v>
      </c>
      <c r="AU54" s="28">
        <v>0</v>
      </c>
      <c r="AV54" s="28">
        <v>0</v>
      </c>
      <c r="AW54" s="454">
        <v>5780</v>
      </c>
      <c r="AX54" s="28">
        <v>902</v>
      </c>
      <c r="AY54" s="28">
        <v>0</v>
      </c>
      <c r="AZ54" s="28">
        <v>0</v>
      </c>
      <c r="BA54" s="28">
        <v>0</v>
      </c>
      <c r="BB54" s="454">
        <v>902</v>
      </c>
      <c r="BC54" s="28">
        <v>411</v>
      </c>
      <c r="BD54" s="28">
        <v>0</v>
      </c>
      <c r="BE54" s="28">
        <v>0</v>
      </c>
      <c r="BF54" s="28">
        <v>0</v>
      </c>
      <c r="BG54" s="454">
        <v>411</v>
      </c>
      <c r="BH54" s="28">
        <v>20459</v>
      </c>
      <c r="BI54" s="28">
        <v>0</v>
      </c>
      <c r="BJ54" s="28">
        <v>0</v>
      </c>
      <c r="BK54" s="28">
        <v>0</v>
      </c>
      <c r="BL54" s="454">
        <v>20459</v>
      </c>
      <c r="BM54" s="28">
        <v>668.95</v>
      </c>
      <c r="BN54" s="28">
        <v>0</v>
      </c>
      <c r="BO54" s="28">
        <v>0</v>
      </c>
      <c r="BP54" s="28">
        <v>0</v>
      </c>
      <c r="BQ54" s="454">
        <v>668.95</v>
      </c>
      <c r="BR54" s="28">
        <v>148797.45000000001</v>
      </c>
      <c r="BS54" s="28">
        <v>0</v>
      </c>
      <c r="BT54" s="28">
        <v>0</v>
      </c>
      <c r="BU54" s="28">
        <v>0</v>
      </c>
      <c r="BV54" s="454">
        <v>148797.45000000001</v>
      </c>
      <c r="BW54" s="268"/>
      <c r="BX54" s="178">
        <v>100</v>
      </c>
      <c r="BZ54" s="25">
        <v>0</v>
      </c>
      <c r="CA54" s="25">
        <v>0</v>
      </c>
      <c r="CB54" s="25">
        <v>0</v>
      </c>
      <c r="CC54" s="25">
        <v>0</v>
      </c>
    </row>
    <row r="55" spans="1:81" x14ac:dyDescent="0.2">
      <c r="A55" s="395" t="s">
        <v>240</v>
      </c>
      <c r="B55" s="436"/>
      <c r="D55" s="123"/>
      <c r="E55" s="33">
        <v>0</v>
      </c>
      <c r="F55" s="33">
        <v>505553753</v>
      </c>
      <c r="G55" s="33">
        <v>0</v>
      </c>
      <c r="H55" s="33">
        <v>0</v>
      </c>
      <c r="I55" s="284">
        <v>505553753</v>
      </c>
      <c r="J55" s="325">
        <v>0</v>
      </c>
      <c r="K55" s="33">
        <v>42129484</v>
      </c>
      <c r="L55" s="33">
        <v>0</v>
      </c>
      <c r="M55" s="33">
        <v>0</v>
      </c>
      <c r="N55" s="284">
        <v>42129484</v>
      </c>
      <c r="O55" s="33">
        <v>0</v>
      </c>
      <c r="P55" s="33">
        <v>42129482</v>
      </c>
      <c r="Q55" s="33">
        <v>0</v>
      </c>
      <c r="R55" s="33">
        <v>0</v>
      </c>
      <c r="S55" s="284">
        <v>42129482</v>
      </c>
      <c r="T55" s="33">
        <v>0</v>
      </c>
      <c r="U55" s="33">
        <v>42129482</v>
      </c>
      <c r="V55" s="33">
        <v>0</v>
      </c>
      <c r="W55" s="33">
        <v>0</v>
      </c>
      <c r="X55" s="284">
        <v>42129482</v>
      </c>
      <c r="Y55" s="33">
        <v>0</v>
      </c>
      <c r="Z55" s="33">
        <v>42129482</v>
      </c>
      <c r="AA55" s="33">
        <v>0</v>
      </c>
      <c r="AB55" s="33">
        <v>0</v>
      </c>
      <c r="AC55" s="284">
        <v>42129482</v>
      </c>
      <c r="AD55" s="33">
        <v>0</v>
      </c>
      <c r="AE55" s="33">
        <v>42129480</v>
      </c>
      <c r="AF55" s="33">
        <v>0</v>
      </c>
      <c r="AG55" s="33">
        <v>0</v>
      </c>
      <c r="AH55" s="284">
        <v>42129480</v>
      </c>
      <c r="AI55" s="33">
        <v>0</v>
      </c>
      <c r="AJ55" s="33">
        <v>42129480</v>
      </c>
      <c r="AK55" s="33">
        <v>0</v>
      </c>
      <c r="AL55" s="33">
        <v>0</v>
      </c>
      <c r="AM55" s="284">
        <v>42129480</v>
      </c>
      <c r="AN55" s="33">
        <v>0</v>
      </c>
      <c r="AO55" s="33">
        <v>42129479</v>
      </c>
      <c r="AP55" s="33">
        <v>0</v>
      </c>
      <c r="AQ55" s="33">
        <v>0</v>
      </c>
      <c r="AR55" s="284">
        <v>42129479</v>
      </c>
      <c r="AS55" s="33">
        <v>0</v>
      </c>
      <c r="AT55" s="33">
        <v>42129479</v>
      </c>
      <c r="AU55" s="33">
        <v>0</v>
      </c>
      <c r="AV55" s="33">
        <v>0</v>
      </c>
      <c r="AW55" s="284">
        <v>42129479</v>
      </c>
      <c r="AX55" s="33">
        <v>0</v>
      </c>
      <c r="AY55" s="33">
        <v>42129478</v>
      </c>
      <c r="AZ55" s="33">
        <v>0</v>
      </c>
      <c r="BA55" s="33">
        <v>0</v>
      </c>
      <c r="BB55" s="284">
        <v>42129478</v>
      </c>
      <c r="BC55" s="33">
        <v>0</v>
      </c>
      <c r="BD55" s="33">
        <v>42129477</v>
      </c>
      <c r="BE55" s="33">
        <v>0</v>
      </c>
      <c r="BF55" s="33">
        <v>0</v>
      </c>
      <c r="BG55" s="284">
        <v>42129477</v>
      </c>
      <c r="BH55" s="33">
        <v>0</v>
      </c>
      <c r="BI55" s="33">
        <v>42129475</v>
      </c>
      <c r="BJ55" s="33">
        <v>0</v>
      </c>
      <c r="BK55" s="33">
        <v>0</v>
      </c>
      <c r="BL55" s="284">
        <v>42129475</v>
      </c>
      <c r="BM55" s="33">
        <v>0</v>
      </c>
      <c r="BN55" s="33">
        <v>42129475</v>
      </c>
      <c r="BO55" s="33">
        <v>0</v>
      </c>
      <c r="BP55" s="33">
        <v>0</v>
      </c>
      <c r="BQ55" s="284">
        <v>42129475</v>
      </c>
      <c r="BR55" s="33">
        <v>0</v>
      </c>
      <c r="BS55" s="33">
        <v>505553753</v>
      </c>
      <c r="BT55" s="33">
        <v>0</v>
      </c>
      <c r="BU55" s="33">
        <v>0</v>
      </c>
      <c r="BV55" s="284">
        <v>505553753</v>
      </c>
      <c r="BW55" s="244"/>
      <c r="BX55" s="238">
        <v>100</v>
      </c>
      <c r="BY55" s="12"/>
      <c r="BZ55" s="7">
        <v>0</v>
      </c>
      <c r="CA55" s="7">
        <v>0</v>
      </c>
      <c r="CB55" s="7">
        <v>0</v>
      </c>
      <c r="CC55" s="7">
        <v>0</v>
      </c>
    </row>
    <row r="56" spans="1:81" x14ac:dyDescent="0.2">
      <c r="A56" s="395" t="s">
        <v>241</v>
      </c>
      <c r="B56" s="436"/>
      <c r="D56" s="52"/>
      <c r="E56" s="33">
        <v>0</v>
      </c>
      <c r="F56" s="33">
        <v>13166793</v>
      </c>
      <c r="G56" s="33">
        <v>0</v>
      </c>
      <c r="H56" s="33">
        <v>0</v>
      </c>
      <c r="I56" s="284">
        <v>13166793</v>
      </c>
      <c r="J56" s="325">
        <v>0</v>
      </c>
      <c r="K56" s="33">
        <v>0</v>
      </c>
      <c r="L56" s="33">
        <v>0</v>
      </c>
      <c r="M56" s="33">
        <v>0</v>
      </c>
      <c r="N56" s="284">
        <v>0</v>
      </c>
      <c r="O56" s="33">
        <v>0</v>
      </c>
      <c r="P56" s="33">
        <v>0</v>
      </c>
      <c r="Q56" s="33">
        <v>0</v>
      </c>
      <c r="R56" s="33">
        <v>0</v>
      </c>
      <c r="S56" s="284">
        <v>0</v>
      </c>
      <c r="T56" s="33">
        <v>0</v>
      </c>
      <c r="U56" s="33">
        <v>0</v>
      </c>
      <c r="V56" s="33">
        <v>0</v>
      </c>
      <c r="W56" s="33">
        <v>0</v>
      </c>
      <c r="X56" s="284">
        <v>0</v>
      </c>
      <c r="Y56" s="33">
        <v>0</v>
      </c>
      <c r="Z56" s="33">
        <v>0</v>
      </c>
      <c r="AA56" s="33">
        <v>0</v>
      </c>
      <c r="AB56" s="33">
        <v>0</v>
      </c>
      <c r="AC56" s="284">
        <v>0</v>
      </c>
      <c r="AD56" s="33">
        <v>0</v>
      </c>
      <c r="AE56" s="33">
        <v>4388928</v>
      </c>
      <c r="AF56" s="33">
        <v>0</v>
      </c>
      <c r="AG56" s="33">
        <v>0</v>
      </c>
      <c r="AH56" s="284">
        <v>4388928</v>
      </c>
      <c r="AI56" s="33">
        <v>0</v>
      </c>
      <c r="AJ56" s="33">
        <v>0</v>
      </c>
      <c r="AK56" s="33">
        <v>0</v>
      </c>
      <c r="AL56" s="33">
        <v>0</v>
      </c>
      <c r="AM56" s="284">
        <v>0</v>
      </c>
      <c r="AN56" s="33">
        <v>0</v>
      </c>
      <c r="AO56" s="33">
        <v>0</v>
      </c>
      <c r="AP56" s="33">
        <v>0</v>
      </c>
      <c r="AQ56" s="33">
        <v>0</v>
      </c>
      <c r="AR56" s="284">
        <v>0</v>
      </c>
      <c r="AS56" s="33">
        <v>0</v>
      </c>
      <c r="AT56" s="33">
        <v>0</v>
      </c>
      <c r="AU56" s="33">
        <v>0</v>
      </c>
      <c r="AV56" s="33">
        <v>0</v>
      </c>
      <c r="AW56" s="284">
        <v>0</v>
      </c>
      <c r="AX56" s="33">
        <v>0</v>
      </c>
      <c r="AY56" s="33">
        <v>4388931</v>
      </c>
      <c r="AZ56" s="33">
        <v>0</v>
      </c>
      <c r="BA56" s="33">
        <v>0</v>
      </c>
      <c r="BB56" s="284">
        <v>4388931</v>
      </c>
      <c r="BC56" s="33">
        <v>0</v>
      </c>
      <c r="BD56" s="33">
        <v>0</v>
      </c>
      <c r="BE56" s="33">
        <v>0</v>
      </c>
      <c r="BF56" s="33">
        <v>0</v>
      </c>
      <c r="BG56" s="284">
        <v>0</v>
      </c>
      <c r="BH56" s="33">
        <v>0</v>
      </c>
      <c r="BI56" s="33">
        <v>0</v>
      </c>
      <c r="BJ56" s="33">
        <v>0</v>
      </c>
      <c r="BK56" s="33">
        <v>0</v>
      </c>
      <c r="BL56" s="284">
        <v>0</v>
      </c>
      <c r="BM56" s="33">
        <v>0</v>
      </c>
      <c r="BN56" s="33">
        <v>4388934</v>
      </c>
      <c r="BO56" s="33">
        <v>0</v>
      </c>
      <c r="BP56" s="33">
        <v>0</v>
      </c>
      <c r="BQ56" s="284">
        <v>4388934</v>
      </c>
      <c r="BR56" s="33">
        <v>0</v>
      </c>
      <c r="BS56" s="33">
        <v>13166793</v>
      </c>
      <c r="BT56" s="33">
        <v>0</v>
      </c>
      <c r="BU56" s="33">
        <v>0</v>
      </c>
      <c r="BV56" s="284">
        <v>13166793</v>
      </c>
      <c r="BW56" s="244"/>
      <c r="BX56" s="238">
        <v>100</v>
      </c>
      <c r="BZ56" s="7">
        <v>0</v>
      </c>
      <c r="CA56" s="7">
        <v>0</v>
      </c>
      <c r="CB56" s="7">
        <v>0</v>
      </c>
      <c r="CC56" s="7">
        <v>0</v>
      </c>
    </row>
    <row r="57" spans="1:81" ht="12" customHeight="1" x14ac:dyDescent="0.2">
      <c r="A57" s="395" t="s">
        <v>242</v>
      </c>
      <c r="B57" s="436"/>
      <c r="D57" s="123" t="s">
        <v>75</v>
      </c>
      <c r="E57" s="33">
        <v>0</v>
      </c>
      <c r="F57" s="33">
        <v>0</v>
      </c>
      <c r="G57" s="33">
        <v>0</v>
      </c>
      <c r="H57" s="33">
        <v>468468</v>
      </c>
      <c r="I57" s="284">
        <v>468468</v>
      </c>
      <c r="J57" s="325">
        <v>0</v>
      </c>
      <c r="K57" s="33">
        <v>0</v>
      </c>
      <c r="L57" s="33">
        <v>0</v>
      </c>
      <c r="M57" s="33">
        <v>131872</v>
      </c>
      <c r="N57" s="284">
        <v>131872</v>
      </c>
      <c r="O57" s="33">
        <v>0</v>
      </c>
      <c r="P57" s="33">
        <v>0</v>
      </c>
      <c r="Q57" s="33">
        <v>0</v>
      </c>
      <c r="R57" s="33">
        <v>83878</v>
      </c>
      <c r="S57" s="284">
        <v>83878</v>
      </c>
      <c r="T57" s="33">
        <v>0</v>
      </c>
      <c r="U57" s="33">
        <v>0</v>
      </c>
      <c r="V57" s="33">
        <v>0</v>
      </c>
      <c r="W57" s="33">
        <v>23306</v>
      </c>
      <c r="X57" s="284">
        <v>23306</v>
      </c>
      <c r="Y57" s="33">
        <v>0</v>
      </c>
      <c r="Z57" s="33">
        <v>0</v>
      </c>
      <c r="AA57" s="33">
        <v>0</v>
      </c>
      <c r="AB57" s="33">
        <v>119906</v>
      </c>
      <c r="AC57" s="284">
        <v>119906</v>
      </c>
      <c r="AD57" s="33">
        <v>0</v>
      </c>
      <c r="AE57" s="33">
        <v>0</v>
      </c>
      <c r="AF57" s="33">
        <v>0</v>
      </c>
      <c r="AG57" s="33">
        <v>230</v>
      </c>
      <c r="AH57" s="284">
        <v>230</v>
      </c>
      <c r="AI57" s="33">
        <v>0</v>
      </c>
      <c r="AJ57" s="33">
        <v>0</v>
      </c>
      <c r="AK57" s="33">
        <v>0</v>
      </c>
      <c r="AL57" s="33">
        <v>21</v>
      </c>
      <c r="AM57" s="284">
        <v>21</v>
      </c>
      <c r="AN57" s="33">
        <v>0</v>
      </c>
      <c r="AO57" s="33">
        <v>0</v>
      </c>
      <c r="AP57" s="33">
        <v>0</v>
      </c>
      <c r="AQ57" s="33">
        <v>30</v>
      </c>
      <c r="AR57" s="284">
        <v>30</v>
      </c>
      <c r="AS57" s="33">
        <v>0</v>
      </c>
      <c r="AT57" s="33">
        <v>0</v>
      </c>
      <c r="AU57" s="33">
        <v>0</v>
      </c>
      <c r="AV57" s="33">
        <v>1363</v>
      </c>
      <c r="AW57" s="284">
        <v>1363</v>
      </c>
      <c r="AX57" s="33">
        <v>0</v>
      </c>
      <c r="AY57" s="33">
        <v>0</v>
      </c>
      <c r="AZ57" s="33">
        <v>0</v>
      </c>
      <c r="BA57" s="33">
        <v>107525</v>
      </c>
      <c r="BB57" s="284">
        <v>107525</v>
      </c>
      <c r="BC57" s="33">
        <v>0</v>
      </c>
      <c r="BD57" s="33">
        <v>0</v>
      </c>
      <c r="BE57" s="33">
        <v>0</v>
      </c>
      <c r="BF57" s="33">
        <v>298</v>
      </c>
      <c r="BG57" s="284">
        <v>298</v>
      </c>
      <c r="BH57" s="33">
        <v>0</v>
      </c>
      <c r="BI57" s="33">
        <v>0</v>
      </c>
      <c r="BJ57" s="33">
        <v>0</v>
      </c>
      <c r="BK57" s="33">
        <v>0</v>
      </c>
      <c r="BL57" s="284">
        <v>0</v>
      </c>
      <c r="BM57" s="33">
        <v>0</v>
      </c>
      <c r="BN57" s="33">
        <v>0</v>
      </c>
      <c r="BO57" s="33">
        <v>0</v>
      </c>
      <c r="BP57" s="33">
        <v>39</v>
      </c>
      <c r="BQ57" s="284">
        <v>39</v>
      </c>
      <c r="BR57" s="33">
        <v>0</v>
      </c>
      <c r="BS57" s="33">
        <v>0</v>
      </c>
      <c r="BT57" s="33">
        <v>0</v>
      </c>
      <c r="BU57" s="33">
        <v>468468</v>
      </c>
      <c r="BV57" s="284">
        <v>468468</v>
      </c>
      <c r="BW57" s="244"/>
      <c r="BX57" s="238">
        <v>100</v>
      </c>
      <c r="BZ57" s="7">
        <v>0</v>
      </c>
      <c r="CA57" s="7">
        <v>0</v>
      </c>
      <c r="CB57" s="7">
        <v>0</v>
      </c>
      <c r="CC57" s="7">
        <v>0</v>
      </c>
    </row>
    <row r="58" spans="1:81" hidden="1" x14ac:dyDescent="0.2">
      <c r="A58" s="395" t="s">
        <v>280</v>
      </c>
      <c r="B58" s="436"/>
      <c r="D58" s="123" t="s">
        <v>103</v>
      </c>
      <c r="E58" s="33">
        <v>0</v>
      </c>
      <c r="F58" s="33">
        <v>0</v>
      </c>
      <c r="G58" s="33">
        <v>0</v>
      </c>
      <c r="H58" s="33">
        <v>0</v>
      </c>
      <c r="I58" s="284">
        <v>0</v>
      </c>
      <c r="J58" s="325">
        <v>0</v>
      </c>
      <c r="K58" s="33">
        <v>0</v>
      </c>
      <c r="L58" s="33">
        <v>0</v>
      </c>
      <c r="M58" s="33">
        <v>13500000</v>
      </c>
      <c r="N58" s="284">
        <v>13500000</v>
      </c>
      <c r="O58" s="33">
        <v>0</v>
      </c>
      <c r="P58" s="33">
        <v>0</v>
      </c>
      <c r="Q58" s="33">
        <v>0</v>
      </c>
      <c r="R58" s="33">
        <v>0</v>
      </c>
      <c r="S58" s="284">
        <v>0</v>
      </c>
      <c r="T58" s="33">
        <v>0</v>
      </c>
      <c r="U58" s="33">
        <v>0</v>
      </c>
      <c r="V58" s="33">
        <v>0</v>
      </c>
      <c r="W58" s="33">
        <v>0</v>
      </c>
      <c r="X58" s="284">
        <v>0</v>
      </c>
      <c r="Y58" s="33">
        <v>0</v>
      </c>
      <c r="Z58" s="33">
        <v>0</v>
      </c>
      <c r="AA58" s="33">
        <v>0</v>
      </c>
      <c r="AB58" s="33">
        <v>0</v>
      </c>
      <c r="AC58" s="284">
        <v>0</v>
      </c>
      <c r="AD58" s="33">
        <v>0</v>
      </c>
      <c r="AE58" s="33">
        <v>0</v>
      </c>
      <c r="AF58" s="33">
        <v>0</v>
      </c>
      <c r="AG58" s="33">
        <v>0</v>
      </c>
      <c r="AH58" s="284">
        <v>0</v>
      </c>
      <c r="AI58" s="33">
        <v>0</v>
      </c>
      <c r="AJ58" s="33">
        <v>0</v>
      </c>
      <c r="AK58" s="33">
        <v>0</v>
      </c>
      <c r="AL58" s="33">
        <v>-13500000</v>
      </c>
      <c r="AM58" s="284">
        <v>-13500000</v>
      </c>
      <c r="AN58" s="33">
        <v>0</v>
      </c>
      <c r="AO58" s="33">
        <v>0</v>
      </c>
      <c r="AP58" s="33">
        <v>0</v>
      </c>
      <c r="AQ58" s="33">
        <v>0</v>
      </c>
      <c r="AR58" s="284">
        <v>0</v>
      </c>
      <c r="AS58" s="33">
        <v>0</v>
      </c>
      <c r="AT58" s="33">
        <v>0</v>
      </c>
      <c r="AU58" s="33">
        <v>0</v>
      </c>
      <c r="AV58" s="33">
        <v>0</v>
      </c>
      <c r="AW58" s="284">
        <v>0</v>
      </c>
      <c r="AX58" s="33">
        <v>0</v>
      </c>
      <c r="AY58" s="33">
        <v>0</v>
      </c>
      <c r="AZ58" s="33">
        <v>0</v>
      </c>
      <c r="BA58" s="33">
        <v>0</v>
      </c>
      <c r="BB58" s="284">
        <v>0</v>
      </c>
      <c r="BC58" s="33">
        <v>0</v>
      </c>
      <c r="BD58" s="33">
        <v>0</v>
      </c>
      <c r="BE58" s="33">
        <v>0</v>
      </c>
      <c r="BF58" s="33">
        <v>0</v>
      </c>
      <c r="BG58" s="284">
        <v>0</v>
      </c>
      <c r="BH58" s="33">
        <v>0</v>
      </c>
      <c r="BI58" s="33">
        <v>0</v>
      </c>
      <c r="BJ58" s="33">
        <v>0</v>
      </c>
      <c r="BK58" s="33">
        <v>0</v>
      </c>
      <c r="BL58" s="284">
        <v>0</v>
      </c>
      <c r="BM58" s="33">
        <v>0</v>
      </c>
      <c r="BN58" s="33">
        <v>0</v>
      </c>
      <c r="BO58" s="33">
        <v>0</v>
      </c>
      <c r="BP58" s="33">
        <v>0</v>
      </c>
      <c r="BQ58" s="284">
        <v>0</v>
      </c>
      <c r="BR58" s="33">
        <v>0</v>
      </c>
      <c r="BS58" s="33">
        <v>0</v>
      </c>
      <c r="BT58" s="33">
        <v>0</v>
      </c>
      <c r="BU58" s="33">
        <v>0</v>
      </c>
      <c r="BV58" s="284">
        <v>0</v>
      </c>
      <c r="BW58" s="244"/>
      <c r="BX58" s="238">
        <v>0</v>
      </c>
      <c r="BZ58" s="7">
        <v>0</v>
      </c>
      <c r="CA58" s="7">
        <v>0</v>
      </c>
      <c r="CB58" s="7">
        <v>0</v>
      </c>
      <c r="CC58" s="7">
        <v>0</v>
      </c>
    </row>
    <row r="59" spans="1:81" hidden="1" x14ac:dyDescent="0.2">
      <c r="A59" s="395" t="s">
        <v>281</v>
      </c>
      <c r="B59" s="436"/>
      <c r="D59" s="123" t="s">
        <v>103</v>
      </c>
      <c r="E59" s="33">
        <v>0</v>
      </c>
      <c r="F59" s="33">
        <v>0</v>
      </c>
      <c r="G59" s="33">
        <v>0</v>
      </c>
      <c r="H59" s="33">
        <v>0</v>
      </c>
      <c r="I59" s="284">
        <v>0</v>
      </c>
      <c r="J59" s="325">
        <v>0</v>
      </c>
      <c r="K59" s="33">
        <v>0</v>
      </c>
      <c r="L59" s="33">
        <v>0</v>
      </c>
      <c r="M59" s="33">
        <v>0</v>
      </c>
      <c r="N59" s="284">
        <v>0</v>
      </c>
      <c r="O59" s="33">
        <v>0</v>
      </c>
      <c r="P59" s="33">
        <v>0</v>
      </c>
      <c r="Q59" s="33">
        <v>0</v>
      </c>
      <c r="R59" s="33">
        <v>0</v>
      </c>
      <c r="S59" s="284">
        <v>0</v>
      </c>
      <c r="T59" s="33">
        <v>0</v>
      </c>
      <c r="U59" s="33">
        <v>0</v>
      </c>
      <c r="V59" s="33">
        <v>0</v>
      </c>
      <c r="W59" s="33">
        <v>0</v>
      </c>
      <c r="X59" s="284">
        <v>0</v>
      </c>
      <c r="Y59" s="33">
        <v>0</v>
      </c>
      <c r="Z59" s="33">
        <v>0</v>
      </c>
      <c r="AA59" s="33">
        <v>0</v>
      </c>
      <c r="AB59" s="33">
        <v>0</v>
      </c>
      <c r="AC59" s="284">
        <v>0</v>
      </c>
      <c r="AD59" s="33">
        <v>0</v>
      </c>
      <c r="AE59" s="33">
        <v>0</v>
      </c>
      <c r="AF59" s="33">
        <v>0</v>
      </c>
      <c r="AG59" s="33">
        <v>3800000</v>
      </c>
      <c r="AH59" s="284">
        <v>3800000</v>
      </c>
      <c r="AI59" s="33">
        <v>0</v>
      </c>
      <c r="AJ59" s="33">
        <v>0</v>
      </c>
      <c r="AK59" s="33">
        <v>0</v>
      </c>
      <c r="AL59" s="33">
        <v>3800000</v>
      </c>
      <c r="AM59" s="284">
        <v>3800000</v>
      </c>
      <c r="AN59" s="33">
        <v>0</v>
      </c>
      <c r="AO59" s="33">
        <v>0</v>
      </c>
      <c r="AP59" s="33">
        <v>0</v>
      </c>
      <c r="AQ59" s="33">
        <v>2100000</v>
      </c>
      <c r="AR59" s="284">
        <v>2100000</v>
      </c>
      <c r="AS59" s="33">
        <v>0</v>
      </c>
      <c r="AT59" s="33">
        <v>0</v>
      </c>
      <c r="AU59" s="33">
        <v>0</v>
      </c>
      <c r="AV59" s="33">
        <v>0</v>
      </c>
      <c r="AW59" s="284">
        <v>0</v>
      </c>
      <c r="AX59" s="33">
        <v>0</v>
      </c>
      <c r="AY59" s="33">
        <v>0</v>
      </c>
      <c r="AZ59" s="33">
        <v>0</v>
      </c>
      <c r="BA59" s="33">
        <v>0</v>
      </c>
      <c r="BB59" s="284">
        <v>0</v>
      </c>
      <c r="BC59" s="33">
        <v>0</v>
      </c>
      <c r="BD59" s="33">
        <v>0</v>
      </c>
      <c r="BE59" s="33">
        <v>0</v>
      </c>
      <c r="BF59" s="33">
        <v>-9700000</v>
      </c>
      <c r="BG59" s="284">
        <v>-9700000</v>
      </c>
      <c r="BH59" s="33">
        <v>0</v>
      </c>
      <c r="BI59" s="33">
        <v>0</v>
      </c>
      <c r="BJ59" s="33">
        <v>0</v>
      </c>
      <c r="BK59" s="33">
        <v>0</v>
      </c>
      <c r="BL59" s="284">
        <v>0</v>
      </c>
      <c r="BM59" s="33">
        <v>0</v>
      </c>
      <c r="BN59" s="33">
        <v>0</v>
      </c>
      <c r="BO59" s="33">
        <v>0</v>
      </c>
      <c r="BP59" s="33">
        <v>0</v>
      </c>
      <c r="BQ59" s="284">
        <v>0</v>
      </c>
      <c r="BR59" s="33">
        <v>0</v>
      </c>
      <c r="BS59" s="33">
        <v>0</v>
      </c>
      <c r="BT59" s="33">
        <v>0</v>
      </c>
      <c r="BU59" s="33">
        <v>0</v>
      </c>
      <c r="BV59" s="284">
        <v>0</v>
      </c>
      <c r="BW59" s="244"/>
      <c r="BX59" s="238">
        <v>0</v>
      </c>
      <c r="BZ59" s="7">
        <v>0</v>
      </c>
      <c r="CA59" s="7">
        <v>0</v>
      </c>
      <c r="CB59" s="7">
        <v>0</v>
      </c>
      <c r="CC59" s="7">
        <v>0</v>
      </c>
    </row>
    <row r="60" spans="1:81" hidden="1" x14ac:dyDescent="0.2">
      <c r="A60" s="363" t="s">
        <v>282</v>
      </c>
      <c r="B60" s="436"/>
      <c r="D60" s="123"/>
      <c r="E60" s="33">
        <v>0</v>
      </c>
      <c r="F60" s="33">
        <v>0</v>
      </c>
      <c r="G60" s="33">
        <v>0</v>
      </c>
      <c r="H60" s="33">
        <v>0</v>
      </c>
      <c r="I60" s="284">
        <v>0</v>
      </c>
      <c r="J60" s="325">
        <v>0</v>
      </c>
      <c r="K60" s="33">
        <v>0</v>
      </c>
      <c r="L60" s="33">
        <v>0</v>
      </c>
      <c r="M60" s="33">
        <v>0</v>
      </c>
      <c r="N60" s="284">
        <v>0</v>
      </c>
      <c r="O60" s="33">
        <v>0</v>
      </c>
      <c r="P60" s="33">
        <v>0</v>
      </c>
      <c r="Q60" s="33">
        <v>0</v>
      </c>
      <c r="R60" s="33">
        <v>0</v>
      </c>
      <c r="S60" s="284">
        <v>0</v>
      </c>
      <c r="T60" s="33">
        <v>0</v>
      </c>
      <c r="U60" s="33">
        <v>0</v>
      </c>
      <c r="V60" s="33">
        <v>0</v>
      </c>
      <c r="W60" s="33">
        <v>0</v>
      </c>
      <c r="X60" s="284">
        <v>0</v>
      </c>
      <c r="Y60" s="33">
        <v>0</v>
      </c>
      <c r="Z60" s="33">
        <v>0</v>
      </c>
      <c r="AA60" s="33">
        <v>0</v>
      </c>
      <c r="AB60" s="33">
        <v>0</v>
      </c>
      <c r="AC60" s="284">
        <v>0</v>
      </c>
      <c r="AD60" s="28">
        <v>0</v>
      </c>
      <c r="AE60" s="28">
        <v>0</v>
      </c>
      <c r="AF60" s="28">
        <v>0</v>
      </c>
      <c r="AG60" s="28">
        <v>2000000</v>
      </c>
      <c r="AH60" s="454">
        <v>2000000</v>
      </c>
      <c r="AI60" s="33">
        <v>0</v>
      </c>
      <c r="AJ60" s="33">
        <v>0</v>
      </c>
      <c r="AK60" s="33">
        <v>0</v>
      </c>
      <c r="AL60" s="28">
        <v>3500000</v>
      </c>
      <c r="AM60" s="454">
        <v>3500000</v>
      </c>
      <c r="AN60" s="33">
        <v>0</v>
      </c>
      <c r="AO60" s="33">
        <v>0</v>
      </c>
      <c r="AP60" s="33">
        <v>0</v>
      </c>
      <c r="AQ60" s="33">
        <v>0</v>
      </c>
      <c r="AR60" s="284">
        <v>0</v>
      </c>
      <c r="AS60" s="33">
        <v>0</v>
      </c>
      <c r="AT60" s="33">
        <v>0</v>
      </c>
      <c r="AU60" s="33">
        <v>0</v>
      </c>
      <c r="AV60" s="33">
        <v>0</v>
      </c>
      <c r="AW60" s="284">
        <v>0</v>
      </c>
      <c r="AX60" s="33">
        <v>0</v>
      </c>
      <c r="AY60" s="33">
        <v>0</v>
      </c>
      <c r="AZ60" s="33">
        <v>0</v>
      </c>
      <c r="BA60" s="33">
        <v>0</v>
      </c>
      <c r="BB60" s="284">
        <v>0</v>
      </c>
      <c r="BC60" s="33">
        <v>0</v>
      </c>
      <c r="BD60" s="33">
        <v>0</v>
      </c>
      <c r="BE60" s="33">
        <v>0</v>
      </c>
      <c r="BF60" s="33">
        <v>-5500000</v>
      </c>
      <c r="BG60" s="284">
        <v>-5500000</v>
      </c>
      <c r="BH60" s="33">
        <v>0</v>
      </c>
      <c r="BI60" s="33">
        <v>0</v>
      </c>
      <c r="BJ60" s="33">
        <v>0</v>
      </c>
      <c r="BK60" s="33">
        <v>0</v>
      </c>
      <c r="BL60" s="284">
        <v>0</v>
      </c>
      <c r="BM60" s="33">
        <v>0</v>
      </c>
      <c r="BN60" s="33">
        <v>0</v>
      </c>
      <c r="BO60" s="33">
        <v>0</v>
      </c>
      <c r="BP60" s="33">
        <v>0</v>
      </c>
      <c r="BQ60" s="284">
        <v>0</v>
      </c>
      <c r="BR60" s="28">
        <v>0</v>
      </c>
      <c r="BS60" s="28">
        <v>0</v>
      </c>
      <c r="BT60" s="28">
        <v>0</v>
      </c>
      <c r="BU60" s="28">
        <v>0</v>
      </c>
      <c r="BV60" s="454">
        <v>0</v>
      </c>
      <c r="BW60" s="244"/>
      <c r="BX60" s="238">
        <v>0</v>
      </c>
      <c r="BZ60" s="7">
        <v>0</v>
      </c>
      <c r="CA60" s="7">
        <v>0</v>
      </c>
      <c r="CB60" s="7">
        <v>0</v>
      </c>
      <c r="CC60" s="7">
        <v>0</v>
      </c>
    </row>
    <row r="61" spans="1:81" hidden="1" x14ac:dyDescent="0.2">
      <c r="A61" s="363" t="s">
        <v>283</v>
      </c>
      <c r="B61" s="436"/>
      <c r="D61" s="123"/>
      <c r="E61" s="33">
        <v>0</v>
      </c>
      <c r="F61" s="33">
        <v>0</v>
      </c>
      <c r="G61" s="33">
        <v>0</v>
      </c>
      <c r="H61" s="33">
        <v>0</v>
      </c>
      <c r="I61" s="284">
        <v>0</v>
      </c>
      <c r="J61" s="325">
        <v>0</v>
      </c>
      <c r="K61" s="33">
        <v>0</v>
      </c>
      <c r="L61" s="33">
        <v>0</v>
      </c>
      <c r="M61" s="33">
        <v>0</v>
      </c>
      <c r="N61" s="284">
        <v>0</v>
      </c>
      <c r="O61" s="33">
        <v>0</v>
      </c>
      <c r="P61" s="33">
        <v>0</v>
      </c>
      <c r="Q61" s="33">
        <v>0</v>
      </c>
      <c r="R61" s="33">
        <v>0</v>
      </c>
      <c r="S61" s="284">
        <v>0</v>
      </c>
      <c r="T61" s="33">
        <v>0</v>
      </c>
      <c r="U61" s="33">
        <v>0</v>
      </c>
      <c r="V61" s="33">
        <v>0</v>
      </c>
      <c r="W61" s="33">
        <v>0</v>
      </c>
      <c r="X61" s="284">
        <v>0</v>
      </c>
      <c r="Y61" s="33">
        <v>0</v>
      </c>
      <c r="Z61" s="33">
        <v>0</v>
      </c>
      <c r="AA61" s="33">
        <v>0</v>
      </c>
      <c r="AB61" s="33">
        <v>0</v>
      </c>
      <c r="AC61" s="284">
        <v>0</v>
      </c>
      <c r="AD61" s="28">
        <v>0</v>
      </c>
      <c r="AE61" s="28">
        <v>0</v>
      </c>
      <c r="AF61" s="28">
        <v>0</v>
      </c>
      <c r="AG61" s="28">
        <v>0</v>
      </c>
      <c r="AH61" s="454">
        <v>0</v>
      </c>
      <c r="AI61" s="33">
        <v>0</v>
      </c>
      <c r="AJ61" s="33">
        <v>0</v>
      </c>
      <c r="AK61" s="33">
        <v>0</v>
      </c>
      <c r="AL61" s="28">
        <v>300000</v>
      </c>
      <c r="AM61" s="454">
        <v>300000</v>
      </c>
      <c r="AN61" s="33">
        <v>0</v>
      </c>
      <c r="AO61" s="33">
        <v>0</v>
      </c>
      <c r="AP61" s="33">
        <v>0</v>
      </c>
      <c r="AQ61" s="33">
        <v>0</v>
      </c>
      <c r="AR61" s="284">
        <v>0</v>
      </c>
      <c r="AS61" s="33">
        <v>0</v>
      </c>
      <c r="AT61" s="33">
        <v>0</v>
      </c>
      <c r="AU61" s="33">
        <v>0</v>
      </c>
      <c r="AV61" s="33">
        <v>0</v>
      </c>
      <c r="AW61" s="284">
        <v>0</v>
      </c>
      <c r="AX61" s="33">
        <v>0</v>
      </c>
      <c r="AY61" s="33">
        <v>0</v>
      </c>
      <c r="AZ61" s="33">
        <v>0</v>
      </c>
      <c r="BA61" s="33">
        <v>0</v>
      </c>
      <c r="BB61" s="284">
        <v>0</v>
      </c>
      <c r="BC61" s="33">
        <v>0</v>
      </c>
      <c r="BD61" s="33">
        <v>0</v>
      </c>
      <c r="BE61" s="33">
        <v>0</v>
      </c>
      <c r="BF61" s="33">
        <v>-300000</v>
      </c>
      <c r="BG61" s="284">
        <v>-300000</v>
      </c>
      <c r="BH61" s="33">
        <v>0</v>
      </c>
      <c r="BI61" s="33">
        <v>0</v>
      </c>
      <c r="BJ61" s="33">
        <v>0</v>
      </c>
      <c r="BK61" s="33">
        <v>0</v>
      </c>
      <c r="BL61" s="284">
        <v>0</v>
      </c>
      <c r="BM61" s="33">
        <v>0</v>
      </c>
      <c r="BN61" s="33">
        <v>0</v>
      </c>
      <c r="BO61" s="33">
        <v>0</v>
      </c>
      <c r="BP61" s="33">
        <v>0</v>
      </c>
      <c r="BQ61" s="284">
        <v>0</v>
      </c>
      <c r="BR61" s="28">
        <v>0</v>
      </c>
      <c r="BS61" s="28">
        <v>0</v>
      </c>
      <c r="BT61" s="28">
        <v>0</v>
      </c>
      <c r="BU61" s="28">
        <v>0</v>
      </c>
      <c r="BV61" s="454">
        <v>0</v>
      </c>
      <c r="BW61" s="244"/>
      <c r="BX61" s="238">
        <v>0</v>
      </c>
      <c r="BZ61" s="7">
        <v>0</v>
      </c>
      <c r="CA61" s="7">
        <v>0</v>
      </c>
      <c r="CB61" s="7">
        <v>0</v>
      </c>
      <c r="CC61" s="7">
        <v>0</v>
      </c>
    </row>
    <row r="62" spans="1:81" hidden="1" x14ac:dyDescent="0.2">
      <c r="A62" s="363" t="s">
        <v>284</v>
      </c>
      <c r="B62" s="436"/>
      <c r="D62" s="123"/>
      <c r="E62" s="33">
        <v>0</v>
      </c>
      <c r="F62" s="33">
        <v>0</v>
      </c>
      <c r="G62" s="33">
        <v>0</v>
      </c>
      <c r="H62" s="33">
        <v>0</v>
      </c>
      <c r="I62" s="284">
        <v>0</v>
      </c>
      <c r="J62" s="325">
        <v>0</v>
      </c>
      <c r="K62" s="33">
        <v>0</v>
      </c>
      <c r="L62" s="33">
        <v>0</v>
      </c>
      <c r="M62" s="33">
        <v>0</v>
      </c>
      <c r="N62" s="284">
        <v>0</v>
      </c>
      <c r="O62" s="33">
        <v>0</v>
      </c>
      <c r="P62" s="33">
        <v>0</v>
      </c>
      <c r="Q62" s="33">
        <v>0</v>
      </c>
      <c r="R62" s="33">
        <v>0</v>
      </c>
      <c r="S62" s="284">
        <v>0</v>
      </c>
      <c r="T62" s="33">
        <v>0</v>
      </c>
      <c r="U62" s="33">
        <v>0</v>
      </c>
      <c r="V62" s="33">
        <v>0</v>
      </c>
      <c r="W62" s="33">
        <v>0</v>
      </c>
      <c r="X62" s="284">
        <v>0</v>
      </c>
      <c r="Y62" s="33">
        <v>0</v>
      </c>
      <c r="Z62" s="33">
        <v>0</v>
      </c>
      <c r="AA62" s="33">
        <v>0</v>
      </c>
      <c r="AB62" s="33">
        <v>0</v>
      </c>
      <c r="AC62" s="284">
        <v>0</v>
      </c>
      <c r="AD62" s="28">
        <v>0</v>
      </c>
      <c r="AE62" s="28">
        <v>0</v>
      </c>
      <c r="AF62" s="28">
        <v>0</v>
      </c>
      <c r="AG62" s="28">
        <v>1800000</v>
      </c>
      <c r="AH62" s="454">
        <v>1800000</v>
      </c>
      <c r="AI62" s="33">
        <v>0</v>
      </c>
      <c r="AJ62" s="33">
        <v>0</v>
      </c>
      <c r="AK62" s="33">
        <v>0</v>
      </c>
      <c r="AL62" s="33">
        <v>0</v>
      </c>
      <c r="AM62" s="284">
        <v>0</v>
      </c>
      <c r="AN62" s="33">
        <v>0</v>
      </c>
      <c r="AO62" s="33">
        <v>0</v>
      </c>
      <c r="AP62" s="33">
        <v>0</v>
      </c>
      <c r="AQ62" s="33">
        <v>0</v>
      </c>
      <c r="AR62" s="284">
        <v>0</v>
      </c>
      <c r="AS62" s="33">
        <v>0</v>
      </c>
      <c r="AT62" s="33">
        <v>0</v>
      </c>
      <c r="AU62" s="33">
        <v>0</v>
      </c>
      <c r="AV62" s="33">
        <v>0</v>
      </c>
      <c r="AW62" s="284">
        <v>0</v>
      </c>
      <c r="AX62" s="33">
        <v>0</v>
      </c>
      <c r="AY62" s="33">
        <v>0</v>
      </c>
      <c r="AZ62" s="33">
        <v>0</v>
      </c>
      <c r="BA62" s="33">
        <v>0</v>
      </c>
      <c r="BB62" s="284">
        <v>0</v>
      </c>
      <c r="BC62" s="33">
        <v>0</v>
      </c>
      <c r="BD62" s="33">
        <v>0</v>
      </c>
      <c r="BE62" s="33">
        <v>0</v>
      </c>
      <c r="BF62" s="33">
        <v>-1800000</v>
      </c>
      <c r="BG62" s="284">
        <v>-1800000</v>
      </c>
      <c r="BH62" s="33">
        <v>0</v>
      </c>
      <c r="BI62" s="33">
        <v>0</v>
      </c>
      <c r="BJ62" s="33">
        <v>0</v>
      </c>
      <c r="BK62" s="33">
        <v>0</v>
      </c>
      <c r="BL62" s="284">
        <v>0</v>
      </c>
      <c r="BM62" s="33">
        <v>0</v>
      </c>
      <c r="BN62" s="33">
        <v>0</v>
      </c>
      <c r="BO62" s="33">
        <v>0</v>
      </c>
      <c r="BP62" s="33">
        <v>0</v>
      </c>
      <c r="BQ62" s="284">
        <v>0</v>
      </c>
      <c r="BR62" s="28">
        <v>0</v>
      </c>
      <c r="BS62" s="28">
        <v>0</v>
      </c>
      <c r="BT62" s="28">
        <v>0</v>
      </c>
      <c r="BU62" s="28">
        <v>0</v>
      </c>
      <c r="BV62" s="454">
        <v>0</v>
      </c>
      <c r="BW62" s="244"/>
      <c r="BX62" s="238">
        <v>0</v>
      </c>
      <c r="BZ62" s="7">
        <v>0</v>
      </c>
      <c r="CA62" s="7">
        <v>0</v>
      </c>
      <c r="CB62" s="7">
        <v>0</v>
      </c>
      <c r="CC62" s="7">
        <v>0</v>
      </c>
    </row>
    <row r="63" spans="1:81" hidden="1" x14ac:dyDescent="0.2">
      <c r="A63" s="363" t="s">
        <v>25</v>
      </c>
      <c r="B63" s="436"/>
      <c r="D63" s="123"/>
      <c r="E63" s="33">
        <v>0</v>
      </c>
      <c r="F63" s="33">
        <v>0</v>
      </c>
      <c r="G63" s="33">
        <v>0</v>
      </c>
      <c r="H63" s="33">
        <v>0</v>
      </c>
      <c r="I63" s="284">
        <v>0</v>
      </c>
      <c r="J63" s="325">
        <v>0</v>
      </c>
      <c r="K63" s="33">
        <v>0</v>
      </c>
      <c r="L63" s="33">
        <v>0</v>
      </c>
      <c r="M63" s="33">
        <v>0</v>
      </c>
      <c r="N63" s="284">
        <v>0</v>
      </c>
      <c r="O63" s="33">
        <v>0</v>
      </c>
      <c r="P63" s="33">
        <v>0</v>
      </c>
      <c r="Q63" s="33">
        <v>0</v>
      </c>
      <c r="R63" s="33">
        <v>0</v>
      </c>
      <c r="S63" s="284">
        <v>0</v>
      </c>
      <c r="T63" s="33">
        <v>0</v>
      </c>
      <c r="U63" s="33">
        <v>0</v>
      </c>
      <c r="V63" s="33">
        <v>0</v>
      </c>
      <c r="W63" s="33">
        <v>0</v>
      </c>
      <c r="X63" s="284">
        <v>0</v>
      </c>
      <c r="Y63" s="33">
        <v>0</v>
      </c>
      <c r="Z63" s="33">
        <v>0</v>
      </c>
      <c r="AA63" s="33">
        <v>0</v>
      </c>
      <c r="AB63" s="33">
        <v>0</v>
      </c>
      <c r="AC63" s="284">
        <v>0</v>
      </c>
      <c r="AD63" s="28">
        <v>0</v>
      </c>
      <c r="AE63" s="28">
        <v>0</v>
      </c>
      <c r="AF63" s="28">
        <v>0</v>
      </c>
      <c r="AG63" s="28">
        <v>0</v>
      </c>
      <c r="AH63" s="454">
        <v>0</v>
      </c>
      <c r="AI63" s="33">
        <v>0</v>
      </c>
      <c r="AJ63" s="33">
        <v>0</v>
      </c>
      <c r="AK63" s="33">
        <v>0</v>
      </c>
      <c r="AL63" s="33">
        <v>0</v>
      </c>
      <c r="AM63" s="284">
        <v>0</v>
      </c>
      <c r="AN63" s="33">
        <v>0</v>
      </c>
      <c r="AO63" s="33">
        <v>0</v>
      </c>
      <c r="AP63" s="33">
        <v>0</v>
      </c>
      <c r="AQ63" s="33">
        <v>2100000</v>
      </c>
      <c r="AR63" s="284">
        <v>2100000</v>
      </c>
      <c r="AS63" s="33">
        <v>0</v>
      </c>
      <c r="AT63" s="33">
        <v>0</v>
      </c>
      <c r="AU63" s="33">
        <v>0</v>
      </c>
      <c r="AV63" s="33">
        <v>0</v>
      </c>
      <c r="AW63" s="284">
        <v>0</v>
      </c>
      <c r="AX63" s="33">
        <v>0</v>
      </c>
      <c r="AY63" s="33">
        <v>0</v>
      </c>
      <c r="AZ63" s="33">
        <v>0</v>
      </c>
      <c r="BA63" s="33">
        <v>0</v>
      </c>
      <c r="BB63" s="284">
        <v>0</v>
      </c>
      <c r="BC63" s="33">
        <v>0</v>
      </c>
      <c r="BD63" s="33">
        <v>0</v>
      </c>
      <c r="BE63" s="33">
        <v>0</v>
      </c>
      <c r="BF63" s="33">
        <v>-2100000</v>
      </c>
      <c r="BG63" s="284">
        <v>-2100000</v>
      </c>
      <c r="BH63" s="33">
        <v>0</v>
      </c>
      <c r="BI63" s="33">
        <v>0</v>
      </c>
      <c r="BJ63" s="33">
        <v>0</v>
      </c>
      <c r="BK63" s="33">
        <v>0</v>
      </c>
      <c r="BL63" s="284">
        <v>0</v>
      </c>
      <c r="BM63" s="33">
        <v>0</v>
      </c>
      <c r="BN63" s="33">
        <v>0</v>
      </c>
      <c r="BO63" s="33">
        <v>0</v>
      </c>
      <c r="BP63" s="33">
        <v>0</v>
      </c>
      <c r="BQ63" s="284">
        <v>0</v>
      </c>
      <c r="BR63" s="28">
        <v>0</v>
      </c>
      <c r="BS63" s="28">
        <v>0</v>
      </c>
      <c r="BT63" s="28">
        <v>0</v>
      </c>
      <c r="BU63" s="28">
        <v>0</v>
      </c>
      <c r="BV63" s="454">
        <v>0</v>
      </c>
      <c r="BW63" s="244"/>
      <c r="BX63" s="238">
        <v>0</v>
      </c>
      <c r="BZ63" s="7">
        <v>0</v>
      </c>
      <c r="CA63" s="7">
        <v>0</v>
      </c>
      <c r="CB63" s="7">
        <v>0</v>
      </c>
      <c r="CC63" s="7">
        <v>0</v>
      </c>
    </row>
    <row r="64" spans="1:81" x14ac:dyDescent="0.2">
      <c r="A64" s="395" t="s">
        <v>249</v>
      </c>
      <c r="B64" s="436"/>
      <c r="C64" s="436"/>
      <c r="D64" s="52"/>
      <c r="E64" s="33">
        <v>0</v>
      </c>
      <c r="F64" s="33">
        <v>18283844</v>
      </c>
      <c r="G64" s="33">
        <v>0</v>
      </c>
      <c r="H64" s="33">
        <v>0</v>
      </c>
      <c r="I64" s="284">
        <v>18283844</v>
      </c>
      <c r="J64" s="325">
        <v>0</v>
      </c>
      <c r="K64" s="33">
        <v>1549593</v>
      </c>
      <c r="L64" s="33">
        <v>0</v>
      </c>
      <c r="M64" s="33">
        <v>0</v>
      </c>
      <c r="N64" s="284">
        <v>1549593</v>
      </c>
      <c r="O64" s="33">
        <v>0</v>
      </c>
      <c r="P64" s="33">
        <v>1486615</v>
      </c>
      <c r="Q64" s="33">
        <v>0</v>
      </c>
      <c r="R64" s="33">
        <v>0</v>
      </c>
      <c r="S64" s="284">
        <v>1486615</v>
      </c>
      <c r="T64" s="33">
        <v>0</v>
      </c>
      <c r="U64" s="33">
        <v>1412283</v>
      </c>
      <c r="V64" s="33">
        <v>0</v>
      </c>
      <c r="W64" s="33">
        <v>0</v>
      </c>
      <c r="X64" s="284">
        <v>1412283</v>
      </c>
      <c r="Y64" s="33">
        <v>0</v>
      </c>
      <c r="Z64" s="33">
        <v>1388691</v>
      </c>
      <c r="AA64" s="33">
        <v>0</v>
      </c>
      <c r="AB64" s="33">
        <v>0</v>
      </c>
      <c r="AC64" s="284">
        <v>1388691</v>
      </c>
      <c r="AD64" s="28">
        <v>0</v>
      </c>
      <c r="AE64" s="28">
        <v>1443945</v>
      </c>
      <c r="AF64" s="33">
        <v>0</v>
      </c>
      <c r="AG64" s="33">
        <v>0</v>
      </c>
      <c r="AH64" s="284">
        <v>1443945</v>
      </c>
      <c r="AI64" s="33">
        <v>0</v>
      </c>
      <c r="AJ64" s="33">
        <v>1524417</v>
      </c>
      <c r="AK64" s="33">
        <v>0</v>
      </c>
      <c r="AL64" s="33">
        <v>0</v>
      </c>
      <c r="AM64" s="284">
        <v>1524417</v>
      </c>
      <c r="AN64" s="33">
        <v>0</v>
      </c>
      <c r="AO64" s="33">
        <v>1497621</v>
      </c>
      <c r="AP64" s="33">
        <v>0</v>
      </c>
      <c r="AQ64" s="33">
        <v>0</v>
      </c>
      <c r="AR64" s="284">
        <v>1497621</v>
      </c>
      <c r="AS64" s="33">
        <v>0</v>
      </c>
      <c r="AT64" s="33">
        <v>1535042</v>
      </c>
      <c r="AU64" s="33">
        <v>0</v>
      </c>
      <c r="AV64" s="33">
        <v>0</v>
      </c>
      <c r="AW64" s="284">
        <v>1535042</v>
      </c>
      <c r="AX64" s="33">
        <v>0</v>
      </c>
      <c r="AY64" s="33">
        <v>1484863</v>
      </c>
      <c r="AZ64" s="33">
        <v>0</v>
      </c>
      <c r="BA64" s="33">
        <v>0</v>
      </c>
      <c r="BB64" s="284">
        <v>1484863</v>
      </c>
      <c r="BC64" s="33">
        <v>0</v>
      </c>
      <c r="BD64" s="33">
        <v>1682694</v>
      </c>
      <c r="BE64" s="33">
        <v>0</v>
      </c>
      <c r="BF64" s="33">
        <v>0</v>
      </c>
      <c r="BG64" s="284">
        <v>1682694</v>
      </c>
      <c r="BH64" s="33">
        <v>0</v>
      </c>
      <c r="BI64" s="33">
        <v>1703401</v>
      </c>
      <c r="BJ64" s="33">
        <v>0</v>
      </c>
      <c r="BK64" s="33">
        <v>0</v>
      </c>
      <c r="BL64" s="284">
        <v>1703401</v>
      </c>
      <c r="BM64" s="33">
        <v>0</v>
      </c>
      <c r="BN64" s="33">
        <v>1574679</v>
      </c>
      <c r="BO64" s="33">
        <v>0</v>
      </c>
      <c r="BP64" s="33">
        <v>0</v>
      </c>
      <c r="BQ64" s="284">
        <v>1574679</v>
      </c>
      <c r="BR64" s="33">
        <v>0</v>
      </c>
      <c r="BS64" s="33">
        <v>18283844</v>
      </c>
      <c r="BT64" s="33">
        <v>0</v>
      </c>
      <c r="BU64" s="33">
        <v>0</v>
      </c>
      <c r="BV64" s="284">
        <v>18283844</v>
      </c>
      <c r="BW64" s="244"/>
      <c r="BX64" s="238">
        <v>100</v>
      </c>
      <c r="BZ64" s="7">
        <v>0</v>
      </c>
      <c r="CA64" s="7">
        <v>0</v>
      </c>
      <c r="CB64" s="7">
        <v>0</v>
      </c>
      <c r="CC64" s="7">
        <v>0</v>
      </c>
    </row>
    <row r="65" spans="1:81" x14ac:dyDescent="0.2">
      <c r="A65" s="395" t="s">
        <v>250</v>
      </c>
      <c r="B65" s="436"/>
      <c r="D65" s="52"/>
      <c r="E65" s="33">
        <v>2076720</v>
      </c>
      <c r="F65" s="33">
        <v>23446</v>
      </c>
      <c r="G65" s="33">
        <v>0</v>
      </c>
      <c r="H65" s="33">
        <v>0</v>
      </c>
      <c r="I65" s="284">
        <v>2100166</v>
      </c>
      <c r="J65" s="325">
        <v>169724</v>
      </c>
      <c r="K65" s="33">
        <v>936</v>
      </c>
      <c r="L65" s="33">
        <v>0</v>
      </c>
      <c r="M65" s="33">
        <v>0</v>
      </c>
      <c r="N65" s="284">
        <v>170660</v>
      </c>
      <c r="O65" s="33">
        <v>170631</v>
      </c>
      <c r="P65" s="33">
        <v>1218</v>
      </c>
      <c r="Q65" s="33">
        <v>0</v>
      </c>
      <c r="R65" s="33">
        <v>0</v>
      </c>
      <c r="S65" s="284">
        <v>171849</v>
      </c>
      <c r="T65" s="33">
        <v>168573</v>
      </c>
      <c r="U65" s="33">
        <v>369</v>
      </c>
      <c r="V65" s="33">
        <v>0</v>
      </c>
      <c r="W65" s="33">
        <v>0</v>
      </c>
      <c r="X65" s="284">
        <v>168942</v>
      </c>
      <c r="Y65" s="33">
        <v>168429</v>
      </c>
      <c r="Z65" s="33">
        <v>4165</v>
      </c>
      <c r="AA65" s="33">
        <v>0</v>
      </c>
      <c r="AB65" s="33">
        <v>0</v>
      </c>
      <c r="AC65" s="284">
        <v>172594</v>
      </c>
      <c r="AD65" s="28">
        <v>167158</v>
      </c>
      <c r="AE65" s="28">
        <v>2578</v>
      </c>
      <c r="AF65" s="33">
        <v>0</v>
      </c>
      <c r="AG65" s="33">
        <v>0</v>
      </c>
      <c r="AH65" s="284">
        <v>169736</v>
      </c>
      <c r="AI65" s="33">
        <v>167552</v>
      </c>
      <c r="AJ65" s="33">
        <v>4228</v>
      </c>
      <c r="AK65" s="33">
        <v>0</v>
      </c>
      <c r="AL65" s="33">
        <v>0</v>
      </c>
      <c r="AM65" s="284">
        <v>171780</v>
      </c>
      <c r="AN65" s="33">
        <v>166146</v>
      </c>
      <c r="AO65" s="33">
        <v>2534</v>
      </c>
      <c r="AP65" s="33">
        <v>0</v>
      </c>
      <c r="AQ65" s="33">
        <v>0</v>
      </c>
      <c r="AR65" s="284">
        <v>168680</v>
      </c>
      <c r="AS65" s="33">
        <v>166179</v>
      </c>
      <c r="AT65" s="33">
        <v>807</v>
      </c>
      <c r="AU65" s="33">
        <v>0</v>
      </c>
      <c r="AV65" s="33">
        <v>0</v>
      </c>
      <c r="AW65" s="284">
        <v>166986</v>
      </c>
      <c r="AX65" s="33">
        <v>164386</v>
      </c>
      <c r="AY65" s="33">
        <v>2475</v>
      </c>
      <c r="AZ65" s="33">
        <v>0</v>
      </c>
      <c r="BA65" s="33">
        <v>0</v>
      </c>
      <c r="BB65" s="284">
        <v>166861</v>
      </c>
      <c r="BC65" s="33">
        <v>163747</v>
      </c>
      <c r="BD65" s="33">
        <v>1602</v>
      </c>
      <c r="BE65" s="33">
        <v>0</v>
      </c>
      <c r="BF65" s="33">
        <v>0</v>
      </c>
      <c r="BG65" s="284">
        <v>165349</v>
      </c>
      <c r="BH65" s="33">
        <v>169900</v>
      </c>
      <c r="BI65" s="33">
        <v>690</v>
      </c>
      <c r="BJ65" s="33">
        <v>0</v>
      </c>
      <c r="BK65" s="33">
        <v>0</v>
      </c>
      <c r="BL65" s="284">
        <v>170590</v>
      </c>
      <c r="BM65" s="33">
        <v>234295</v>
      </c>
      <c r="BN65" s="33">
        <v>1844</v>
      </c>
      <c r="BO65" s="33">
        <v>0</v>
      </c>
      <c r="BP65" s="33">
        <v>0</v>
      </c>
      <c r="BQ65" s="284">
        <v>236139</v>
      </c>
      <c r="BR65" s="33">
        <v>2076720</v>
      </c>
      <c r="BS65" s="33">
        <v>23446</v>
      </c>
      <c r="BT65" s="33">
        <v>0</v>
      </c>
      <c r="BU65" s="33">
        <v>0</v>
      </c>
      <c r="BV65" s="284">
        <v>2100166</v>
      </c>
      <c r="BW65" s="244"/>
      <c r="BX65" s="238">
        <v>100</v>
      </c>
      <c r="BZ65" s="7">
        <v>0</v>
      </c>
      <c r="CA65" s="7">
        <v>0</v>
      </c>
      <c r="CB65" s="7">
        <v>0</v>
      </c>
      <c r="CC65" s="7">
        <v>0</v>
      </c>
    </row>
    <row r="66" spans="1:81" x14ac:dyDescent="0.2">
      <c r="A66" s="469" t="s">
        <v>251</v>
      </c>
      <c r="B66" s="106"/>
      <c r="D66" s="52"/>
      <c r="E66" s="33">
        <v>979987</v>
      </c>
      <c r="F66" s="33">
        <v>71738</v>
      </c>
      <c r="G66" s="33">
        <v>0</v>
      </c>
      <c r="H66" s="33">
        <v>0</v>
      </c>
      <c r="I66" s="284">
        <v>1051725</v>
      </c>
      <c r="J66" s="325">
        <v>77886</v>
      </c>
      <c r="K66" s="33">
        <v>1909</v>
      </c>
      <c r="L66" s="33">
        <v>0</v>
      </c>
      <c r="M66" s="33">
        <v>0</v>
      </c>
      <c r="N66" s="284">
        <v>79795</v>
      </c>
      <c r="O66" s="33">
        <v>83988</v>
      </c>
      <c r="P66" s="33">
        <v>281</v>
      </c>
      <c r="Q66" s="33">
        <v>0</v>
      </c>
      <c r="R66" s="33">
        <v>0</v>
      </c>
      <c r="S66" s="284">
        <v>84269</v>
      </c>
      <c r="T66" s="33">
        <v>81016</v>
      </c>
      <c r="U66" s="33">
        <v>8494</v>
      </c>
      <c r="V66" s="33">
        <v>0</v>
      </c>
      <c r="W66" s="33">
        <v>0</v>
      </c>
      <c r="X66" s="284">
        <v>89510</v>
      </c>
      <c r="Y66" s="33">
        <v>75207</v>
      </c>
      <c r="Z66" s="33">
        <v>11172</v>
      </c>
      <c r="AA66" s="33">
        <v>0</v>
      </c>
      <c r="AB66" s="33">
        <v>0</v>
      </c>
      <c r="AC66" s="284">
        <v>86379</v>
      </c>
      <c r="AD66" s="28">
        <v>83773</v>
      </c>
      <c r="AE66" s="28">
        <v>6792</v>
      </c>
      <c r="AF66" s="33">
        <v>0</v>
      </c>
      <c r="AG66" s="33">
        <v>0</v>
      </c>
      <c r="AH66" s="284">
        <v>90565</v>
      </c>
      <c r="AI66" s="33">
        <v>84167</v>
      </c>
      <c r="AJ66" s="33">
        <v>13658</v>
      </c>
      <c r="AK66" s="33">
        <v>0</v>
      </c>
      <c r="AL66" s="33">
        <v>0</v>
      </c>
      <c r="AM66" s="284">
        <v>97825</v>
      </c>
      <c r="AN66" s="33">
        <v>79328</v>
      </c>
      <c r="AO66" s="33">
        <v>3471</v>
      </c>
      <c r="AP66" s="33">
        <v>0</v>
      </c>
      <c r="AQ66" s="33">
        <v>0</v>
      </c>
      <c r="AR66" s="284">
        <v>82799</v>
      </c>
      <c r="AS66" s="33">
        <v>81677</v>
      </c>
      <c r="AT66" s="33">
        <v>5974</v>
      </c>
      <c r="AU66" s="33">
        <v>0</v>
      </c>
      <c r="AV66" s="33">
        <v>0</v>
      </c>
      <c r="AW66" s="284">
        <v>87651</v>
      </c>
      <c r="AX66" s="33">
        <v>79584</v>
      </c>
      <c r="AY66" s="33">
        <v>7820</v>
      </c>
      <c r="AZ66" s="33">
        <v>0</v>
      </c>
      <c r="BA66" s="33">
        <v>0</v>
      </c>
      <c r="BB66" s="284">
        <v>87404</v>
      </c>
      <c r="BC66" s="33">
        <v>79453</v>
      </c>
      <c r="BD66" s="33">
        <v>-2393</v>
      </c>
      <c r="BE66" s="33">
        <v>0</v>
      </c>
      <c r="BF66" s="33">
        <v>0</v>
      </c>
      <c r="BG66" s="284">
        <v>77060</v>
      </c>
      <c r="BH66" s="33">
        <v>82532</v>
      </c>
      <c r="BI66" s="33">
        <v>8554</v>
      </c>
      <c r="BJ66" s="33">
        <v>0</v>
      </c>
      <c r="BK66" s="33">
        <v>0</v>
      </c>
      <c r="BL66" s="284">
        <v>91086</v>
      </c>
      <c r="BM66" s="33">
        <v>91376</v>
      </c>
      <c r="BN66" s="33">
        <v>6006</v>
      </c>
      <c r="BO66" s="33">
        <v>0</v>
      </c>
      <c r="BP66" s="33">
        <v>0</v>
      </c>
      <c r="BQ66" s="284">
        <v>97382</v>
      </c>
      <c r="BR66" s="33">
        <v>979987</v>
      </c>
      <c r="BS66" s="33">
        <v>71738</v>
      </c>
      <c r="BT66" s="33">
        <v>0</v>
      </c>
      <c r="BU66" s="33">
        <v>0</v>
      </c>
      <c r="BV66" s="284">
        <v>1051725</v>
      </c>
      <c r="BW66" s="244"/>
      <c r="BX66" s="238">
        <v>100</v>
      </c>
      <c r="BZ66" s="7">
        <v>0</v>
      </c>
      <c r="CA66" s="7">
        <v>0</v>
      </c>
      <c r="CB66" s="7">
        <v>0</v>
      </c>
      <c r="CC66" s="7">
        <v>0</v>
      </c>
    </row>
    <row r="67" spans="1:81" x14ac:dyDescent="0.2">
      <c r="A67" s="304" t="s">
        <v>252</v>
      </c>
      <c r="B67" s="408"/>
      <c r="C67" s="479"/>
      <c r="D67" s="176"/>
      <c r="E67" s="33">
        <v>0</v>
      </c>
      <c r="F67" s="33">
        <v>2614</v>
      </c>
      <c r="G67" s="33">
        <v>0</v>
      </c>
      <c r="H67" s="33">
        <v>0</v>
      </c>
      <c r="I67" s="284">
        <v>2614</v>
      </c>
      <c r="J67" s="325">
        <v>0</v>
      </c>
      <c r="K67" s="33">
        <v>0</v>
      </c>
      <c r="L67" s="33">
        <v>0</v>
      </c>
      <c r="M67" s="33">
        <v>0</v>
      </c>
      <c r="N67" s="284">
        <v>0</v>
      </c>
      <c r="O67" s="33">
        <v>0</v>
      </c>
      <c r="P67" s="33">
        <v>0</v>
      </c>
      <c r="Q67" s="33">
        <v>0</v>
      </c>
      <c r="R67" s="33">
        <v>0</v>
      </c>
      <c r="S67" s="284">
        <v>0</v>
      </c>
      <c r="T67" s="33">
        <v>0</v>
      </c>
      <c r="U67" s="33">
        <v>0</v>
      </c>
      <c r="V67" s="33">
        <v>0</v>
      </c>
      <c r="W67" s="33">
        <v>0</v>
      </c>
      <c r="X67" s="284">
        <v>0</v>
      </c>
      <c r="Y67" s="33">
        <v>0</v>
      </c>
      <c r="Z67" s="33">
        <v>0</v>
      </c>
      <c r="AA67" s="33">
        <v>0</v>
      </c>
      <c r="AB67" s="33">
        <v>0</v>
      </c>
      <c r="AC67" s="284">
        <v>0</v>
      </c>
      <c r="AD67" s="33">
        <v>0</v>
      </c>
      <c r="AE67" s="33">
        <v>0</v>
      </c>
      <c r="AF67" s="33">
        <v>0</v>
      </c>
      <c r="AG67" s="33">
        <v>0</v>
      </c>
      <c r="AH67" s="284">
        <v>0</v>
      </c>
      <c r="AI67" s="33">
        <v>0</v>
      </c>
      <c r="AJ67" s="33">
        <v>0</v>
      </c>
      <c r="AK67" s="33">
        <v>0</v>
      </c>
      <c r="AL67" s="33">
        <v>0</v>
      </c>
      <c r="AM67" s="284">
        <v>0</v>
      </c>
      <c r="AN67" s="33">
        <v>0</v>
      </c>
      <c r="AO67" s="33">
        <v>0</v>
      </c>
      <c r="AP67" s="33">
        <v>0</v>
      </c>
      <c r="AQ67" s="33">
        <v>0</v>
      </c>
      <c r="AR67" s="284">
        <v>0</v>
      </c>
      <c r="AS67" s="33">
        <v>0</v>
      </c>
      <c r="AT67" s="33">
        <v>0</v>
      </c>
      <c r="AU67" s="33">
        <v>0</v>
      </c>
      <c r="AV67" s="33">
        <v>0</v>
      </c>
      <c r="AW67" s="284">
        <v>0</v>
      </c>
      <c r="AX67" s="33">
        <v>0</v>
      </c>
      <c r="AY67" s="33">
        <v>0</v>
      </c>
      <c r="AZ67" s="33">
        <v>0</v>
      </c>
      <c r="BA67" s="33">
        <v>0</v>
      </c>
      <c r="BB67" s="284">
        <v>0</v>
      </c>
      <c r="BC67" s="33">
        <v>0</v>
      </c>
      <c r="BD67" s="33">
        <v>0</v>
      </c>
      <c r="BE67" s="33">
        <v>0</v>
      </c>
      <c r="BF67" s="33">
        <v>0</v>
      </c>
      <c r="BG67" s="284">
        <v>0</v>
      </c>
      <c r="BH67" s="33">
        <v>0</v>
      </c>
      <c r="BI67" s="33">
        <v>2614</v>
      </c>
      <c r="BJ67" s="33">
        <v>0</v>
      </c>
      <c r="BK67" s="33">
        <v>0</v>
      </c>
      <c r="BL67" s="284">
        <v>2614</v>
      </c>
      <c r="BM67" s="33">
        <v>0</v>
      </c>
      <c r="BN67" s="33">
        <v>0</v>
      </c>
      <c r="BO67" s="33">
        <v>0</v>
      </c>
      <c r="BP67" s="33">
        <v>0</v>
      </c>
      <c r="BQ67" s="284">
        <v>0</v>
      </c>
      <c r="BR67" s="33">
        <v>0</v>
      </c>
      <c r="BS67" s="33">
        <v>2614</v>
      </c>
      <c r="BT67" s="33">
        <v>0</v>
      </c>
      <c r="BU67" s="33">
        <v>0</v>
      </c>
      <c r="BV67" s="284">
        <v>2614</v>
      </c>
      <c r="BW67" s="244"/>
      <c r="BX67" s="238">
        <v>100</v>
      </c>
    </row>
    <row r="68" spans="1:81" x14ac:dyDescent="0.2">
      <c r="A68" s="118" t="s">
        <v>253</v>
      </c>
      <c r="B68" s="185"/>
      <c r="D68" s="52"/>
      <c r="E68" s="337">
        <v>208432282.69999999</v>
      </c>
      <c r="F68" s="439">
        <v>537102188</v>
      </c>
      <c r="G68" s="439">
        <v>0</v>
      </c>
      <c r="H68" s="439">
        <v>468468</v>
      </c>
      <c r="I68" s="294">
        <v>746002938.70000005</v>
      </c>
      <c r="J68" s="337">
        <v>3879932</v>
      </c>
      <c r="K68" s="439">
        <v>43681922</v>
      </c>
      <c r="L68" s="439">
        <v>0</v>
      </c>
      <c r="M68" s="439">
        <v>13631872</v>
      </c>
      <c r="N68" s="294">
        <v>61193726</v>
      </c>
      <c r="O68" s="439">
        <v>4573313</v>
      </c>
      <c r="P68" s="439">
        <v>43617596</v>
      </c>
      <c r="Q68" s="439">
        <v>0</v>
      </c>
      <c r="R68" s="439">
        <v>83878</v>
      </c>
      <c r="S68" s="294">
        <v>48274787</v>
      </c>
      <c r="T68" s="337">
        <v>20526581</v>
      </c>
      <c r="U68" s="439">
        <v>43550628</v>
      </c>
      <c r="V68" s="439">
        <v>0</v>
      </c>
      <c r="W68" s="439">
        <v>23306</v>
      </c>
      <c r="X68" s="294">
        <v>64100515</v>
      </c>
      <c r="Y68" s="337">
        <v>27648509</v>
      </c>
      <c r="Z68" s="439">
        <v>43533510</v>
      </c>
      <c r="AA68" s="439">
        <v>0</v>
      </c>
      <c r="AB68" s="439">
        <v>119906</v>
      </c>
      <c r="AC68" s="294">
        <v>71301925</v>
      </c>
      <c r="AD68" s="337">
        <v>27979426</v>
      </c>
      <c r="AE68" s="439">
        <v>47971723</v>
      </c>
      <c r="AF68" s="439">
        <v>0</v>
      </c>
      <c r="AG68" s="439">
        <v>3800230</v>
      </c>
      <c r="AH68" s="294">
        <v>79751379</v>
      </c>
      <c r="AI68" s="337">
        <v>16793673</v>
      </c>
      <c r="AJ68" s="439">
        <v>43671783</v>
      </c>
      <c r="AK68" s="439">
        <v>0</v>
      </c>
      <c r="AL68" s="439">
        <v>-9699979</v>
      </c>
      <c r="AM68" s="294">
        <v>50765477</v>
      </c>
      <c r="AN68" s="337">
        <v>4808296</v>
      </c>
      <c r="AO68" s="439">
        <v>43633105</v>
      </c>
      <c r="AP68" s="439">
        <v>0</v>
      </c>
      <c r="AQ68" s="439">
        <v>2100030</v>
      </c>
      <c r="AR68" s="294">
        <v>50541431</v>
      </c>
      <c r="AS68" s="337">
        <v>2607166</v>
      </c>
      <c r="AT68" s="439">
        <v>43671302</v>
      </c>
      <c r="AU68" s="439">
        <v>0</v>
      </c>
      <c r="AV68" s="439">
        <v>1363</v>
      </c>
      <c r="AW68" s="294">
        <v>46279831</v>
      </c>
      <c r="AX68" s="337">
        <v>21433413</v>
      </c>
      <c r="AY68" s="439">
        <v>48013567</v>
      </c>
      <c r="AZ68" s="439">
        <v>0</v>
      </c>
      <c r="BA68" s="439">
        <v>107525</v>
      </c>
      <c r="BB68" s="294">
        <v>69554505</v>
      </c>
      <c r="BC68" s="337">
        <v>29056094</v>
      </c>
      <c r="BD68" s="439">
        <v>43811380</v>
      </c>
      <c r="BE68" s="439">
        <v>0</v>
      </c>
      <c r="BF68" s="439">
        <v>-9699702</v>
      </c>
      <c r="BG68" s="294">
        <v>63167772</v>
      </c>
      <c r="BH68" s="337">
        <v>29699605</v>
      </c>
      <c r="BI68" s="439">
        <v>43844734</v>
      </c>
      <c r="BJ68" s="439">
        <v>0</v>
      </c>
      <c r="BK68" s="439">
        <v>0</v>
      </c>
      <c r="BL68" s="294">
        <v>73544339</v>
      </c>
      <c r="BM68" s="337">
        <v>19426274.700000007</v>
      </c>
      <c r="BN68" s="439">
        <v>48100938</v>
      </c>
      <c r="BO68" s="439">
        <v>0</v>
      </c>
      <c r="BP68" s="439">
        <v>39</v>
      </c>
      <c r="BQ68" s="294">
        <v>67527251.700000003</v>
      </c>
      <c r="BR68" s="337">
        <v>208432282.69999999</v>
      </c>
      <c r="BS68" s="439">
        <v>537102188</v>
      </c>
      <c r="BT68" s="439">
        <v>0</v>
      </c>
      <c r="BU68" s="439">
        <v>468468</v>
      </c>
      <c r="BV68" s="399">
        <v>746002938.70000005</v>
      </c>
      <c r="BW68" s="451"/>
      <c r="BX68" s="238">
        <v>100</v>
      </c>
    </row>
    <row r="69" spans="1:81" hidden="1" x14ac:dyDescent="0.2">
      <c r="A69" s="84" t="s">
        <v>285</v>
      </c>
      <c r="B69" s="185"/>
      <c r="D69" s="52"/>
      <c r="E69" s="15">
        <v>0</v>
      </c>
      <c r="F69" s="15">
        <v>0</v>
      </c>
      <c r="G69" s="15">
        <v>0</v>
      </c>
      <c r="H69" s="15">
        <v>0</v>
      </c>
      <c r="I69" s="284"/>
      <c r="J69" s="113">
        <v>0</v>
      </c>
      <c r="K69" s="15">
        <v>0</v>
      </c>
      <c r="L69" s="15">
        <v>0</v>
      </c>
      <c r="M69" s="15">
        <v>0</v>
      </c>
      <c r="N69" s="284">
        <v>0</v>
      </c>
      <c r="O69" s="15">
        <v>0</v>
      </c>
      <c r="P69" s="15">
        <v>0</v>
      </c>
      <c r="Q69" s="15">
        <v>0</v>
      </c>
      <c r="R69" s="15">
        <v>0</v>
      </c>
      <c r="S69" s="284">
        <v>0</v>
      </c>
      <c r="T69" s="15">
        <v>0</v>
      </c>
      <c r="U69" s="15">
        <v>0</v>
      </c>
      <c r="V69" s="15">
        <v>0</v>
      </c>
      <c r="W69" s="15">
        <v>0</v>
      </c>
      <c r="X69" s="284">
        <v>0</v>
      </c>
      <c r="Y69" s="15">
        <v>0</v>
      </c>
      <c r="Z69" s="15">
        <v>0</v>
      </c>
      <c r="AA69" s="15">
        <v>0</v>
      </c>
      <c r="AB69" s="15">
        <v>0</v>
      </c>
      <c r="AC69" s="284">
        <v>0</v>
      </c>
      <c r="AD69" s="15">
        <v>0</v>
      </c>
      <c r="AE69" s="15">
        <v>0</v>
      </c>
      <c r="AF69" s="15">
        <v>0</v>
      </c>
      <c r="AG69" s="15">
        <v>0</v>
      </c>
      <c r="AH69" s="284">
        <v>0</v>
      </c>
      <c r="AI69" s="15">
        <v>0</v>
      </c>
      <c r="AJ69" s="15">
        <v>0</v>
      </c>
      <c r="AK69" s="15">
        <v>0</v>
      </c>
      <c r="AL69" s="15">
        <v>0</v>
      </c>
      <c r="AM69" s="284">
        <v>0</v>
      </c>
      <c r="AN69" s="15">
        <v>0</v>
      </c>
      <c r="AO69" s="15">
        <v>0</v>
      </c>
      <c r="AP69" s="15">
        <v>0</v>
      </c>
      <c r="AQ69" s="15">
        <v>0</v>
      </c>
      <c r="AR69" s="284">
        <v>0</v>
      </c>
      <c r="AS69" s="15">
        <v>0</v>
      </c>
      <c r="AT69" s="15">
        <v>0</v>
      </c>
      <c r="AU69" s="15">
        <v>0</v>
      </c>
      <c r="AV69" s="15">
        <v>0</v>
      </c>
      <c r="AW69" s="284">
        <v>0</v>
      </c>
      <c r="AX69" s="15">
        <v>0</v>
      </c>
      <c r="AY69" s="15">
        <v>0</v>
      </c>
      <c r="AZ69" s="15">
        <v>0</v>
      </c>
      <c r="BA69" s="15">
        <v>0</v>
      </c>
      <c r="BB69" s="284">
        <v>0</v>
      </c>
      <c r="BC69" s="15">
        <v>0</v>
      </c>
      <c r="BD69" s="15">
        <v>0</v>
      </c>
      <c r="BE69" s="15">
        <v>0</v>
      </c>
      <c r="BF69" s="15">
        <v>0</v>
      </c>
      <c r="BG69" s="284">
        <v>0</v>
      </c>
      <c r="BH69" s="15">
        <v>0</v>
      </c>
      <c r="BI69" s="15">
        <v>0</v>
      </c>
      <c r="BJ69" s="15">
        <v>0</v>
      </c>
      <c r="BK69" s="15">
        <v>0</v>
      </c>
      <c r="BL69" s="284">
        <v>0</v>
      </c>
      <c r="BM69" s="15">
        <v>0</v>
      </c>
      <c r="BN69" s="15">
        <v>0</v>
      </c>
      <c r="BO69" s="15">
        <v>0</v>
      </c>
      <c r="BP69" s="15">
        <v>0</v>
      </c>
      <c r="BQ69" s="284">
        <v>0</v>
      </c>
      <c r="BR69" s="15">
        <v>0</v>
      </c>
      <c r="BS69" s="15">
        <v>0</v>
      </c>
      <c r="BT69" s="15">
        <v>0</v>
      </c>
      <c r="BU69" s="15">
        <v>0</v>
      </c>
      <c r="BV69" s="85">
        <v>0</v>
      </c>
      <c r="BW69" s="12"/>
      <c r="BX69" s="238" t="e">
        <v>#DIV/0!</v>
      </c>
    </row>
    <row r="70" spans="1:81" hidden="1" x14ac:dyDescent="0.2">
      <c r="A70" s="84" t="s">
        <v>286</v>
      </c>
      <c r="B70" s="185"/>
      <c r="D70" s="52"/>
      <c r="E70" s="15">
        <v>0</v>
      </c>
      <c r="F70" s="15">
        <v>0</v>
      </c>
      <c r="G70" s="15">
        <v>0</v>
      </c>
      <c r="H70" s="15">
        <v>0</v>
      </c>
      <c r="I70" s="284"/>
      <c r="J70" s="113">
        <v>0</v>
      </c>
      <c r="K70" s="15">
        <v>0</v>
      </c>
      <c r="L70" s="15">
        <v>0</v>
      </c>
      <c r="M70" s="15">
        <v>0</v>
      </c>
      <c r="N70" s="284">
        <v>0</v>
      </c>
      <c r="O70" s="15">
        <v>0</v>
      </c>
      <c r="P70" s="15">
        <v>0</v>
      </c>
      <c r="Q70" s="15">
        <v>0</v>
      </c>
      <c r="R70" s="15">
        <v>0</v>
      </c>
      <c r="S70" s="284">
        <v>0</v>
      </c>
      <c r="T70" s="15">
        <v>0</v>
      </c>
      <c r="U70" s="15">
        <v>0</v>
      </c>
      <c r="V70" s="15">
        <v>0</v>
      </c>
      <c r="W70" s="15">
        <v>0</v>
      </c>
      <c r="X70" s="284">
        <v>0</v>
      </c>
      <c r="Y70" s="15">
        <v>0</v>
      </c>
      <c r="Z70" s="15">
        <v>0</v>
      </c>
      <c r="AA70" s="15">
        <v>0</v>
      </c>
      <c r="AB70" s="15">
        <v>0</v>
      </c>
      <c r="AC70" s="284">
        <v>0</v>
      </c>
      <c r="AD70" s="15">
        <v>0</v>
      </c>
      <c r="AE70" s="15">
        <v>0</v>
      </c>
      <c r="AF70" s="15">
        <v>0</v>
      </c>
      <c r="AG70" s="15">
        <v>0</v>
      </c>
      <c r="AH70" s="284">
        <v>0</v>
      </c>
      <c r="AI70" s="15">
        <v>0</v>
      </c>
      <c r="AJ70" s="15">
        <v>0</v>
      </c>
      <c r="AK70" s="15">
        <v>0</v>
      </c>
      <c r="AL70" s="15">
        <v>0</v>
      </c>
      <c r="AM70" s="284">
        <v>0</v>
      </c>
      <c r="AN70" s="15">
        <v>0</v>
      </c>
      <c r="AO70" s="15">
        <v>0</v>
      </c>
      <c r="AP70" s="15">
        <v>0</v>
      </c>
      <c r="AQ70" s="15">
        <v>0</v>
      </c>
      <c r="AR70" s="284">
        <v>0</v>
      </c>
      <c r="AS70" s="15">
        <v>0</v>
      </c>
      <c r="AT70" s="15">
        <v>0</v>
      </c>
      <c r="AU70" s="15">
        <v>0</v>
      </c>
      <c r="AV70" s="15">
        <v>0</v>
      </c>
      <c r="AW70" s="284">
        <v>0</v>
      </c>
      <c r="AX70" s="15"/>
      <c r="AY70" s="15"/>
      <c r="AZ70" s="15"/>
      <c r="BA70" s="15"/>
      <c r="BB70" s="284"/>
      <c r="BC70" s="15"/>
      <c r="BD70" s="15"/>
      <c r="BE70" s="15"/>
      <c r="BF70" s="15"/>
      <c r="BG70" s="284"/>
      <c r="BH70" s="15"/>
      <c r="BI70" s="15"/>
      <c r="BJ70" s="15"/>
      <c r="BK70" s="15"/>
      <c r="BL70" s="284"/>
      <c r="BM70" s="15"/>
      <c r="BN70" s="15"/>
      <c r="BO70" s="15"/>
      <c r="BP70" s="15"/>
      <c r="BQ70" s="284"/>
      <c r="BR70" s="15">
        <v>0</v>
      </c>
      <c r="BS70" s="15">
        <v>0</v>
      </c>
      <c r="BT70" s="15">
        <v>0</v>
      </c>
      <c r="BU70" s="15">
        <v>0</v>
      </c>
      <c r="BV70" s="85">
        <v>0</v>
      </c>
      <c r="BW70" s="12"/>
      <c r="BX70" s="238" t="e">
        <v>#DIV/0!</v>
      </c>
    </row>
    <row r="71" spans="1:81" hidden="1" x14ac:dyDescent="0.2">
      <c r="A71" s="84" t="s">
        <v>287</v>
      </c>
      <c r="B71" s="185"/>
      <c r="D71" s="52"/>
      <c r="E71" s="15">
        <v>0</v>
      </c>
      <c r="F71" s="15">
        <v>0</v>
      </c>
      <c r="G71" s="15">
        <v>0</v>
      </c>
      <c r="H71" s="15">
        <v>0</v>
      </c>
      <c r="I71" s="284"/>
      <c r="J71" s="113">
        <v>0</v>
      </c>
      <c r="K71" s="15">
        <v>0</v>
      </c>
      <c r="L71" s="15">
        <v>0</v>
      </c>
      <c r="M71" s="15">
        <v>0</v>
      </c>
      <c r="N71" s="284">
        <v>0</v>
      </c>
      <c r="O71" s="15">
        <v>0</v>
      </c>
      <c r="P71" s="15">
        <v>0</v>
      </c>
      <c r="Q71" s="15">
        <v>0</v>
      </c>
      <c r="R71" s="15">
        <v>0</v>
      </c>
      <c r="S71" s="284">
        <v>0</v>
      </c>
      <c r="T71" s="15">
        <v>0</v>
      </c>
      <c r="U71" s="15">
        <v>0</v>
      </c>
      <c r="V71" s="15">
        <v>0</v>
      </c>
      <c r="W71" s="15">
        <v>0</v>
      </c>
      <c r="X71" s="284">
        <v>0</v>
      </c>
      <c r="Y71" s="15">
        <v>0</v>
      </c>
      <c r="Z71" s="15">
        <v>0</v>
      </c>
      <c r="AA71" s="15">
        <v>0</v>
      </c>
      <c r="AB71" s="15">
        <v>0</v>
      </c>
      <c r="AC71" s="284">
        <v>0</v>
      </c>
      <c r="AD71" s="15">
        <v>0</v>
      </c>
      <c r="AE71" s="15">
        <v>0</v>
      </c>
      <c r="AF71" s="15">
        <v>0</v>
      </c>
      <c r="AG71" s="15">
        <v>0</v>
      </c>
      <c r="AH71" s="284">
        <v>0</v>
      </c>
      <c r="AI71" s="15">
        <v>0</v>
      </c>
      <c r="AJ71" s="15">
        <v>0</v>
      </c>
      <c r="AK71" s="15">
        <v>0</v>
      </c>
      <c r="AL71" s="15">
        <v>0</v>
      </c>
      <c r="AM71" s="284">
        <v>0</v>
      </c>
      <c r="AN71" s="15">
        <v>0</v>
      </c>
      <c r="AO71" s="15">
        <v>0</v>
      </c>
      <c r="AP71" s="15">
        <v>0</v>
      </c>
      <c r="AQ71" s="15">
        <v>0</v>
      </c>
      <c r="AR71" s="284">
        <v>0</v>
      </c>
      <c r="AS71" s="15">
        <v>0</v>
      </c>
      <c r="AT71" s="15">
        <v>0</v>
      </c>
      <c r="AU71" s="15">
        <v>0</v>
      </c>
      <c r="AV71" s="15">
        <v>0</v>
      </c>
      <c r="AW71" s="284">
        <v>0</v>
      </c>
      <c r="AX71" s="15"/>
      <c r="AY71" s="15"/>
      <c r="AZ71" s="15"/>
      <c r="BA71" s="15"/>
      <c r="BB71" s="284"/>
      <c r="BC71" s="15"/>
      <c r="BD71" s="15"/>
      <c r="BE71" s="15"/>
      <c r="BF71" s="15"/>
      <c r="BG71" s="284"/>
      <c r="BH71" s="15"/>
      <c r="BI71" s="15"/>
      <c r="BJ71" s="15"/>
      <c r="BK71" s="15"/>
      <c r="BL71" s="284"/>
      <c r="BM71" s="15"/>
      <c r="BN71" s="15"/>
      <c r="BO71" s="15"/>
      <c r="BP71" s="15"/>
      <c r="BQ71" s="284"/>
      <c r="BR71" s="15">
        <v>0</v>
      </c>
      <c r="BS71" s="15">
        <v>0</v>
      </c>
      <c r="BT71" s="15">
        <v>0</v>
      </c>
      <c r="BU71" s="15">
        <v>0</v>
      </c>
      <c r="BV71" s="85">
        <v>0</v>
      </c>
      <c r="BW71" s="12"/>
      <c r="BX71" s="238" t="e">
        <v>#DIV/0!</v>
      </c>
    </row>
    <row r="72" spans="1:81" hidden="1" x14ac:dyDescent="0.2">
      <c r="A72" s="84" t="s">
        <v>288</v>
      </c>
      <c r="B72" s="185"/>
      <c r="D72" s="52"/>
      <c r="E72" s="15">
        <v>0</v>
      </c>
      <c r="F72" s="15">
        <v>0</v>
      </c>
      <c r="G72" s="15">
        <v>0</v>
      </c>
      <c r="H72" s="15">
        <v>0</v>
      </c>
      <c r="I72" s="284"/>
      <c r="J72" s="113">
        <v>0</v>
      </c>
      <c r="K72" s="15">
        <v>0</v>
      </c>
      <c r="L72" s="15">
        <v>0</v>
      </c>
      <c r="M72" s="15">
        <v>0</v>
      </c>
      <c r="N72" s="284">
        <v>0</v>
      </c>
      <c r="O72" s="15">
        <v>0</v>
      </c>
      <c r="P72" s="15">
        <v>0</v>
      </c>
      <c r="Q72" s="15">
        <v>0</v>
      </c>
      <c r="R72" s="15">
        <v>0</v>
      </c>
      <c r="S72" s="284">
        <v>0</v>
      </c>
      <c r="T72" s="15">
        <v>0</v>
      </c>
      <c r="U72" s="15">
        <v>0</v>
      </c>
      <c r="V72" s="15">
        <v>0</v>
      </c>
      <c r="W72" s="15">
        <v>0</v>
      </c>
      <c r="X72" s="284">
        <v>0</v>
      </c>
      <c r="Y72" s="15">
        <v>0</v>
      </c>
      <c r="Z72" s="15">
        <v>0</v>
      </c>
      <c r="AA72" s="15">
        <v>0</v>
      </c>
      <c r="AB72" s="15">
        <v>0</v>
      </c>
      <c r="AC72" s="284">
        <v>0</v>
      </c>
      <c r="AD72" s="15">
        <v>0</v>
      </c>
      <c r="AE72" s="15">
        <v>0</v>
      </c>
      <c r="AF72" s="15">
        <v>0</v>
      </c>
      <c r="AG72" s="15">
        <v>0</v>
      </c>
      <c r="AH72" s="284">
        <v>0</v>
      </c>
      <c r="AI72" s="15">
        <v>0</v>
      </c>
      <c r="AJ72" s="15">
        <v>0</v>
      </c>
      <c r="AK72" s="15">
        <v>0</v>
      </c>
      <c r="AL72" s="15">
        <v>0</v>
      </c>
      <c r="AM72" s="284">
        <v>0</v>
      </c>
      <c r="AN72" s="15">
        <v>0</v>
      </c>
      <c r="AO72" s="15">
        <v>0</v>
      </c>
      <c r="AP72" s="15">
        <v>0</v>
      </c>
      <c r="AQ72" s="15">
        <v>0</v>
      </c>
      <c r="AR72" s="284">
        <v>0</v>
      </c>
      <c r="AS72" s="15">
        <v>0</v>
      </c>
      <c r="AT72" s="15">
        <v>0</v>
      </c>
      <c r="AU72" s="15">
        <v>0</v>
      </c>
      <c r="AV72" s="15">
        <v>0</v>
      </c>
      <c r="AW72" s="284">
        <v>0</v>
      </c>
      <c r="AX72" s="15"/>
      <c r="AY72" s="15"/>
      <c r="AZ72" s="15"/>
      <c r="BA72" s="15"/>
      <c r="BB72" s="284"/>
      <c r="BC72" s="15"/>
      <c r="BD72" s="15"/>
      <c r="BE72" s="15"/>
      <c r="BF72" s="15"/>
      <c r="BG72" s="284"/>
      <c r="BH72" s="15"/>
      <c r="BI72" s="15"/>
      <c r="BJ72" s="15"/>
      <c r="BK72" s="15"/>
      <c r="BL72" s="284"/>
      <c r="BM72" s="15"/>
      <c r="BN72" s="15"/>
      <c r="BO72" s="15"/>
      <c r="BP72" s="15"/>
      <c r="BQ72" s="284"/>
      <c r="BR72" s="15">
        <v>0</v>
      </c>
      <c r="BS72" s="15">
        <v>0</v>
      </c>
      <c r="BT72" s="15">
        <v>0</v>
      </c>
      <c r="BU72" s="15">
        <v>0</v>
      </c>
      <c r="BV72" s="85">
        <v>0</v>
      </c>
      <c r="BW72" s="12"/>
      <c r="BX72" s="238" t="e">
        <v>#DIV/0!</v>
      </c>
    </row>
    <row r="73" spans="1:81" ht="13.5" customHeight="1" x14ac:dyDescent="0.2">
      <c r="A73" s="151" t="s">
        <v>185</v>
      </c>
      <c r="B73" s="189"/>
      <c r="C73" s="189"/>
      <c r="D73" s="127"/>
      <c r="E73" s="78">
        <v>452231135.69999999</v>
      </c>
      <c r="F73" s="79">
        <v>1161710554</v>
      </c>
      <c r="G73" s="79">
        <v>12204523</v>
      </c>
      <c r="H73" s="79">
        <v>64986974</v>
      </c>
      <c r="I73" s="462">
        <v>1691133186.7</v>
      </c>
      <c r="J73" s="78">
        <v>21299829</v>
      </c>
      <c r="K73" s="79">
        <v>102058569</v>
      </c>
      <c r="L73" s="79">
        <v>362073</v>
      </c>
      <c r="M73" s="79">
        <v>13633997</v>
      </c>
      <c r="N73" s="462">
        <v>137354468</v>
      </c>
      <c r="O73" s="79">
        <v>23389993</v>
      </c>
      <c r="P73" s="79">
        <v>90353168</v>
      </c>
      <c r="Q73" s="79">
        <v>582691</v>
      </c>
      <c r="R73" s="79">
        <v>135434</v>
      </c>
      <c r="S73" s="462">
        <v>114461286</v>
      </c>
      <c r="T73" s="78">
        <v>39453704</v>
      </c>
      <c r="U73" s="79">
        <v>83604736</v>
      </c>
      <c r="V73" s="79">
        <v>553754</v>
      </c>
      <c r="W73" s="79">
        <v>23276</v>
      </c>
      <c r="X73" s="462">
        <v>123635470</v>
      </c>
      <c r="Y73" s="78">
        <v>47785459</v>
      </c>
      <c r="Z73" s="79">
        <v>124231215</v>
      </c>
      <c r="AA73" s="79">
        <v>714762</v>
      </c>
      <c r="AB73" s="79">
        <v>122353</v>
      </c>
      <c r="AC73" s="462">
        <v>172853789</v>
      </c>
      <c r="AD73" s="78">
        <v>47186195</v>
      </c>
      <c r="AE73" s="79">
        <v>98938819</v>
      </c>
      <c r="AF73" s="79">
        <v>844913</v>
      </c>
      <c r="AG73" s="79">
        <v>3802346</v>
      </c>
      <c r="AH73" s="462">
        <v>150772273</v>
      </c>
      <c r="AI73" s="78">
        <v>36134750</v>
      </c>
      <c r="AJ73" s="79">
        <v>77572968</v>
      </c>
      <c r="AK73" s="79">
        <v>853464</v>
      </c>
      <c r="AL73" s="79">
        <v>3802194</v>
      </c>
      <c r="AM73" s="462">
        <v>118363376</v>
      </c>
      <c r="AN73" s="78">
        <v>25297181</v>
      </c>
      <c r="AO73" s="79">
        <v>98060723</v>
      </c>
      <c r="AP73" s="79">
        <v>670997</v>
      </c>
      <c r="AQ73" s="79">
        <v>2101544</v>
      </c>
      <c r="AR73" s="462">
        <v>126130445</v>
      </c>
      <c r="AS73" s="78">
        <v>22391188</v>
      </c>
      <c r="AT73" s="79">
        <v>87521398</v>
      </c>
      <c r="AU73" s="79">
        <v>737799</v>
      </c>
      <c r="AV73" s="79">
        <v>11508</v>
      </c>
      <c r="AW73" s="462">
        <v>110661893</v>
      </c>
      <c r="AX73" s="78">
        <v>41128944</v>
      </c>
      <c r="AY73" s="79">
        <v>102434676</v>
      </c>
      <c r="AZ73" s="79">
        <v>1572655</v>
      </c>
      <c r="BA73" s="79">
        <v>17382458</v>
      </c>
      <c r="BB73" s="462">
        <v>162518733</v>
      </c>
      <c r="BC73" s="78">
        <v>48538016</v>
      </c>
      <c r="BD73" s="79">
        <v>89460505</v>
      </c>
      <c r="BE73" s="79">
        <v>896488</v>
      </c>
      <c r="BF73" s="79">
        <v>7924</v>
      </c>
      <c r="BG73" s="462">
        <v>138902933</v>
      </c>
      <c r="BH73" s="78">
        <v>50682519</v>
      </c>
      <c r="BI73" s="79">
        <v>77944225</v>
      </c>
      <c r="BJ73" s="79">
        <v>685432</v>
      </c>
      <c r="BK73" s="79">
        <v>13013794</v>
      </c>
      <c r="BL73" s="462">
        <v>142325970</v>
      </c>
      <c r="BM73" s="78">
        <v>48943357.700000003</v>
      </c>
      <c r="BN73" s="79">
        <v>129529552</v>
      </c>
      <c r="BO73" s="79">
        <v>3729495</v>
      </c>
      <c r="BP73" s="79">
        <v>10950146</v>
      </c>
      <c r="BQ73" s="462">
        <v>193152550.69999999</v>
      </c>
      <c r="BR73" s="78">
        <v>452231135.69999999</v>
      </c>
      <c r="BS73" s="79">
        <v>1161710554</v>
      </c>
      <c r="BT73" s="79">
        <v>12204523</v>
      </c>
      <c r="BU73" s="79">
        <v>64986974</v>
      </c>
      <c r="BV73" s="206">
        <v>1691133186.7</v>
      </c>
      <c r="BW73" s="12"/>
      <c r="BX73" s="238">
        <v>100</v>
      </c>
    </row>
    <row r="74" spans="1:81" ht="13.5" hidden="1" customHeight="1" x14ac:dyDescent="0.2">
      <c r="A74" s="84"/>
      <c r="D74" s="123" t="s">
        <v>141</v>
      </c>
      <c r="E74" s="325">
        <v>0</v>
      </c>
      <c r="F74" s="33">
        <v>0</v>
      </c>
      <c r="G74" s="33">
        <v>0</v>
      </c>
      <c r="H74" s="31">
        <v>0</v>
      </c>
      <c r="I74" s="390">
        <v>0</v>
      </c>
      <c r="J74" s="325">
        <v>0</v>
      </c>
      <c r="K74" s="33">
        <v>0</v>
      </c>
      <c r="L74" s="33">
        <v>0</v>
      </c>
      <c r="M74" s="31">
        <v>0</v>
      </c>
      <c r="N74" s="284">
        <v>0</v>
      </c>
      <c r="O74" s="33">
        <v>0</v>
      </c>
      <c r="P74" s="33">
        <v>0</v>
      </c>
      <c r="Q74" s="33">
        <v>0</v>
      </c>
      <c r="R74" s="31">
        <v>0</v>
      </c>
      <c r="S74" s="390">
        <v>0</v>
      </c>
      <c r="T74" s="325">
        <v>0</v>
      </c>
      <c r="U74" s="33">
        <v>0</v>
      </c>
      <c r="V74" s="33">
        <v>0</v>
      </c>
      <c r="W74" s="31">
        <v>0</v>
      </c>
      <c r="X74" s="390">
        <v>0</v>
      </c>
      <c r="Y74" s="325">
        <v>0</v>
      </c>
      <c r="Z74" s="33">
        <v>0</v>
      </c>
      <c r="AA74" s="33">
        <v>0</v>
      </c>
      <c r="AB74" s="33">
        <v>0</v>
      </c>
      <c r="AC74" s="472">
        <v>0</v>
      </c>
      <c r="AD74" s="325">
        <v>0</v>
      </c>
      <c r="AE74" s="33">
        <v>0</v>
      </c>
      <c r="AF74" s="33">
        <v>0</v>
      </c>
      <c r="AG74" s="31">
        <v>0</v>
      </c>
      <c r="AH74" s="390">
        <v>0</v>
      </c>
      <c r="AI74" s="325">
        <v>0</v>
      </c>
      <c r="AJ74" s="33">
        <v>0</v>
      </c>
      <c r="AK74" s="33">
        <v>0</v>
      </c>
      <c r="AL74" s="31">
        <v>0</v>
      </c>
      <c r="AM74" s="390">
        <v>0</v>
      </c>
      <c r="AN74" s="325">
        <v>0</v>
      </c>
      <c r="AO74" s="33">
        <v>0</v>
      </c>
      <c r="AP74" s="33">
        <v>0</v>
      </c>
      <c r="AQ74" s="31">
        <v>0</v>
      </c>
      <c r="AR74" s="390">
        <v>0</v>
      </c>
      <c r="AS74" s="325">
        <v>0</v>
      </c>
      <c r="AT74" s="33">
        <v>0</v>
      </c>
      <c r="AU74" s="33">
        <v>0</v>
      </c>
      <c r="AV74" s="31">
        <v>0</v>
      </c>
      <c r="AW74" s="390">
        <v>0</v>
      </c>
      <c r="AX74" s="325">
        <v>0</v>
      </c>
      <c r="AY74" s="33">
        <v>0</v>
      </c>
      <c r="AZ74" s="33">
        <v>0</v>
      </c>
      <c r="BA74" s="31">
        <v>0</v>
      </c>
      <c r="BB74" s="390">
        <v>0</v>
      </c>
      <c r="BC74" s="325">
        <v>0</v>
      </c>
      <c r="BD74" s="33">
        <v>0</v>
      </c>
      <c r="BE74" s="33">
        <v>0</v>
      </c>
      <c r="BF74" s="31">
        <v>0</v>
      </c>
      <c r="BG74" s="390">
        <v>0</v>
      </c>
      <c r="BH74" s="325">
        <v>0</v>
      </c>
      <c r="BI74" s="33">
        <v>0</v>
      </c>
      <c r="BJ74" s="33">
        <v>0</v>
      </c>
      <c r="BK74" s="31">
        <v>0</v>
      </c>
      <c r="BL74" s="390">
        <v>0</v>
      </c>
      <c r="BM74" s="325">
        <v>0</v>
      </c>
      <c r="BN74" s="33">
        <v>0</v>
      </c>
      <c r="BO74" s="33">
        <v>0</v>
      </c>
      <c r="BP74" s="31">
        <v>0</v>
      </c>
      <c r="BQ74" s="390">
        <v>0</v>
      </c>
      <c r="BR74" s="325">
        <v>0</v>
      </c>
      <c r="BS74" s="33">
        <v>0</v>
      </c>
      <c r="BT74" s="33">
        <v>0</v>
      </c>
      <c r="BU74" s="31">
        <v>0</v>
      </c>
      <c r="BV74" s="85">
        <v>0</v>
      </c>
      <c r="BW74" s="12"/>
      <c r="BX74" s="238" t="e">
        <v>#DIV/0!</v>
      </c>
    </row>
    <row r="75" spans="1:81" ht="13.5" hidden="1" customHeight="1" x14ac:dyDescent="0.2">
      <c r="A75" s="84" t="s">
        <v>27</v>
      </c>
      <c r="D75" s="52"/>
      <c r="E75" s="33">
        <v>0</v>
      </c>
      <c r="F75" s="33">
        <v>0</v>
      </c>
      <c r="G75" s="33">
        <v>0</v>
      </c>
      <c r="H75" s="33">
        <v>0</v>
      </c>
      <c r="I75" s="284">
        <v>0</v>
      </c>
      <c r="J75" s="325">
        <v>0</v>
      </c>
      <c r="K75" s="33">
        <v>0</v>
      </c>
      <c r="L75" s="33">
        <v>0</v>
      </c>
      <c r="M75" s="33">
        <v>0</v>
      </c>
      <c r="N75" s="284">
        <v>0</v>
      </c>
      <c r="O75" s="33">
        <v>0</v>
      </c>
      <c r="P75" s="33">
        <v>0</v>
      </c>
      <c r="Q75" s="33">
        <v>0</v>
      </c>
      <c r="R75" s="33">
        <v>0</v>
      </c>
      <c r="S75" s="284">
        <v>0</v>
      </c>
      <c r="T75" s="33">
        <v>0</v>
      </c>
      <c r="U75" s="33">
        <v>0</v>
      </c>
      <c r="V75" s="33">
        <v>0</v>
      </c>
      <c r="W75" s="33">
        <v>0</v>
      </c>
      <c r="X75" s="284">
        <v>0</v>
      </c>
      <c r="Y75" s="33">
        <v>0</v>
      </c>
      <c r="Z75" s="33">
        <v>0</v>
      </c>
      <c r="AA75" s="33">
        <v>0</v>
      </c>
      <c r="AB75" s="33">
        <v>0</v>
      </c>
      <c r="AC75" s="284">
        <v>0</v>
      </c>
      <c r="AD75" s="33">
        <v>0</v>
      </c>
      <c r="AE75" s="33">
        <v>0</v>
      </c>
      <c r="AF75" s="33">
        <v>0</v>
      </c>
      <c r="AG75" s="33">
        <v>0</v>
      </c>
      <c r="AH75" s="284">
        <v>0</v>
      </c>
      <c r="AI75" s="33">
        <v>0</v>
      </c>
      <c r="AJ75" s="33">
        <v>0</v>
      </c>
      <c r="AK75" s="33">
        <v>0</v>
      </c>
      <c r="AL75" s="33">
        <v>0</v>
      </c>
      <c r="AM75" s="284">
        <v>0</v>
      </c>
      <c r="AN75" s="33">
        <v>0</v>
      </c>
      <c r="AO75" s="33">
        <v>0</v>
      </c>
      <c r="AP75" s="33">
        <v>0</v>
      </c>
      <c r="AQ75" s="33">
        <v>0</v>
      </c>
      <c r="AR75" s="284">
        <v>0</v>
      </c>
      <c r="AS75" s="33">
        <v>0</v>
      </c>
      <c r="AT75" s="33">
        <v>0</v>
      </c>
      <c r="AU75" s="33">
        <v>0</v>
      </c>
      <c r="AV75" s="33">
        <v>0</v>
      </c>
      <c r="AW75" s="284">
        <v>0</v>
      </c>
      <c r="AX75" s="33">
        <v>0</v>
      </c>
      <c r="AY75" s="33">
        <v>0</v>
      </c>
      <c r="AZ75" s="33">
        <v>0</v>
      </c>
      <c r="BA75" s="33">
        <v>0</v>
      </c>
      <c r="BB75" s="284">
        <v>0</v>
      </c>
      <c r="BC75" s="33">
        <v>0</v>
      </c>
      <c r="BD75" s="33">
        <v>0</v>
      </c>
      <c r="BE75" s="33">
        <v>0</v>
      </c>
      <c r="BF75" s="33">
        <v>0</v>
      </c>
      <c r="BG75" s="284">
        <v>0</v>
      </c>
      <c r="BH75" s="33">
        <v>0</v>
      </c>
      <c r="BI75" s="33">
        <v>0</v>
      </c>
      <c r="BJ75" s="33">
        <v>0</v>
      </c>
      <c r="BK75" s="33">
        <v>0</v>
      </c>
      <c r="BL75" s="284">
        <v>0</v>
      </c>
      <c r="BM75" s="33">
        <v>0</v>
      </c>
      <c r="BN75" s="33">
        <v>0</v>
      </c>
      <c r="BO75" s="33">
        <v>0</v>
      </c>
      <c r="BP75" s="33">
        <v>0</v>
      </c>
      <c r="BQ75" s="284">
        <v>0</v>
      </c>
      <c r="BR75" s="33">
        <v>0</v>
      </c>
      <c r="BS75" s="33">
        <v>0</v>
      </c>
      <c r="BT75" s="33">
        <v>0</v>
      </c>
      <c r="BU75" s="33">
        <v>0</v>
      </c>
      <c r="BV75" s="85">
        <v>0</v>
      </c>
      <c r="BW75" s="12"/>
      <c r="BX75" s="238">
        <v>0</v>
      </c>
    </row>
    <row r="76" spans="1:81" ht="13.5" hidden="1" customHeight="1" x14ac:dyDescent="0.2">
      <c r="A76" s="84"/>
      <c r="D76" s="52"/>
      <c r="E76" s="33">
        <v>0</v>
      </c>
      <c r="F76" s="33">
        <v>0</v>
      </c>
      <c r="G76" s="33">
        <v>0</v>
      </c>
      <c r="H76" s="33">
        <v>0</v>
      </c>
      <c r="I76" s="284">
        <v>0</v>
      </c>
      <c r="J76" s="325">
        <v>0</v>
      </c>
      <c r="K76" s="33">
        <v>0</v>
      </c>
      <c r="L76" s="33">
        <v>0</v>
      </c>
      <c r="M76" s="33">
        <v>0</v>
      </c>
      <c r="N76" s="284">
        <v>0</v>
      </c>
      <c r="O76" s="33">
        <v>0</v>
      </c>
      <c r="P76" s="33">
        <v>0</v>
      </c>
      <c r="Q76" s="33">
        <v>0</v>
      </c>
      <c r="R76" s="33">
        <v>0</v>
      </c>
      <c r="S76" s="284">
        <v>0</v>
      </c>
      <c r="T76" s="33">
        <v>0</v>
      </c>
      <c r="U76" s="33">
        <v>0</v>
      </c>
      <c r="V76" s="33">
        <v>0</v>
      </c>
      <c r="W76" s="33">
        <v>0</v>
      </c>
      <c r="X76" s="284">
        <v>0</v>
      </c>
      <c r="Y76" s="33">
        <v>0</v>
      </c>
      <c r="Z76" s="33">
        <v>0</v>
      </c>
      <c r="AA76" s="33">
        <v>0</v>
      </c>
      <c r="AB76" s="33">
        <v>0</v>
      </c>
      <c r="AC76" s="233">
        <v>0</v>
      </c>
      <c r="AD76" s="33">
        <v>0</v>
      </c>
      <c r="AE76" s="33">
        <v>0</v>
      </c>
      <c r="AF76" s="33">
        <v>0</v>
      </c>
      <c r="AG76" s="33">
        <v>0</v>
      </c>
      <c r="AH76" s="284">
        <v>0</v>
      </c>
      <c r="AI76" s="33">
        <v>0</v>
      </c>
      <c r="AJ76" s="33">
        <v>0</v>
      </c>
      <c r="AK76" s="33">
        <v>0</v>
      </c>
      <c r="AL76" s="33">
        <v>0</v>
      </c>
      <c r="AM76" s="284">
        <v>0</v>
      </c>
      <c r="AN76" s="33">
        <v>0</v>
      </c>
      <c r="AO76" s="33">
        <v>0</v>
      </c>
      <c r="AP76" s="33">
        <v>0</v>
      </c>
      <c r="AQ76" s="33">
        <v>0</v>
      </c>
      <c r="AR76" s="284">
        <v>0</v>
      </c>
      <c r="AS76" s="33">
        <v>0</v>
      </c>
      <c r="AT76" s="33">
        <v>0</v>
      </c>
      <c r="AU76" s="33">
        <v>0</v>
      </c>
      <c r="AV76" s="33">
        <v>0</v>
      </c>
      <c r="AW76" s="284">
        <v>0</v>
      </c>
      <c r="AX76" s="33">
        <v>0</v>
      </c>
      <c r="AY76" s="33">
        <v>0</v>
      </c>
      <c r="AZ76" s="33">
        <v>0</v>
      </c>
      <c r="BA76" s="33">
        <v>0</v>
      </c>
      <c r="BB76" s="284">
        <v>0</v>
      </c>
      <c r="BC76" s="33">
        <v>0</v>
      </c>
      <c r="BD76" s="33">
        <v>0</v>
      </c>
      <c r="BE76" s="33">
        <v>0</v>
      </c>
      <c r="BF76" s="33">
        <v>0</v>
      </c>
      <c r="BG76" s="284">
        <v>0</v>
      </c>
      <c r="BH76" s="33">
        <v>0</v>
      </c>
      <c r="BI76" s="33">
        <v>0</v>
      </c>
      <c r="BJ76" s="33">
        <v>0</v>
      </c>
      <c r="BK76" s="33">
        <v>0</v>
      </c>
      <c r="BL76" s="284">
        <v>0</v>
      </c>
      <c r="BM76" s="33">
        <v>0</v>
      </c>
      <c r="BN76" s="33">
        <v>0</v>
      </c>
      <c r="BO76" s="33">
        <v>0</v>
      </c>
      <c r="BP76" s="33">
        <v>0</v>
      </c>
      <c r="BQ76" s="284">
        <v>0</v>
      </c>
      <c r="BR76" s="33">
        <v>0</v>
      </c>
      <c r="BS76" s="33">
        <v>0</v>
      </c>
      <c r="BT76" s="33">
        <v>0</v>
      </c>
      <c r="BU76" s="33">
        <v>0</v>
      </c>
      <c r="BV76" s="85">
        <v>0</v>
      </c>
      <c r="BW76" s="12"/>
      <c r="BX76" s="238"/>
    </row>
    <row r="77" spans="1:81" x14ac:dyDescent="0.2">
      <c r="A77" s="151" t="s">
        <v>254</v>
      </c>
      <c r="B77" s="326"/>
      <c r="C77" s="189"/>
      <c r="D77" s="346"/>
      <c r="E77" s="460">
        <v>452231135.69999999</v>
      </c>
      <c r="F77" s="460">
        <v>1161710554</v>
      </c>
      <c r="G77" s="460">
        <v>12204523</v>
      </c>
      <c r="H77" s="460">
        <v>64986974</v>
      </c>
      <c r="I77" s="203">
        <v>1691133186.7</v>
      </c>
      <c r="J77" s="359">
        <v>21299829</v>
      </c>
      <c r="K77" s="460">
        <v>102058569</v>
      </c>
      <c r="L77" s="460">
        <v>362073</v>
      </c>
      <c r="M77" s="460">
        <v>13633997</v>
      </c>
      <c r="N77" s="203">
        <v>137354468</v>
      </c>
      <c r="O77" s="460">
        <v>23389993</v>
      </c>
      <c r="P77" s="460">
        <v>90353168</v>
      </c>
      <c r="Q77" s="460">
        <v>582691</v>
      </c>
      <c r="R77" s="460">
        <v>135434</v>
      </c>
      <c r="S77" s="203">
        <v>114461286</v>
      </c>
      <c r="T77" s="460">
        <v>39453704</v>
      </c>
      <c r="U77" s="460">
        <v>83604736</v>
      </c>
      <c r="V77" s="460">
        <v>553754</v>
      </c>
      <c r="W77" s="460">
        <v>23276</v>
      </c>
      <c r="X77" s="203">
        <v>123635470</v>
      </c>
      <c r="Y77" s="460">
        <v>47785459</v>
      </c>
      <c r="Z77" s="460">
        <v>124231215</v>
      </c>
      <c r="AA77" s="460">
        <v>714762</v>
      </c>
      <c r="AB77" s="460">
        <v>122353</v>
      </c>
      <c r="AC77" s="203">
        <v>172853789</v>
      </c>
      <c r="AD77" s="460">
        <v>47186195</v>
      </c>
      <c r="AE77" s="460">
        <v>98938819</v>
      </c>
      <c r="AF77" s="460">
        <v>844913</v>
      </c>
      <c r="AG77" s="460">
        <v>3802346</v>
      </c>
      <c r="AH77" s="203">
        <v>150772273</v>
      </c>
      <c r="AI77" s="460">
        <v>36134750</v>
      </c>
      <c r="AJ77" s="460">
        <v>77572968</v>
      </c>
      <c r="AK77" s="460">
        <v>853464</v>
      </c>
      <c r="AL77" s="460">
        <v>3802194</v>
      </c>
      <c r="AM77" s="203">
        <v>118363376</v>
      </c>
      <c r="AN77" s="460">
        <v>25297181</v>
      </c>
      <c r="AO77" s="460">
        <v>98060723</v>
      </c>
      <c r="AP77" s="460">
        <v>670997</v>
      </c>
      <c r="AQ77" s="460">
        <v>2101544</v>
      </c>
      <c r="AR77" s="203">
        <v>126130445</v>
      </c>
      <c r="AS77" s="460">
        <v>22391188</v>
      </c>
      <c r="AT77" s="460">
        <v>87521398</v>
      </c>
      <c r="AU77" s="460">
        <v>737799</v>
      </c>
      <c r="AV77" s="460">
        <v>11508</v>
      </c>
      <c r="AW77" s="203">
        <v>110661893</v>
      </c>
      <c r="AX77" s="460">
        <v>41128944</v>
      </c>
      <c r="AY77" s="460">
        <v>102434676</v>
      </c>
      <c r="AZ77" s="460">
        <v>1572655</v>
      </c>
      <c r="BA77" s="460">
        <v>17382458</v>
      </c>
      <c r="BB77" s="203">
        <v>162518733</v>
      </c>
      <c r="BC77" s="460">
        <v>48538016</v>
      </c>
      <c r="BD77" s="460">
        <v>89460505</v>
      </c>
      <c r="BE77" s="460">
        <v>896488</v>
      </c>
      <c r="BF77" s="460">
        <v>7924</v>
      </c>
      <c r="BG77" s="203">
        <v>138902933</v>
      </c>
      <c r="BH77" s="460">
        <v>50682519</v>
      </c>
      <c r="BI77" s="460">
        <v>77944225</v>
      </c>
      <c r="BJ77" s="460">
        <v>685432</v>
      </c>
      <c r="BK77" s="460">
        <v>13013794</v>
      </c>
      <c r="BL77" s="203">
        <v>142325970</v>
      </c>
      <c r="BM77" s="460">
        <v>48943357.700000003</v>
      </c>
      <c r="BN77" s="460">
        <v>129529552</v>
      </c>
      <c r="BO77" s="460">
        <v>3729495</v>
      </c>
      <c r="BP77" s="460">
        <v>10950146</v>
      </c>
      <c r="BQ77" s="203">
        <v>193152550.69999999</v>
      </c>
      <c r="BR77" s="460">
        <v>452231135.69999999</v>
      </c>
      <c r="BS77" s="460">
        <v>1161710554</v>
      </c>
      <c r="BT77" s="460">
        <v>12204523</v>
      </c>
      <c r="BU77" s="460">
        <v>64986974</v>
      </c>
      <c r="BV77" s="331">
        <v>1691133186.7</v>
      </c>
      <c r="BW77" s="449"/>
      <c r="BX77" s="238">
        <v>100</v>
      </c>
    </row>
    <row r="78" spans="1:81" ht="13.9" customHeight="1" x14ac:dyDescent="0.2">
      <c r="A78" s="97" t="s">
        <v>255</v>
      </c>
      <c r="B78" s="292"/>
      <c r="C78" s="292"/>
      <c r="D78" s="185"/>
      <c r="E78" s="429"/>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row>
    <row r="79" spans="1:81" ht="13.9" customHeight="1" x14ac:dyDescent="0.2">
      <c r="A79" s="25" t="s">
        <v>289</v>
      </c>
      <c r="B79" s="98"/>
      <c r="C79" s="98"/>
      <c r="D79" s="98"/>
      <c r="E79" s="98"/>
      <c r="F79" s="98"/>
      <c r="G79" s="98"/>
      <c r="H79" s="98"/>
      <c r="I79" s="221"/>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row>
    <row r="80" spans="1:81" hidden="1" x14ac:dyDescent="0.2">
      <c r="A80" s="25" t="s">
        <v>290</v>
      </c>
      <c r="B80" s="98"/>
      <c r="C80" s="98"/>
      <c r="D80" s="98"/>
      <c r="E80" s="98"/>
      <c r="F80" s="98"/>
      <c r="G80" s="98"/>
      <c r="H80" s="98"/>
      <c r="I80" s="98"/>
      <c r="J80" s="143"/>
      <c r="K80" s="143"/>
      <c r="L80" s="143"/>
      <c r="M80" s="143"/>
      <c r="N80" s="143"/>
      <c r="O80" s="143"/>
      <c r="P80" s="143"/>
      <c r="Q80" s="143"/>
      <c r="R80" s="143"/>
      <c r="S80" s="143"/>
      <c r="T80" s="143"/>
      <c r="U80" s="143"/>
      <c r="V80" s="143"/>
      <c r="W80" s="143"/>
      <c r="X80" s="143"/>
      <c r="Y80" s="143"/>
      <c r="Z80" s="143"/>
      <c r="AA80" s="143"/>
      <c r="AB80" s="143"/>
      <c r="AC80" s="143"/>
      <c r="AD80" s="143"/>
      <c r="AE80" s="143"/>
      <c r="AF80" s="143"/>
      <c r="AG80" s="143"/>
      <c r="AH80" s="143"/>
      <c r="AI80" s="143"/>
      <c r="AJ80" s="143"/>
      <c r="AK80" s="143"/>
      <c r="AL80" s="143"/>
      <c r="AM80" s="143"/>
      <c r="AN80" s="143"/>
      <c r="AO80" s="143"/>
      <c r="AP80" s="143"/>
      <c r="AQ80" s="143"/>
      <c r="AR80" s="143"/>
      <c r="AS80" s="143"/>
      <c r="AT80" s="143"/>
      <c r="AU80" s="143"/>
      <c r="AV80" s="143"/>
      <c r="AW80" s="143"/>
      <c r="AX80" s="143"/>
      <c r="AY80" s="143"/>
      <c r="AZ80" s="143"/>
      <c r="BA80" s="143"/>
      <c r="BB80" s="143"/>
      <c r="BC80" s="143"/>
      <c r="BD80" s="143"/>
      <c r="BE80" s="143"/>
      <c r="BF80" s="143"/>
      <c r="BG80" s="143"/>
      <c r="BH80" s="143"/>
      <c r="BI80" s="143"/>
      <c r="BJ80" s="143"/>
      <c r="BK80" s="143"/>
      <c r="BL80" s="143"/>
      <c r="BM80" s="143"/>
      <c r="BN80" s="143"/>
      <c r="BO80" s="143"/>
      <c r="BP80" s="143"/>
      <c r="BQ80" s="143"/>
      <c r="BR80" s="143"/>
      <c r="BS80" s="143"/>
      <c r="BT80" s="143"/>
      <c r="BU80" s="143"/>
      <c r="BV80" s="143"/>
    </row>
    <row r="81" spans="1:74" ht="12" hidden="1" customHeight="1" x14ac:dyDescent="0.2">
      <c r="A81" s="97" t="s">
        <v>291</v>
      </c>
      <c r="B81" s="318"/>
      <c r="C81" s="318"/>
      <c r="D81" s="185"/>
      <c r="E81" s="420"/>
      <c r="F81" s="143"/>
      <c r="G81" s="143"/>
      <c r="H81" s="143"/>
      <c r="I81" s="143"/>
      <c r="J81" s="143"/>
      <c r="K81" s="143"/>
      <c r="L81" s="143"/>
      <c r="M81" s="143"/>
      <c r="N81" s="143"/>
      <c r="O81" s="143"/>
      <c r="P81" s="143"/>
      <c r="Q81" s="143"/>
      <c r="R81" s="143"/>
      <c r="S81" s="143"/>
      <c r="T81" s="143"/>
      <c r="U81" s="143"/>
      <c r="V81" s="143"/>
      <c r="W81" s="143"/>
      <c r="X81" s="143"/>
      <c r="Y81" s="143"/>
      <c r="Z81" s="143"/>
      <c r="AA81" s="143"/>
      <c r="AB81" s="143"/>
      <c r="AC81" s="143"/>
      <c r="AD81" s="143"/>
      <c r="AE81" s="143"/>
      <c r="AF81" s="143"/>
      <c r="AG81" s="143"/>
      <c r="AH81" s="143"/>
      <c r="AI81" s="143"/>
      <c r="AJ81" s="143"/>
      <c r="AK81" s="143"/>
      <c r="AL81" s="143"/>
      <c r="AM81" s="143"/>
      <c r="AN81" s="143"/>
      <c r="AO81" s="143"/>
      <c r="AP81" s="143"/>
      <c r="AQ81" s="143"/>
      <c r="AR81" s="143"/>
      <c r="AS81" s="143"/>
      <c r="AT81" s="143"/>
      <c r="AU81" s="143"/>
      <c r="AV81" s="143"/>
      <c r="AW81" s="143"/>
      <c r="AX81" s="143"/>
      <c r="AY81" s="143"/>
      <c r="AZ81" s="143"/>
      <c r="BA81" s="143"/>
      <c r="BB81" s="143"/>
      <c r="BC81" s="143"/>
      <c r="BD81" s="143"/>
      <c r="BE81" s="143"/>
      <c r="BF81" s="143"/>
      <c r="BG81" s="143"/>
      <c r="BH81" s="143"/>
      <c r="BI81" s="143"/>
      <c r="BJ81" s="143"/>
      <c r="BK81" s="143"/>
      <c r="BL81" s="143"/>
      <c r="BM81" s="143"/>
      <c r="BN81" s="143"/>
      <c r="BO81" s="143"/>
      <c r="BP81" s="143"/>
      <c r="BQ81" s="143"/>
      <c r="BR81" s="143"/>
      <c r="BS81" s="143"/>
      <c r="BT81" s="143"/>
      <c r="BU81" s="143"/>
      <c r="BV81" s="143"/>
    </row>
    <row r="82" spans="1:74" ht="13.9" customHeight="1" x14ac:dyDescent="0.2">
      <c r="A82" s="25" t="s">
        <v>260</v>
      </c>
      <c r="B82" s="25"/>
      <c r="C82" s="25"/>
      <c r="D82" s="25"/>
      <c r="E82" s="25"/>
      <c r="F82" s="25"/>
      <c r="G82" s="25"/>
      <c r="H82" s="25"/>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row>
    <row r="83" spans="1:74" x14ac:dyDescent="0.2">
      <c r="A83" s="25"/>
      <c r="B83" s="98"/>
      <c r="C83" s="98"/>
      <c r="D83" s="98"/>
      <c r="E83" s="98"/>
      <c r="F83" s="98"/>
      <c r="G83" s="98"/>
      <c r="H83" s="98"/>
      <c r="I83" s="221"/>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row>
    <row r="86" spans="1:74" x14ac:dyDescent="0.2">
      <c r="B86" s="368"/>
      <c r="C86" s="185"/>
      <c r="D86" s="185"/>
      <c r="E86" s="429"/>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53"/>
      <c r="AO86" s="53"/>
      <c r="AP86" s="53"/>
      <c r="AQ86" s="53"/>
      <c r="AR86" s="53"/>
      <c r="AS86" s="53"/>
      <c r="AT86" s="53"/>
      <c r="AU86" s="53"/>
      <c r="AV86" s="53"/>
      <c r="AW86" s="53"/>
      <c r="AX86" s="53"/>
      <c r="AY86" s="53"/>
      <c r="AZ86" s="53"/>
      <c r="BA86" s="53"/>
      <c r="BB86" s="53"/>
      <c r="BC86" s="53"/>
      <c r="BD86" s="53"/>
      <c r="BE86" s="53"/>
      <c r="BF86" s="53"/>
      <c r="BG86" s="53"/>
      <c r="BH86" s="53"/>
      <c r="BI86" s="53"/>
      <c r="BJ86" s="53"/>
      <c r="BK86" s="53"/>
      <c r="BL86" s="53"/>
      <c r="BM86" s="53"/>
      <c r="BN86" s="53"/>
      <c r="BO86" s="53"/>
      <c r="BP86" s="53"/>
      <c r="BQ86" s="53"/>
      <c r="BR86" s="53"/>
      <c r="BS86" s="53"/>
      <c r="BT86" s="53"/>
      <c r="BU86" s="53"/>
      <c r="BV86" s="53"/>
    </row>
    <row r="87" spans="1:74" x14ac:dyDescent="0.2">
      <c r="B87" s="368"/>
      <c r="C87" s="185"/>
      <c r="D87" s="185"/>
      <c r="E87" s="429"/>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row>
    <row r="88" spans="1:74" x14ac:dyDescent="0.2">
      <c r="B88" s="368"/>
      <c r="C88" s="185"/>
      <c r="D88" s="185"/>
      <c r="E88" s="429"/>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row>
    <row r="89" spans="1:74" x14ac:dyDescent="0.2">
      <c r="B89" s="368"/>
      <c r="C89" s="185"/>
      <c r="D89" s="185"/>
      <c r="E89" s="429"/>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row>
    <row r="90" spans="1:74" x14ac:dyDescent="0.2">
      <c r="B90" s="368"/>
      <c r="C90" s="185"/>
      <c r="D90" s="185"/>
      <c r="E90" s="429"/>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row>
    <row r="91" spans="1:74" x14ac:dyDescent="0.2">
      <c r="B91" s="368"/>
      <c r="C91" s="185"/>
      <c r="D91" s="185"/>
      <c r="E91" s="429"/>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row>
    <row r="92" spans="1:74" x14ac:dyDescent="0.2">
      <c r="B92" s="368"/>
      <c r="C92" s="185"/>
      <c r="D92" s="185"/>
      <c r="E92" s="429"/>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row>
    <row r="93" spans="1:74" x14ac:dyDescent="0.2">
      <c r="B93" s="368"/>
      <c r="C93" s="185"/>
      <c r="D93" s="185"/>
      <c r="E93" s="429"/>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row>
    <row r="94" spans="1:74" x14ac:dyDescent="0.2">
      <c r="B94" s="368"/>
      <c r="C94" s="185"/>
      <c r="D94" s="185"/>
      <c r="E94" s="429"/>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row>
    <row r="95" spans="1:74" x14ac:dyDescent="0.2">
      <c r="B95" s="368"/>
      <c r="C95" s="185"/>
      <c r="D95" s="185"/>
      <c r="E95" s="429"/>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row>
    <row r="96" spans="1:74" x14ac:dyDescent="0.2">
      <c r="B96" s="368"/>
      <c r="C96" s="185"/>
      <c r="D96" s="185"/>
      <c r="E96" s="429"/>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row>
    <row r="97" spans="2:74" x14ac:dyDescent="0.2">
      <c r="B97" s="368"/>
      <c r="C97" s="185"/>
      <c r="D97" s="185"/>
      <c r="E97" s="429"/>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row>
    <row r="98" spans="2:74" x14ac:dyDescent="0.2">
      <c r="B98" s="368"/>
      <c r="C98" s="185"/>
      <c r="D98" s="185"/>
      <c r="E98" s="429"/>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row>
    <row r="99" spans="2:74" x14ac:dyDescent="0.2">
      <c r="B99" s="368"/>
      <c r="C99" s="185"/>
      <c r="D99" s="185"/>
      <c r="E99" s="429"/>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row>
    <row r="100" spans="2:74" x14ac:dyDescent="0.2">
      <c r="B100" s="368"/>
      <c r="C100" s="185"/>
      <c r="D100" s="185"/>
      <c r="E100" s="429"/>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row>
    <row r="101" spans="2:74" x14ac:dyDescent="0.2">
      <c r="B101" s="368"/>
      <c r="C101" s="185"/>
      <c r="D101" s="185"/>
      <c r="E101" s="429"/>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row>
    <row r="102" spans="2:74" x14ac:dyDescent="0.2">
      <c r="B102" s="368"/>
      <c r="C102" s="185"/>
      <c r="D102" s="185"/>
      <c r="E102" s="429"/>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row>
    <row r="103" spans="2:74" x14ac:dyDescent="0.2">
      <c r="B103" s="368"/>
      <c r="C103" s="185"/>
      <c r="D103" s="185"/>
      <c r="E103" s="429"/>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row>
    <row r="104" spans="2:74" x14ac:dyDescent="0.2">
      <c r="B104" s="368"/>
      <c r="C104" s="185"/>
      <c r="D104" s="185"/>
      <c r="E104" s="429"/>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row>
    <row r="105" spans="2:74" x14ac:dyDescent="0.2">
      <c r="B105" s="368"/>
      <c r="C105" s="185"/>
      <c r="D105" s="185"/>
      <c r="E105" s="429"/>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row>
    <row r="106" spans="2:74" x14ac:dyDescent="0.2">
      <c r="B106" s="368"/>
      <c r="C106" s="185"/>
      <c r="D106" s="185"/>
      <c r="E106" s="429"/>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row>
    <row r="107" spans="2:74" x14ac:dyDescent="0.2">
      <c r="B107" s="368"/>
      <c r="C107" s="185"/>
      <c r="D107" s="185"/>
      <c r="E107" s="429"/>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row>
    <row r="108" spans="2:74" x14ac:dyDescent="0.2">
      <c r="B108" s="368"/>
      <c r="C108" s="185"/>
      <c r="D108" s="185"/>
      <c r="E108" s="429"/>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row>
    <row r="109" spans="2:74" x14ac:dyDescent="0.2">
      <c r="B109" s="368"/>
      <c r="C109" s="185"/>
      <c r="D109" s="185"/>
      <c r="E109" s="429"/>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c r="BL109" s="53"/>
      <c r="BM109" s="53"/>
      <c r="BN109" s="53"/>
      <c r="BO109" s="53"/>
      <c r="BP109" s="53"/>
      <c r="BQ109" s="53"/>
      <c r="BR109" s="53"/>
      <c r="BS109" s="53"/>
      <c r="BT109" s="53"/>
      <c r="BU109" s="53"/>
      <c r="BV109" s="53"/>
    </row>
    <row r="110" spans="2:74" x14ac:dyDescent="0.2">
      <c r="B110" s="368"/>
      <c r="C110" s="185"/>
      <c r="D110" s="185"/>
      <c r="E110" s="429"/>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53"/>
      <c r="AO110" s="53"/>
      <c r="AP110" s="53"/>
      <c r="AQ110" s="53"/>
      <c r="AR110" s="53"/>
      <c r="AS110" s="53"/>
      <c r="AT110" s="53"/>
      <c r="AU110" s="53"/>
      <c r="AV110" s="53"/>
      <c r="AW110" s="53"/>
      <c r="AX110" s="53"/>
      <c r="AY110" s="53"/>
      <c r="AZ110" s="53"/>
      <c r="BA110" s="53"/>
      <c r="BB110" s="53"/>
      <c r="BC110" s="53"/>
      <c r="BD110" s="53"/>
      <c r="BE110" s="53"/>
      <c r="BF110" s="53"/>
      <c r="BG110" s="53"/>
      <c r="BH110" s="53"/>
      <c r="BI110" s="53"/>
      <c r="BJ110" s="53"/>
      <c r="BK110" s="53"/>
      <c r="BL110" s="53"/>
      <c r="BM110" s="53"/>
      <c r="BN110" s="53"/>
      <c r="BO110" s="53"/>
      <c r="BP110" s="53"/>
      <c r="BQ110" s="53"/>
      <c r="BR110" s="53"/>
      <c r="BS110" s="53"/>
      <c r="BT110" s="53"/>
      <c r="BU110" s="53"/>
      <c r="BV110" s="53"/>
    </row>
    <row r="111" spans="2:74" x14ac:dyDescent="0.2">
      <c r="B111" s="368"/>
      <c r="C111" s="185"/>
      <c r="D111" s="185"/>
      <c r="E111" s="429"/>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row>
    <row r="112" spans="2:74" x14ac:dyDescent="0.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row>
    <row r="126" spans="2:74" x14ac:dyDescent="0.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row>
    <row r="127" spans="2:74" x14ac:dyDescent="0.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row>
    <row r="128" spans="2:74" x14ac:dyDescent="0.2">
      <c r="B128" s="368"/>
      <c r="C128" s="185"/>
      <c r="D128" s="185"/>
      <c r="E128" s="429"/>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53"/>
      <c r="AO128" s="53"/>
      <c r="AP128" s="53"/>
      <c r="AQ128" s="53"/>
      <c r="AR128" s="53"/>
      <c r="AS128" s="53"/>
      <c r="AT128" s="53"/>
      <c r="AU128" s="53"/>
      <c r="AV128" s="53"/>
      <c r="AW128" s="53"/>
      <c r="AX128" s="53"/>
      <c r="AY128" s="53"/>
      <c r="AZ128" s="53"/>
      <c r="BA128" s="53"/>
      <c r="BB128" s="53"/>
      <c r="BC128" s="53"/>
      <c r="BD128" s="53"/>
      <c r="BE128" s="53"/>
      <c r="BF128" s="53"/>
      <c r="BG128" s="53"/>
      <c r="BH128" s="53"/>
      <c r="BI128" s="53"/>
      <c r="BJ128" s="53"/>
      <c r="BK128" s="53"/>
      <c r="BL128" s="53"/>
      <c r="BM128" s="53"/>
      <c r="BN128" s="53"/>
      <c r="BO128" s="53"/>
      <c r="BP128" s="53"/>
      <c r="BQ128" s="53"/>
      <c r="BR128" s="53"/>
      <c r="BS128" s="53"/>
      <c r="BT128" s="53"/>
      <c r="BU128" s="53"/>
      <c r="BV128" s="53"/>
    </row>
    <row r="129" spans="2:74" x14ac:dyDescent="0.2">
      <c r="B129" s="368"/>
      <c r="C129" s="368"/>
      <c r="D129" s="368"/>
      <c r="E129" s="429"/>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row>
    <row r="130" spans="2:74" x14ac:dyDescent="0.2">
      <c r="B130" s="368"/>
      <c r="C130" s="185"/>
      <c r="D130" s="185"/>
      <c r="E130" s="429"/>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53"/>
      <c r="AO130" s="53"/>
      <c r="AP130" s="53"/>
      <c r="AQ130" s="53"/>
      <c r="AR130" s="53"/>
      <c r="AS130" s="53"/>
      <c r="AT130" s="53"/>
      <c r="AU130" s="53"/>
      <c r="AV130" s="53"/>
      <c r="AW130" s="53"/>
      <c r="AX130" s="53"/>
      <c r="AY130" s="53"/>
      <c r="AZ130" s="53"/>
      <c r="BA130" s="53"/>
      <c r="BB130" s="53"/>
      <c r="BC130" s="53"/>
      <c r="BD130" s="53"/>
      <c r="BE130" s="53"/>
      <c r="BF130" s="53"/>
      <c r="BG130" s="53"/>
      <c r="BH130" s="53"/>
      <c r="BI130" s="53"/>
      <c r="BJ130" s="53"/>
      <c r="BK130" s="53"/>
      <c r="BL130" s="53"/>
      <c r="BM130" s="53"/>
      <c r="BN130" s="53"/>
      <c r="BO130" s="53"/>
      <c r="BP130" s="53"/>
      <c r="BQ130" s="53"/>
      <c r="BR130" s="53"/>
      <c r="BS130" s="53"/>
      <c r="BT130" s="53"/>
      <c r="BU130" s="53"/>
      <c r="BV130" s="53"/>
    </row>
    <row r="131" spans="2:74" x14ac:dyDescent="0.2">
      <c r="C131" s="185"/>
      <c r="D131" s="185"/>
      <c r="E131" s="429"/>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row>
    <row r="132" spans="2:74" x14ac:dyDescent="0.2">
      <c r="B132" s="368"/>
      <c r="C132" s="185"/>
      <c r="D132" s="185"/>
      <c r="E132" s="429"/>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row>
    <row r="133" spans="2:74" x14ac:dyDescent="0.2">
      <c r="B133" s="368"/>
      <c r="C133" s="185"/>
      <c r="D133" s="185"/>
      <c r="E133" s="429"/>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row>
    <row r="134" spans="2:74" x14ac:dyDescent="0.2">
      <c r="B134" s="368"/>
      <c r="C134" s="185"/>
      <c r="D134" s="185"/>
      <c r="E134" s="429"/>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row>
    <row r="135" spans="2:74" x14ac:dyDescent="0.2">
      <c r="B135" s="368"/>
      <c r="C135" s="185"/>
      <c r="D135" s="185"/>
      <c r="E135" s="429"/>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row>
    <row r="136" spans="2:74" x14ac:dyDescent="0.2">
      <c r="B136" s="368"/>
      <c r="C136" s="185"/>
      <c r="D136" s="185"/>
      <c r="E136" s="429"/>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row>
    <row r="137" spans="2:74" x14ac:dyDescent="0.2">
      <c r="B137" s="368"/>
      <c r="C137" s="185"/>
      <c r="D137" s="185"/>
      <c r="E137" s="429"/>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row>
    <row r="138" spans="2:74" x14ac:dyDescent="0.2">
      <c r="B138" s="368"/>
      <c r="C138" s="185"/>
      <c r="D138" s="185"/>
      <c r="E138" s="429"/>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53"/>
      <c r="AO138" s="53"/>
      <c r="AP138" s="53"/>
      <c r="AQ138" s="53"/>
      <c r="AR138" s="53"/>
      <c r="AS138" s="53"/>
      <c r="AT138" s="53"/>
      <c r="AU138" s="53"/>
      <c r="AV138" s="53"/>
      <c r="AW138" s="53"/>
      <c r="AX138" s="53"/>
      <c r="AY138" s="53"/>
      <c r="AZ138" s="53"/>
      <c r="BA138" s="53"/>
      <c r="BB138" s="53"/>
      <c r="BC138" s="53"/>
      <c r="BD138" s="53"/>
      <c r="BE138" s="53"/>
      <c r="BF138" s="53"/>
      <c r="BG138" s="53"/>
      <c r="BH138" s="53"/>
      <c r="BI138" s="53"/>
      <c r="BJ138" s="53"/>
      <c r="BK138" s="53"/>
      <c r="BL138" s="53"/>
      <c r="BM138" s="53"/>
      <c r="BN138" s="53"/>
      <c r="BO138" s="53"/>
      <c r="BP138" s="53"/>
      <c r="BQ138" s="53"/>
      <c r="BR138" s="53"/>
      <c r="BS138" s="53"/>
      <c r="BT138" s="53"/>
      <c r="BU138" s="53"/>
      <c r="BV138" s="53"/>
    </row>
    <row r="139" spans="2:74" x14ac:dyDescent="0.2">
      <c r="B139" s="368"/>
      <c r="C139" s="185"/>
      <c r="D139" s="185"/>
      <c r="E139" s="429"/>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53"/>
      <c r="AO139" s="53"/>
      <c r="AP139" s="53"/>
      <c r="AQ139" s="53"/>
      <c r="AR139" s="53"/>
      <c r="AS139" s="53"/>
      <c r="AT139" s="53"/>
      <c r="AU139" s="53"/>
      <c r="AV139" s="53"/>
      <c r="AW139" s="53"/>
      <c r="AX139" s="53"/>
      <c r="AY139" s="53"/>
      <c r="AZ139" s="53"/>
      <c r="BA139" s="53"/>
      <c r="BB139" s="53"/>
      <c r="BC139" s="53"/>
      <c r="BD139" s="53"/>
      <c r="BE139" s="53"/>
      <c r="BF139" s="53"/>
      <c r="BG139" s="53"/>
      <c r="BH139" s="53"/>
      <c r="BI139" s="53"/>
      <c r="BJ139" s="53"/>
      <c r="BK139" s="53"/>
      <c r="BL139" s="53"/>
      <c r="BM139" s="53"/>
      <c r="BN139" s="53"/>
      <c r="BO139" s="53"/>
      <c r="BP139" s="53"/>
      <c r="BQ139" s="53"/>
      <c r="BR139" s="53"/>
      <c r="BS139" s="53"/>
      <c r="BT139" s="53"/>
      <c r="BU139" s="53"/>
      <c r="BV139" s="53"/>
    </row>
    <row r="140" spans="2:74" x14ac:dyDescent="0.2">
      <c r="B140" s="368"/>
      <c r="C140" s="185"/>
      <c r="D140" s="185"/>
      <c r="E140" s="429"/>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53"/>
      <c r="AO140" s="53"/>
      <c r="AP140" s="53"/>
      <c r="AQ140" s="53"/>
      <c r="AR140" s="53"/>
      <c r="AS140" s="53"/>
      <c r="AT140" s="53"/>
      <c r="AU140" s="53"/>
      <c r="AV140" s="53"/>
      <c r="AW140" s="53"/>
      <c r="AX140" s="53"/>
      <c r="AY140" s="53"/>
      <c r="AZ140" s="53"/>
      <c r="BA140" s="53"/>
      <c r="BB140" s="53"/>
      <c r="BC140" s="53"/>
      <c r="BD140" s="53"/>
      <c r="BE140" s="53"/>
      <c r="BF140" s="53"/>
      <c r="BG140" s="53"/>
      <c r="BH140" s="53"/>
      <c r="BI140" s="53"/>
      <c r="BJ140" s="53"/>
      <c r="BK140" s="53"/>
      <c r="BL140" s="53"/>
      <c r="BM140" s="53"/>
      <c r="BN140" s="53"/>
      <c r="BO140" s="53"/>
      <c r="BP140" s="53"/>
      <c r="BQ140" s="53"/>
      <c r="BR140" s="53"/>
      <c r="BS140" s="53"/>
      <c r="BT140" s="53"/>
      <c r="BU140" s="53"/>
      <c r="BV140" s="53"/>
    </row>
    <row r="141" spans="2:74" x14ac:dyDescent="0.2">
      <c r="B141" s="368"/>
      <c r="C141" s="368"/>
      <c r="D141" s="368"/>
      <c r="E141" s="429"/>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row>
    <row r="142" spans="2:74" x14ac:dyDescent="0.2">
      <c r="B142" s="368"/>
      <c r="C142" s="185"/>
      <c r="D142" s="185"/>
      <c r="E142" s="429"/>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row>
    <row r="143" spans="2:74" x14ac:dyDescent="0.2">
      <c r="B143" s="368"/>
      <c r="C143" s="185"/>
      <c r="D143" s="185"/>
      <c r="E143" s="429"/>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row>
    <row r="144" spans="2:74" x14ac:dyDescent="0.2">
      <c r="B144" s="368"/>
      <c r="C144" s="185"/>
      <c r="D144" s="185"/>
      <c r="E144" s="429"/>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53"/>
      <c r="AO144" s="53"/>
      <c r="AP144" s="53"/>
      <c r="AQ144" s="53"/>
      <c r="AR144" s="53"/>
      <c r="AS144" s="53"/>
      <c r="AT144" s="53"/>
      <c r="AU144" s="53"/>
      <c r="AV144" s="53"/>
      <c r="AW144" s="53"/>
      <c r="AX144" s="53"/>
      <c r="AY144" s="53"/>
      <c r="AZ144" s="53"/>
      <c r="BA144" s="53"/>
      <c r="BB144" s="53"/>
      <c r="BC144" s="53"/>
      <c r="BD144" s="53"/>
      <c r="BE144" s="53"/>
      <c r="BF144" s="53"/>
      <c r="BG144" s="53"/>
      <c r="BH144" s="53"/>
      <c r="BI144" s="53"/>
      <c r="BJ144" s="53"/>
      <c r="BK144" s="53"/>
      <c r="BL144" s="53"/>
      <c r="BM144" s="53"/>
      <c r="BN144" s="53"/>
      <c r="BO144" s="53"/>
      <c r="BP144" s="53"/>
      <c r="BQ144" s="53"/>
      <c r="BR144" s="53"/>
      <c r="BS144" s="53"/>
      <c r="BT144" s="53"/>
      <c r="BU144" s="53"/>
      <c r="BV144" s="53"/>
    </row>
    <row r="145" spans="2:74" x14ac:dyDescent="0.2">
      <c r="B145" s="368"/>
      <c r="C145" s="185"/>
      <c r="D145" s="185"/>
      <c r="E145" s="429"/>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53"/>
      <c r="AO145" s="53"/>
      <c r="AP145" s="53"/>
      <c r="AQ145" s="53"/>
      <c r="AR145" s="53"/>
      <c r="AS145" s="53"/>
      <c r="AT145" s="53"/>
      <c r="AU145" s="53"/>
      <c r="AV145" s="53"/>
      <c r="AW145" s="53"/>
      <c r="AX145" s="53"/>
      <c r="AY145" s="53"/>
      <c r="AZ145" s="53"/>
      <c r="BA145" s="53"/>
      <c r="BB145" s="53"/>
      <c r="BC145" s="53"/>
      <c r="BD145" s="53"/>
      <c r="BE145" s="53"/>
      <c r="BF145" s="53"/>
      <c r="BG145" s="53"/>
      <c r="BH145" s="53"/>
      <c r="BI145" s="53"/>
      <c r="BJ145" s="53"/>
      <c r="BK145" s="53"/>
      <c r="BL145" s="53"/>
      <c r="BM145" s="53"/>
      <c r="BN145" s="53"/>
      <c r="BO145" s="53"/>
      <c r="BP145" s="53"/>
      <c r="BQ145" s="53"/>
      <c r="BR145" s="53"/>
      <c r="BS145" s="53"/>
      <c r="BT145" s="53"/>
      <c r="BU145" s="53"/>
      <c r="BV145" s="53"/>
    </row>
    <row r="146" spans="2:74" x14ac:dyDescent="0.2">
      <c r="B146" s="368"/>
      <c r="C146" s="185"/>
      <c r="D146" s="185"/>
      <c r="E146" s="429"/>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row>
    <row r="147" spans="2:74" x14ac:dyDescent="0.2">
      <c r="B147" s="368"/>
      <c r="C147" s="185"/>
      <c r="D147" s="185"/>
      <c r="E147" s="429"/>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c r="BS147" s="53"/>
      <c r="BT147" s="53"/>
      <c r="BU147" s="53"/>
      <c r="BV147" s="53"/>
    </row>
    <row r="148" spans="2:74" x14ac:dyDescent="0.2">
      <c r="B148" s="368"/>
      <c r="C148" s="185"/>
      <c r="D148" s="185"/>
      <c r="E148" s="429"/>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53"/>
      <c r="AO148" s="53"/>
      <c r="AP148" s="53"/>
      <c r="AQ148" s="53"/>
      <c r="AR148" s="53"/>
      <c r="AS148" s="53"/>
      <c r="AT148" s="53"/>
      <c r="AU148" s="53"/>
      <c r="AV148" s="53"/>
      <c r="AW148" s="53"/>
      <c r="AX148" s="53"/>
      <c r="AY148" s="53"/>
      <c r="AZ148" s="53"/>
      <c r="BA148" s="53"/>
      <c r="BB148" s="53"/>
      <c r="BC148" s="53"/>
      <c r="BD148" s="53"/>
      <c r="BE148" s="53"/>
      <c r="BF148" s="53"/>
      <c r="BG148" s="53"/>
      <c r="BH148" s="53"/>
      <c r="BI148" s="53"/>
      <c r="BJ148" s="53"/>
      <c r="BK148" s="53"/>
      <c r="BL148" s="53"/>
      <c r="BM148" s="53"/>
      <c r="BN148" s="53"/>
      <c r="BO148" s="53"/>
      <c r="BP148" s="53"/>
      <c r="BQ148" s="53"/>
      <c r="BR148" s="53"/>
      <c r="BS148" s="53"/>
      <c r="BT148" s="53"/>
      <c r="BU148" s="53"/>
      <c r="BV148" s="53"/>
    </row>
    <row r="149" spans="2:74" x14ac:dyDescent="0.2">
      <c r="B149" s="368"/>
      <c r="C149" s="185"/>
      <c r="D149" s="185"/>
      <c r="E149" s="429"/>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53"/>
      <c r="AO149" s="53"/>
      <c r="AP149" s="53"/>
      <c r="AQ149" s="53"/>
      <c r="AR149" s="53"/>
      <c r="AS149" s="53"/>
      <c r="AT149" s="53"/>
      <c r="AU149" s="53"/>
      <c r="AV149" s="53"/>
      <c r="AW149" s="53"/>
      <c r="AX149" s="53"/>
      <c r="AY149" s="53"/>
      <c r="AZ149" s="53"/>
      <c r="BA149" s="53"/>
      <c r="BB149" s="53"/>
      <c r="BC149" s="53"/>
      <c r="BD149" s="53"/>
      <c r="BE149" s="53"/>
      <c r="BF149" s="53"/>
      <c r="BG149" s="53"/>
      <c r="BH149" s="53"/>
      <c r="BI149" s="53"/>
      <c r="BJ149" s="53"/>
      <c r="BK149" s="53"/>
      <c r="BL149" s="53"/>
      <c r="BM149" s="53"/>
      <c r="BN149" s="53"/>
      <c r="BO149" s="53"/>
      <c r="BP149" s="53"/>
      <c r="BQ149" s="53"/>
      <c r="BR149" s="53"/>
      <c r="BS149" s="53"/>
      <c r="BT149" s="53"/>
      <c r="BU149" s="53"/>
      <c r="BV149" s="53"/>
    </row>
    <row r="150" spans="2:74" x14ac:dyDescent="0.2">
      <c r="B150" s="368"/>
      <c r="C150" s="185"/>
      <c r="D150" s="185"/>
      <c r="E150" s="429"/>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53"/>
      <c r="AO150" s="53"/>
      <c r="AP150" s="53"/>
      <c r="AQ150" s="53"/>
      <c r="AR150" s="53"/>
      <c r="AS150" s="53"/>
      <c r="AT150" s="53"/>
      <c r="AU150" s="53"/>
      <c r="AV150" s="53"/>
      <c r="AW150" s="53"/>
      <c r="AX150" s="53"/>
      <c r="AY150" s="53"/>
      <c r="AZ150" s="53"/>
      <c r="BA150" s="53"/>
      <c r="BB150" s="53"/>
      <c r="BC150" s="53"/>
      <c r="BD150" s="53"/>
      <c r="BE150" s="53"/>
      <c r="BF150" s="53"/>
      <c r="BG150" s="53"/>
      <c r="BH150" s="53"/>
      <c r="BI150" s="53"/>
      <c r="BJ150" s="53"/>
      <c r="BK150" s="53"/>
      <c r="BL150" s="53"/>
      <c r="BM150" s="53"/>
      <c r="BN150" s="53"/>
      <c r="BO150" s="53"/>
      <c r="BP150" s="53"/>
      <c r="BQ150" s="53"/>
      <c r="BR150" s="53"/>
      <c r="BS150" s="53"/>
      <c r="BT150" s="53"/>
      <c r="BU150" s="53"/>
      <c r="BV150" s="53"/>
    </row>
    <row r="151" spans="2:74" x14ac:dyDescent="0.2">
      <c r="B151" s="368"/>
      <c r="C151" s="185"/>
      <c r="D151" s="185"/>
      <c r="E151" s="429"/>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53"/>
      <c r="AO151" s="53"/>
      <c r="AP151" s="53"/>
      <c r="AQ151" s="53"/>
      <c r="AR151" s="53"/>
      <c r="AS151" s="53"/>
      <c r="AT151" s="53"/>
      <c r="AU151" s="53"/>
      <c r="AV151" s="53"/>
      <c r="AW151" s="53"/>
      <c r="AX151" s="53"/>
      <c r="AY151" s="53"/>
      <c r="AZ151" s="53"/>
      <c r="BA151" s="53"/>
      <c r="BB151" s="53"/>
      <c r="BC151" s="53"/>
      <c r="BD151" s="53"/>
      <c r="BE151" s="53"/>
      <c r="BF151" s="53"/>
      <c r="BG151" s="53"/>
      <c r="BH151" s="53"/>
      <c r="BI151" s="53"/>
      <c r="BJ151" s="53"/>
      <c r="BK151" s="53"/>
      <c r="BL151" s="53"/>
      <c r="BM151" s="53"/>
      <c r="BN151" s="53"/>
      <c r="BO151" s="53"/>
      <c r="BP151" s="53"/>
      <c r="BQ151" s="53"/>
      <c r="BR151" s="53"/>
      <c r="BS151" s="53"/>
      <c r="BT151" s="53"/>
      <c r="BU151" s="53"/>
      <c r="BV151" s="53"/>
    </row>
    <row r="152" spans="2:74" x14ac:dyDescent="0.2">
      <c r="B152" s="368"/>
      <c r="C152" s="185"/>
      <c r="D152" s="185"/>
      <c r="E152" s="429"/>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53"/>
      <c r="AO152" s="53"/>
      <c r="AP152" s="53"/>
      <c r="AQ152" s="53"/>
      <c r="AR152" s="53"/>
      <c r="AS152" s="53"/>
      <c r="AT152" s="53"/>
      <c r="AU152" s="53"/>
      <c r="AV152" s="53"/>
      <c r="AW152" s="53"/>
      <c r="AX152" s="53"/>
      <c r="AY152" s="53"/>
      <c r="AZ152" s="53"/>
      <c r="BA152" s="53"/>
      <c r="BB152" s="53"/>
      <c r="BC152" s="53"/>
      <c r="BD152" s="53"/>
      <c r="BE152" s="53"/>
      <c r="BF152" s="53"/>
      <c r="BG152" s="53"/>
      <c r="BH152" s="53"/>
      <c r="BI152" s="53"/>
      <c r="BJ152" s="53"/>
      <c r="BK152" s="53"/>
      <c r="BL152" s="53"/>
      <c r="BM152" s="53"/>
      <c r="BN152" s="53"/>
      <c r="BO152" s="53"/>
      <c r="BP152" s="53"/>
      <c r="BQ152" s="53"/>
      <c r="BR152" s="53"/>
      <c r="BS152" s="53"/>
      <c r="BT152" s="53"/>
      <c r="BU152" s="53"/>
      <c r="BV152" s="53"/>
    </row>
    <row r="153" spans="2:74" x14ac:dyDescent="0.2">
      <c r="B153" s="368"/>
      <c r="C153" s="185"/>
      <c r="D153" s="185"/>
      <c r="E153" s="429"/>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3"/>
      <c r="BR153" s="53"/>
      <c r="BS153" s="53"/>
      <c r="BT153" s="53"/>
      <c r="BU153" s="53"/>
      <c r="BV153" s="53"/>
    </row>
    <row r="154" spans="2:74" x14ac:dyDescent="0.2">
      <c r="B154" s="368"/>
      <c r="C154" s="368"/>
      <c r="D154" s="368"/>
      <c r="E154" s="429"/>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3"/>
      <c r="BR154" s="53"/>
      <c r="BS154" s="53"/>
      <c r="BT154" s="53"/>
      <c r="BU154" s="53"/>
      <c r="BV154" s="53"/>
    </row>
    <row r="155" spans="2:74" x14ac:dyDescent="0.2">
      <c r="B155" s="368"/>
      <c r="C155" s="185"/>
      <c r="D155" s="185"/>
      <c r="E155" s="429"/>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c r="BS155" s="53"/>
      <c r="BT155" s="53"/>
      <c r="BU155" s="53"/>
      <c r="BV155" s="53"/>
    </row>
    <row r="156" spans="2:74" x14ac:dyDescent="0.2">
      <c r="B156" s="368"/>
      <c r="C156" s="185"/>
      <c r="D156" s="185"/>
      <c r="E156" s="429"/>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3"/>
      <c r="BR156" s="53"/>
      <c r="BS156" s="53"/>
      <c r="BT156" s="53"/>
      <c r="BU156" s="53"/>
      <c r="BV156" s="53"/>
    </row>
    <row r="157" spans="2:74" x14ac:dyDescent="0.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row>
    <row r="158" spans="2:74" x14ac:dyDescent="0.2">
      <c r="B158" s="368"/>
      <c r="C158" s="185"/>
      <c r="D158" s="185"/>
      <c r="E158" s="429"/>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3"/>
      <c r="BR158" s="53"/>
      <c r="BS158" s="53"/>
      <c r="BT158" s="53"/>
      <c r="BU158" s="53"/>
      <c r="BV158" s="53"/>
    </row>
    <row r="159" spans="2:74" x14ac:dyDescent="0.2">
      <c r="B159" s="368"/>
      <c r="C159" s="185"/>
      <c r="D159" s="185"/>
      <c r="E159" s="429"/>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3"/>
      <c r="BR159" s="53"/>
      <c r="BS159" s="53"/>
      <c r="BT159" s="53"/>
      <c r="BU159" s="53"/>
      <c r="BV159" s="53"/>
    </row>
    <row r="160" spans="2:74" x14ac:dyDescent="0.2">
      <c r="B160" s="368"/>
      <c r="C160" s="185"/>
      <c r="D160" s="185"/>
      <c r="E160" s="429"/>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3"/>
      <c r="BR160" s="53"/>
      <c r="BS160" s="53"/>
      <c r="BT160" s="53"/>
      <c r="BU160" s="53"/>
      <c r="BV160" s="53"/>
    </row>
    <row r="161" spans="2:74" x14ac:dyDescent="0.2">
      <c r="B161" s="368"/>
      <c r="C161" s="185"/>
      <c r="D161" s="185"/>
      <c r="E161" s="429"/>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3"/>
      <c r="BR161" s="53"/>
      <c r="BS161" s="53"/>
      <c r="BT161" s="53"/>
      <c r="BU161" s="53"/>
      <c r="BV161" s="53"/>
    </row>
    <row r="162" spans="2:74" x14ac:dyDescent="0.2">
      <c r="B162" s="368"/>
      <c r="C162" s="185"/>
      <c r="D162" s="185"/>
      <c r="E162" s="429"/>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row>
    <row r="163" spans="2:74" x14ac:dyDescent="0.2">
      <c r="B163" s="368"/>
      <c r="C163" s="185"/>
      <c r="D163" s="185"/>
      <c r="E163" s="429"/>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row>
    <row r="164" spans="2:74" x14ac:dyDescent="0.2">
      <c r="B164" s="368"/>
      <c r="C164" s="185"/>
      <c r="D164" s="185"/>
      <c r="E164" s="429"/>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row>
    <row r="165" spans="2:74" x14ac:dyDescent="0.2">
      <c r="B165" s="368"/>
      <c r="C165" s="185"/>
      <c r="D165" s="185"/>
      <c r="E165" s="429"/>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row>
    <row r="166" spans="2:74" x14ac:dyDescent="0.2">
      <c r="B166" s="368"/>
      <c r="C166" s="185"/>
      <c r="D166" s="185"/>
      <c r="E166" s="429"/>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row>
    <row r="167" spans="2:74" x14ac:dyDescent="0.2">
      <c r="B167" s="368"/>
      <c r="C167" s="185"/>
      <c r="D167" s="185"/>
      <c r="E167" s="429"/>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row>
    <row r="168" spans="2:74" x14ac:dyDescent="0.2">
      <c r="B168" s="368"/>
      <c r="C168" s="185"/>
      <c r="D168" s="185"/>
      <c r="E168" s="429"/>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row>
    <row r="169" spans="2:74" x14ac:dyDescent="0.2">
      <c r="B169" s="368"/>
      <c r="C169" s="185"/>
      <c r="D169" s="185"/>
      <c r="E169" s="429"/>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c r="BS169" s="53"/>
      <c r="BT169" s="53"/>
      <c r="BU169" s="53"/>
      <c r="BV169" s="53"/>
    </row>
    <row r="170" spans="2:74" x14ac:dyDescent="0.2">
      <c r="B170" s="368"/>
      <c r="C170" s="185"/>
      <c r="D170" s="185"/>
      <c r="E170" s="429"/>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3"/>
      <c r="BR170" s="53"/>
      <c r="BS170" s="53"/>
      <c r="BT170" s="53"/>
      <c r="BU170" s="53"/>
      <c r="BV170" s="53"/>
    </row>
    <row r="171" spans="2:74" x14ac:dyDescent="0.2">
      <c r="B171" s="368"/>
      <c r="C171" s="185"/>
      <c r="D171" s="185"/>
      <c r="E171" s="429"/>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3"/>
      <c r="BR171" s="53"/>
      <c r="BS171" s="53"/>
      <c r="BT171" s="53"/>
      <c r="BU171" s="53"/>
      <c r="BV171" s="53"/>
    </row>
    <row r="172" spans="2:74" x14ac:dyDescent="0.2">
      <c r="B172" s="368"/>
      <c r="C172" s="185"/>
      <c r="D172" s="185"/>
      <c r="E172" s="429"/>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3"/>
      <c r="BR172" s="53"/>
      <c r="BS172" s="53"/>
      <c r="BT172" s="53"/>
      <c r="BU172" s="53"/>
      <c r="BV172" s="53"/>
    </row>
    <row r="173" spans="2:74" x14ac:dyDescent="0.2">
      <c r="B173" s="368"/>
      <c r="C173" s="185"/>
      <c r="D173" s="185"/>
      <c r="E173" s="429"/>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row>
    <row r="174" spans="2:74" x14ac:dyDescent="0.2">
      <c r="B174" s="368"/>
      <c r="C174" s="185"/>
      <c r="D174" s="185"/>
      <c r="E174" s="429"/>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row>
    <row r="175" spans="2:74" x14ac:dyDescent="0.2">
      <c r="B175" s="368"/>
      <c r="C175" s="185"/>
      <c r="D175" s="185"/>
      <c r="E175" s="429"/>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row>
    <row r="176" spans="2:74" x14ac:dyDescent="0.2">
      <c r="B176" s="368"/>
      <c r="C176" s="185"/>
      <c r="D176" s="185"/>
      <c r="E176" s="429"/>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row>
    <row r="177" spans="2:74" x14ac:dyDescent="0.2">
      <c r="B177" s="368"/>
      <c r="C177" s="368"/>
      <c r="D177" s="368"/>
      <c r="E177" s="429"/>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3"/>
      <c r="BR177" s="53"/>
      <c r="BS177" s="53"/>
      <c r="BT177" s="53"/>
      <c r="BU177" s="53"/>
      <c r="BV177" s="53"/>
    </row>
    <row r="178" spans="2:74" x14ac:dyDescent="0.2">
      <c r="B178" s="368"/>
      <c r="C178" s="185"/>
      <c r="D178" s="185"/>
      <c r="E178" s="429"/>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3"/>
      <c r="BR178" s="53"/>
      <c r="BS178" s="53"/>
      <c r="BT178" s="53"/>
      <c r="BU178" s="53"/>
      <c r="BV178" s="53"/>
    </row>
    <row r="179" spans="2:74" x14ac:dyDescent="0.2">
      <c r="C179" s="185"/>
      <c r="D179" s="185"/>
      <c r="E179" s="429"/>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3"/>
      <c r="BR179" s="53"/>
      <c r="BS179" s="53"/>
      <c r="BT179" s="53"/>
      <c r="BU179" s="53"/>
      <c r="BV179" s="53"/>
    </row>
    <row r="180" spans="2:74" x14ac:dyDescent="0.2">
      <c r="B180" s="368"/>
      <c r="C180" s="185"/>
      <c r="D180" s="185"/>
      <c r="E180" s="429"/>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row>
    <row r="181" spans="2:74" x14ac:dyDescent="0.2">
      <c r="B181" s="368"/>
      <c r="C181" s="185"/>
      <c r="D181" s="185"/>
      <c r="E181" s="429"/>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3"/>
      <c r="BR181" s="53"/>
      <c r="BS181" s="53"/>
      <c r="BT181" s="53"/>
      <c r="BU181" s="53"/>
      <c r="BV181" s="53"/>
    </row>
    <row r="182" spans="2:74" x14ac:dyDescent="0.2">
      <c r="B182" s="368"/>
      <c r="C182" s="185"/>
      <c r="D182" s="185"/>
      <c r="E182" s="429"/>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3"/>
      <c r="BR182" s="53"/>
      <c r="BS182" s="53"/>
      <c r="BT182" s="53"/>
      <c r="BU182" s="53"/>
      <c r="BV182" s="53"/>
    </row>
    <row r="183" spans="2:74" x14ac:dyDescent="0.2">
      <c r="B183" s="368"/>
      <c r="C183" s="185"/>
      <c r="D183" s="185"/>
      <c r="E183" s="429"/>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3"/>
      <c r="BR183" s="53"/>
      <c r="BS183" s="53"/>
      <c r="BT183" s="53"/>
      <c r="BU183" s="53"/>
      <c r="BV183" s="53"/>
    </row>
    <row r="184" spans="2:74" x14ac:dyDescent="0.2">
      <c r="B184" s="368"/>
      <c r="C184" s="185"/>
      <c r="D184" s="185"/>
      <c r="E184" s="429"/>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3"/>
      <c r="BR184" s="53"/>
      <c r="BS184" s="53"/>
      <c r="BT184" s="53"/>
      <c r="BU184" s="53"/>
      <c r="BV184" s="53"/>
    </row>
    <row r="185" spans="2:74" x14ac:dyDescent="0.2">
      <c r="B185" s="368"/>
      <c r="C185" s="185"/>
      <c r="D185" s="185"/>
      <c r="E185" s="429"/>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3"/>
      <c r="BR185" s="53"/>
      <c r="BS185" s="53"/>
      <c r="BT185" s="53"/>
      <c r="BU185" s="53"/>
      <c r="BV185" s="53"/>
    </row>
    <row r="186" spans="2:74" x14ac:dyDescent="0.2">
      <c r="B186" s="368"/>
      <c r="C186" s="185"/>
      <c r="D186" s="185"/>
      <c r="E186" s="429"/>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3"/>
      <c r="BR186" s="53"/>
      <c r="BS186" s="53"/>
      <c r="BT186" s="53"/>
      <c r="BU186" s="53"/>
      <c r="BV186" s="53"/>
    </row>
    <row r="187" spans="2:74" x14ac:dyDescent="0.2">
      <c r="B187" s="368"/>
      <c r="C187" s="185"/>
      <c r="D187" s="185"/>
      <c r="E187" s="429"/>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3"/>
      <c r="BR187" s="53"/>
      <c r="BS187" s="53"/>
      <c r="BT187" s="53"/>
      <c r="BU187" s="53"/>
      <c r="BV187" s="53"/>
    </row>
    <row r="188" spans="2:74" x14ac:dyDescent="0.2">
      <c r="B188" s="368"/>
      <c r="C188" s="185"/>
      <c r="D188" s="185"/>
      <c r="E188" s="429"/>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3"/>
      <c r="BR188" s="53"/>
      <c r="BS188" s="53"/>
      <c r="BT188" s="53"/>
      <c r="BU188" s="53"/>
      <c r="BV188" s="53"/>
    </row>
    <row r="189" spans="2:74" x14ac:dyDescent="0.2">
      <c r="B189" s="368"/>
      <c r="C189" s="368"/>
      <c r="D189" s="368"/>
      <c r="E189" s="429"/>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3"/>
      <c r="BR189" s="53"/>
      <c r="BS189" s="53"/>
      <c r="BT189" s="53"/>
      <c r="BU189" s="53"/>
      <c r="BV189" s="53"/>
    </row>
    <row r="190" spans="2:74" x14ac:dyDescent="0.2">
      <c r="B190" s="368"/>
      <c r="C190" s="185"/>
      <c r="D190" s="185"/>
      <c r="E190" s="429"/>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3"/>
      <c r="BR190" s="53"/>
      <c r="BS190" s="53"/>
      <c r="BT190" s="53"/>
      <c r="BU190" s="53"/>
      <c r="BV190" s="53"/>
    </row>
    <row r="191" spans="2:74" x14ac:dyDescent="0.2">
      <c r="B191" s="368"/>
      <c r="C191" s="185"/>
      <c r="D191" s="185"/>
      <c r="E191" s="429"/>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3"/>
      <c r="BR191" s="53"/>
      <c r="BS191" s="53"/>
      <c r="BT191" s="53"/>
      <c r="BU191" s="53"/>
      <c r="BV191" s="53"/>
    </row>
    <row r="192" spans="2:74" x14ac:dyDescent="0.2">
      <c r="B192" s="368"/>
      <c r="C192" s="185"/>
      <c r="D192" s="185"/>
      <c r="E192" s="429"/>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3"/>
      <c r="BR192" s="53"/>
      <c r="BS192" s="53"/>
      <c r="BT192" s="53"/>
      <c r="BU192" s="53"/>
      <c r="BV192" s="53"/>
    </row>
    <row r="193" spans="2:74" x14ac:dyDescent="0.2">
      <c r="B193" s="368"/>
      <c r="C193" s="185"/>
      <c r="D193" s="185"/>
      <c r="E193" s="429"/>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row>
    <row r="194" spans="2:74" x14ac:dyDescent="0.2">
      <c r="B194" s="368"/>
      <c r="C194" s="185"/>
      <c r="D194" s="185"/>
      <c r="E194" s="429"/>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row>
    <row r="195" spans="2:74" x14ac:dyDescent="0.2">
      <c r="B195" s="368"/>
      <c r="C195" s="185"/>
      <c r="D195" s="185"/>
      <c r="E195" s="429"/>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row>
    <row r="196" spans="2:74" x14ac:dyDescent="0.2">
      <c r="B196" s="368"/>
      <c r="C196" s="185"/>
      <c r="D196" s="185"/>
      <c r="E196" s="429"/>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row>
    <row r="197" spans="2:74" x14ac:dyDescent="0.2">
      <c r="B197" s="368"/>
      <c r="C197" s="185"/>
      <c r="D197" s="185"/>
      <c r="E197" s="429"/>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row>
    <row r="198" spans="2:74" x14ac:dyDescent="0.2">
      <c r="B198" s="368"/>
      <c r="C198" s="185"/>
      <c r="D198" s="185"/>
      <c r="E198" s="429"/>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row>
    <row r="199" spans="2:74" x14ac:dyDescent="0.2">
      <c r="B199" s="368"/>
      <c r="C199" s="185"/>
      <c r="D199" s="185"/>
      <c r="E199" s="429"/>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row>
    <row r="200" spans="2:74" x14ac:dyDescent="0.2">
      <c r="B200" s="368"/>
      <c r="C200" s="185"/>
      <c r="D200" s="185"/>
      <c r="E200" s="429"/>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row>
    <row r="201" spans="2:74" x14ac:dyDescent="0.2">
      <c r="B201" s="368"/>
      <c r="C201" s="185"/>
      <c r="D201" s="185"/>
      <c r="E201" s="429"/>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3"/>
      <c r="BR201" s="53"/>
      <c r="BS201" s="53"/>
      <c r="BT201" s="53"/>
      <c r="BU201" s="53"/>
      <c r="BV201" s="53"/>
    </row>
    <row r="202" spans="2:74" x14ac:dyDescent="0.2">
      <c r="B202" s="368"/>
      <c r="C202" s="368"/>
      <c r="D202" s="368"/>
      <c r="E202" s="429"/>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3"/>
      <c r="BR202" s="53"/>
      <c r="BS202" s="53"/>
      <c r="BT202" s="53"/>
      <c r="BU202" s="53"/>
      <c r="BV202" s="53"/>
    </row>
    <row r="203" spans="2:74" x14ac:dyDescent="0.2">
      <c r="B203" s="368"/>
      <c r="C203" s="368"/>
      <c r="D203" s="368"/>
      <c r="E203" s="429"/>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3"/>
      <c r="BR203" s="53"/>
      <c r="BS203" s="53"/>
      <c r="BT203" s="53"/>
      <c r="BU203" s="53"/>
      <c r="BV203" s="53"/>
    </row>
    <row r="204" spans="2:74" x14ac:dyDescent="0.2">
      <c r="B204" s="368"/>
      <c r="C204" s="185"/>
      <c r="D204" s="185"/>
      <c r="E204" s="429"/>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3"/>
      <c r="BR204" s="53"/>
      <c r="BS204" s="53"/>
      <c r="BT204" s="53"/>
      <c r="BU204" s="53"/>
      <c r="BV204" s="53"/>
    </row>
    <row r="205" spans="2:74" x14ac:dyDescent="0.2">
      <c r="B205" s="368"/>
      <c r="C205" s="185"/>
      <c r="D205" s="185"/>
      <c r="E205" s="429"/>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3"/>
      <c r="BR205" s="53"/>
      <c r="BS205" s="53"/>
      <c r="BT205" s="53"/>
      <c r="BU205" s="53"/>
      <c r="BV205" s="53"/>
    </row>
    <row r="206" spans="2:74" x14ac:dyDescent="0.2">
      <c r="B206" s="368"/>
      <c r="C206" s="185"/>
      <c r="D206" s="185"/>
      <c r="E206" s="429"/>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3"/>
      <c r="BR206" s="53"/>
      <c r="BS206" s="53"/>
      <c r="BT206" s="53"/>
      <c r="BU206" s="53"/>
      <c r="BV206" s="53"/>
    </row>
    <row r="222" spans="2:74" x14ac:dyDescent="0.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c r="BM222" s="42"/>
      <c r="BN222" s="42"/>
      <c r="BO222" s="42"/>
      <c r="BP222" s="42"/>
      <c r="BQ222" s="42"/>
      <c r="BR222" s="42"/>
      <c r="BS222" s="42"/>
      <c r="BT222" s="42"/>
      <c r="BU222" s="42"/>
      <c r="BV222" s="42"/>
    </row>
    <row r="223" spans="2:74" x14ac:dyDescent="0.2">
      <c r="B223" s="368"/>
      <c r="C223" s="185"/>
      <c r="D223" s="185"/>
      <c r="E223" s="429"/>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3"/>
      <c r="BR223" s="53"/>
      <c r="BS223" s="53"/>
      <c r="BT223" s="53"/>
      <c r="BU223" s="53"/>
      <c r="BV223" s="53"/>
    </row>
    <row r="224" spans="2:74" x14ac:dyDescent="0.2">
      <c r="B224" s="368"/>
      <c r="C224" s="185"/>
      <c r="D224" s="185"/>
      <c r="E224" s="429"/>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3"/>
      <c r="BR224" s="53"/>
      <c r="BS224" s="53"/>
      <c r="BT224" s="53"/>
      <c r="BU224" s="53"/>
      <c r="BV224" s="53"/>
    </row>
    <row r="225" spans="2:74" x14ac:dyDescent="0.2">
      <c r="B225" s="368"/>
      <c r="C225" s="185"/>
      <c r="D225" s="185"/>
      <c r="E225" s="429"/>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3"/>
      <c r="BR225" s="53"/>
      <c r="BS225" s="53"/>
      <c r="BT225" s="53"/>
      <c r="BU225" s="53"/>
      <c r="BV225" s="53"/>
    </row>
    <row r="226" spans="2:74" x14ac:dyDescent="0.2">
      <c r="B226" s="368"/>
      <c r="C226" s="185"/>
      <c r="D226" s="185"/>
      <c r="E226" s="429"/>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3"/>
      <c r="BR226" s="53"/>
      <c r="BS226" s="53"/>
      <c r="BT226" s="53"/>
      <c r="BU226" s="53"/>
      <c r="BV226" s="53"/>
    </row>
    <row r="227" spans="2:74" x14ac:dyDescent="0.2">
      <c r="B227" s="368"/>
      <c r="C227" s="185"/>
      <c r="D227" s="185"/>
      <c r="E227" s="429"/>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3"/>
      <c r="BR227" s="53"/>
      <c r="BS227" s="53"/>
      <c r="BT227" s="53"/>
      <c r="BU227" s="53"/>
      <c r="BV227" s="53"/>
    </row>
    <row r="228" spans="2:74" x14ac:dyDescent="0.2">
      <c r="B228" s="368"/>
      <c r="C228" s="185"/>
      <c r="D228" s="185"/>
      <c r="E228" s="429"/>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3"/>
      <c r="BR228" s="53"/>
      <c r="BS228" s="53"/>
      <c r="BT228" s="53"/>
      <c r="BU228" s="53"/>
      <c r="BV228" s="53"/>
    </row>
    <row r="229" spans="2:74" x14ac:dyDescent="0.2">
      <c r="B229" s="368"/>
      <c r="C229" s="185"/>
      <c r="D229" s="185"/>
      <c r="E229" s="429"/>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3"/>
      <c r="BR229" s="53"/>
      <c r="BS229" s="53"/>
      <c r="BT229" s="53"/>
      <c r="BU229" s="53"/>
      <c r="BV229" s="53"/>
    </row>
    <row r="230" spans="2:74" x14ac:dyDescent="0.2">
      <c r="B230" s="368"/>
      <c r="C230" s="185"/>
      <c r="D230" s="185"/>
      <c r="E230" s="429"/>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3"/>
      <c r="BR230" s="53"/>
      <c r="BS230" s="53"/>
      <c r="BT230" s="53"/>
      <c r="BU230" s="53"/>
      <c r="BV230" s="53"/>
    </row>
    <row r="231" spans="2:74" x14ac:dyDescent="0.2">
      <c r="B231" s="368"/>
      <c r="C231" s="185"/>
      <c r="D231" s="185"/>
      <c r="E231" s="429"/>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row>
    <row r="232" spans="2:74" x14ac:dyDescent="0.2">
      <c r="B232" s="368"/>
      <c r="C232" s="185"/>
      <c r="D232" s="185"/>
      <c r="E232" s="429"/>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3"/>
      <c r="BR232" s="53"/>
      <c r="BS232" s="53"/>
      <c r="BT232" s="53"/>
      <c r="BU232" s="53"/>
      <c r="BV232" s="53"/>
    </row>
    <row r="233" spans="2:74" x14ac:dyDescent="0.2">
      <c r="B233" s="368"/>
      <c r="C233" s="185"/>
      <c r="D233" s="185"/>
      <c r="E233" s="429"/>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3"/>
      <c r="BR233" s="53"/>
      <c r="BS233" s="53"/>
      <c r="BT233" s="53"/>
      <c r="BU233" s="53"/>
      <c r="BV233" s="53"/>
    </row>
    <row r="234" spans="2:74" x14ac:dyDescent="0.2">
      <c r="B234" s="368"/>
      <c r="C234" s="185"/>
      <c r="D234" s="185"/>
      <c r="E234" s="429"/>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3"/>
      <c r="BR234" s="53"/>
      <c r="BS234" s="53"/>
      <c r="BT234" s="53"/>
      <c r="BU234" s="53"/>
      <c r="BV234" s="53"/>
    </row>
    <row r="235" spans="2:74" x14ac:dyDescent="0.2">
      <c r="B235" s="368"/>
      <c r="C235" s="185"/>
      <c r="D235" s="185"/>
      <c r="E235" s="429"/>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3"/>
      <c r="BR235" s="53"/>
      <c r="BS235" s="53"/>
      <c r="BT235" s="53"/>
      <c r="BU235" s="53"/>
      <c r="BV235" s="53"/>
    </row>
    <row r="236" spans="2:74" x14ac:dyDescent="0.2">
      <c r="B236" s="368"/>
      <c r="C236" s="185"/>
      <c r="D236" s="185"/>
      <c r="E236" s="429"/>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3"/>
      <c r="BR236" s="53"/>
      <c r="BS236" s="53"/>
      <c r="BT236" s="53"/>
      <c r="BU236" s="53"/>
      <c r="BV236" s="53"/>
    </row>
    <row r="237" spans="2:74" x14ac:dyDescent="0.2">
      <c r="B237" s="368"/>
      <c r="C237" s="185"/>
      <c r="D237" s="185"/>
      <c r="E237" s="429"/>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3"/>
      <c r="BR237" s="53"/>
      <c r="BS237" s="53"/>
      <c r="BT237" s="53"/>
      <c r="BU237" s="53"/>
      <c r="BV237" s="53"/>
    </row>
    <row r="238" spans="2:74" x14ac:dyDescent="0.2">
      <c r="B238" s="368"/>
      <c r="C238" s="185"/>
      <c r="D238" s="185"/>
      <c r="E238" s="429"/>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3"/>
      <c r="BR238" s="53"/>
      <c r="BS238" s="53"/>
      <c r="BT238" s="53"/>
      <c r="BU238" s="53"/>
      <c r="BV238" s="53"/>
    </row>
    <row r="239" spans="2:74" x14ac:dyDescent="0.2">
      <c r="B239" s="368"/>
      <c r="C239" s="185"/>
      <c r="D239" s="185"/>
      <c r="E239" s="429"/>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3"/>
      <c r="BR239" s="53"/>
      <c r="BS239" s="53"/>
      <c r="BT239" s="53"/>
      <c r="BU239" s="53"/>
      <c r="BV239" s="53"/>
    </row>
    <row r="240" spans="2:74" x14ac:dyDescent="0.2">
      <c r="B240" s="368"/>
      <c r="C240" s="185"/>
      <c r="D240" s="185"/>
      <c r="E240" s="429"/>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3"/>
      <c r="BR240" s="53"/>
      <c r="BS240" s="53"/>
      <c r="BT240" s="53"/>
      <c r="BU240" s="53"/>
      <c r="BV240" s="53"/>
    </row>
    <row r="241" spans="2:74" x14ac:dyDescent="0.2">
      <c r="B241" s="368"/>
      <c r="C241" s="185"/>
      <c r="D241" s="185"/>
      <c r="E241" s="429"/>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3"/>
      <c r="BR241" s="53"/>
      <c r="BS241" s="53"/>
      <c r="BT241" s="53"/>
      <c r="BU241" s="53"/>
      <c r="BV241" s="53"/>
    </row>
    <row r="242" spans="2:74" x14ac:dyDescent="0.2">
      <c r="B242" s="368"/>
      <c r="C242" s="185"/>
      <c r="D242" s="185"/>
      <c r="E242" s="429"/>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3"/>
      <c r="BR242" s="53"/>
      <c r="BS242" s="53"/>
      <c r="BT242" s="53"/>
      <c r="BU242" s="53"/>
      <c r="BV242" s="53"/>
    </row>
    <row r="243" spans="2:74" x14ac:dyDescent="0.2">
      <c r="B243" s="368"/>
      <c r="C243" s="185"/>
      <c r="D243" s="185"/>
      <c r="E243" s="429"/>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3"/>
      <c r="BR243" s="53"/>
      <c r="BS243" s="53"/>
      <c r="BT243" s="53"/>
      <c r="BU243" s="53"/>
      <c r="BV243" s="53"/>
    </row>
    <row r="244" spans="2:74" x14ac:dyDescent="0.2">
      <c r="B244" s="368"/>
      <c r="C244" s="185"/>
      <c r="D244" s="185"/>
      <c r="E244" s="429"/>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3"/>
      <c r="BR244" s="53"/>
      <c r="BS244" s="53"/>
      <c r="BT244" s="53"/>
      <c r="BU244" s="53"/>
      <c r="BV244" s="53"/>
    </row>
    <row r="245" spans="2:74" x14ac:dyDescent="0.2">
      <c r="B245" s="368"/>
      <c r="C245" s="185"/>
      <c r="D245" s="185"/>
      <c r="E245" s="429"/>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3"/>
      <c r="BR245" s="53"/>
      <c r="BS245" s="53"/>
      <c r="BT245" s="53"/>
      <c r="BU245" s="53"/>
      <c r="BV245" s="53"/>
    </row>
    <row r="246" spans="2:74" x14ac:dyDescent="0.2">
      <c r="B246" s="368"/>
      <c r="C246" s="185"/>
      <c r="D246" s="185"/>
      <c r="E246" s="429"/>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3"/>
      <c r="BR246" s="53"/>
      <c r="BS246" s="53"/>
      <c r="BT246" s="53"/>
      <c r="BU246" s="53"/>
      <c r="BV246" s="53"/>
    </row>
    <row r="247" spans="2:74" x14ac:dyDescent="0.2">
      <c r="B247" s="368"/>
      <c r="C247" s="185"/>
      <c r="D247" s="185"/>
      <c r="E247" s="429"/>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3"/>
      <c r="BR247" s="53"/>
      <c r="BS247" s="53"/>
      <c r="BT247" s="53"/>
      <c r="BU247" s="53"/>
      <c r="BV247" s="53"/>
    </row>
    <row r="248" spans="2:74" x14ac:dyDescent="0.2">
      <c r="B248" s="368"/>
      <c r="C248" s="185"/>
      <c r="D248" s="185"/>
      <c r="E248" s="429"/>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row>
    <row r="249" spans="2:74" x14ac:dyDescent="0.2">
      <c r="B249" s="368"/>
      <c r="C249" s="185"/>
      <c r="D249" s="185"/>
      <c r="E249" s="429"/>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3"/>
      <c r="BR249" s="53"/>
      <c r="BS249" s="53"/>
      <c r="BT249" s="53"/>
      <c r="BU249" s="53"/>
      <c r="BV249" s="53"/>
    </row>
    <row r="250" spans="2:74" x14ac:dyDescent="0.2">
      <c r="B250" s="368"/>
      <c r="C250" s="185"/>
      <c r="D250" s="185"/>
      <c r="E250" s="429"/>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3"/>
      <c r="BR250" s="53"/>
      <c r="BS250" s="53"/>
      <c r="BT250" s="53"/>
      <c r="BU250" s="53"/>
      <c r="BV250" s="53"/>
    </row>
    <row r="251" spans="2:74" x14ac:dyDescent="0.2">
      <c r="B251" s="368"/>
      <c r="C251" s="185"/>
      <c r="D251" s="185"/>
      <c r="E251" s="429"/>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3"/>
      <c r="BR251" s="53"/>
      <c r="BS251" s="53"/>
      <c r="BT251" s="53"/>
      <c r="BU251" s="53"/>
      <c r="BV251" s="53"/>
    </row>
    <row r="252" spans="2:74" x14ac:dyDescent="0.2">
      <c r="B252" s="368"/>
      <c r="C252" s="185"/>
      <c r="D252" s="185"/>
      <c r="E252" s="429"/>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3"/>
      <c r="BR252" s="53"/>
      <c r="BS252" s="53"/>
      <c r="BT252" s="53"/>
      <c r="BU252" s="53"/>
      <c r="BV252" s="53"/>
    </row>
    <row r="253" spans="2:74" x14ac:dyDescent="0.2">
      <c r="B253" s="368"/>
      <c r="C253" s="185"/>
      <c r="D253" s="185"/>
      <c r="E253" s="429"/>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3"/>
      <c r="BR253" s="53"/>
      <c r="BS253" s="53"/>
      <c r="BT253" s="53"/>
      <c r="BU253" s="53"/>
      <c r="BV253" s="53"/>
    </row>
    <row r="254" spans="2:74" x14ac:dyDescent="0.2">
      <c r="B254" s="368"/>
      <c r="C254" s="185"/>
      <c r="D254" s="185"/>
      <c r="E254" s="429"/>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3"/>
      <c r="BR254" s="53"/>
      <c r="BS254" s="53"/>
      <c r="BT254" s="53"/>
      <c r="BU254" s="53"/>
      <c r="BV254" s="53"/>
    </row>
    <row r="255" spans="2:74" x14ac:dyDescent="0.2">
      <c r="B255" s="368"/>
      <c r="C255" s="185"/>
      <c r="D255" s="185"/>
      <c r="E255" s="429"/>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3"/>
      <c r="BR255" s="53"/>
      <c r="BS255" s="53"/>
      <c r="BT255" s="53"/>
      <c r="BU255" s="53"/>
      <c r="BV255" s="53"/>
    </row>
    <row r="256" spans="2:74" x14ac:dyDescent="0.2">
      <c r="B256" s="368"/>
      <c r="C256" s="185"/>
      <c r="D256" s="185"/>
      <c r="E256" s="429"/>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3"/>
      <c r="BR256" s="53"/>
      <c r="BS256" s="53"/>
      <c r="BT256" s="53"/>
      <c r="BU256" s="53"/>
      <c r="BV256" s="53"/>
    </row>
    <row r="257" spans="2:74" x14ac:dyDescent="0.2">
      <c r="B257" s="368"/>
      <c r="C257" s="185"/>
      <c r="D257" s="185"/>
      <c r="E257" s="429"/>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3"/>
      <c r="BR257" s="53"/>
      <c r="BS257" s="53"/>
      <c r="BT257" s="53"/>
      <c r="BU257" s="53"/>
      <c r="BV257" s="53"/>
    </row>
    <row r="258" spans="2:74" x14ac:dyDescent="0.2">
      <c r="B258" s="368"/>
      <c r="C258" s="185"/>
      <c r="D258" s="185"/>
      <c r="E258" s="429"/>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3"/>
      <c r="BR258" s="53"/>
      <c r="BS258" s="53"/>
      <c r="BT258" s="53"/>
      <c r="BU258" s="53"/>
      <c r="BV258" s="53"/>
    </row>
    <row r="259" spans="2:74" x14ac:dyDescent="0.2">
      <c r="B259" s="368"/>
      <c r="C259" s="185"/>
      <c r="D259" s="185"/>
      <c r="E259" s="429"/>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3"/>
      <c r="BR259" s="53"/>
      <c r="BS259" s="53"/>
      <c r="BT259" s="53"/>
      <c r="BU259" s="53"/>
      <c r="BV259" s="53"/>
    </row>
    <row r="260" spans="2:74" x14ac:dyDescent="0.2">
      <c r="B260" s="368"/>
      <c r="C260" s="185"/>
      <c r="D260" s="185"/>
      <c r="E260" s="429"/>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3"/>
      <c r="BR260" s="53"/>
      <c r="BS260" s="53"/>
      <c r="BT260" s="53"/>
      <c r="BU260" s="53"/>
      <c r="BV260" s="53"/>
    </row>
    <row r="261" spans="2:74" x14ac:dyDescent="0.2">
      <c r="B261" s="368"/>
      <c r="C261" s="368"/>
      <c r="D261" s="368"/>
      <c r="E261" s="429"/>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3"/>
      <c r="BR261" s="53"/>
      <c r="BS261" s="53"/>
      <c r="BT261" s="53"/>
      <c r="BU261" s="53"/>
      <c r="BV261" s="53"/>
    </row>
    <row r="262" spans="2:74" x14ac:dyDescent="0.2">
      <c r="B262" s="368"/>
      <c r="C262" s="185"/>
      <c r="D262" s="185"/>
      <c r="E262" s="429"/>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3"/>
      <c r="BR262" s="53"/>
      <c r="BS262" s="53"/>
      <c r="BT262" s="53"/>
      <c r="BU262" s="53"/>
      <c r="BV262" s="53"/>
    </row>
    <row r="263" spans="2:74" x14ac:dyDescent="0.2">
      <c r="C263" s="185"/>
      <c r="D263" s="185"/>
      <c r="E263" s="429"/>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3"/>
      <c r="BR263" s="53"/>
      <c r="BS263" s="53"/>
      <c r="BT263" s="53"/>
      <c r="BU263" s="53"/>
      <c r="BV263" s="53"/>
    </row>
    <row r="264" spans="2:74" x14ac:dyDescent="0.2">
      <c r="B264" s="368"/>
      <c r="C264" s="185"/>
      <c r="D264" s="185"/>
      <c r="E264" s="429"/>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row>
    <row r="265" spans="2:74" x14ac:dyDescent="0.2">
      <c r="B265" s="368"/>
      <c r="C265" s="185"/>
      <c r="D265" s="185"/>
      <c r="E265" s="429"/>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row>
    <row r="266" spans="2:74" x14ac:dyDescent="0.2">
      <c r="B266" s="368"/>
      <c r="C266" s="185"/>
      <c r="D266" s="185"/>
      <c r="E266" s="429"/>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3"/>
      <c r="BR266" s="53"/>
      <c r="BS266" s="53"/>
      <c r="BT266" s="53"/>
      <c r="BU266" s="53"/>
      <c r="BV266" s="53"/>
    </row>
    <row r="267" spans="2:74" x14ac:dyDescent="0.2">
      <c r="B267" s="368"/>
      <c r="C267" s="185"/>
      <c r="D267" s="185"/>
      <c r="E267" s="429"/>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3"/>
      <c r="BR267" s="53"/>
      <c r="BS267" s="53"/>
      <c r="BT267" s="53"/>
      <c r="BU267" s="53"/>
      <c r="BV267" s="53"/>
    </row>
    <row r="268" spans="2:74" x14ac:dyDescent="0.2">
      <c r="B268" s="368"/>
      <c r="C268" s="185"/>
      <c r="D268" s="185"/>
      <c r="E268" s="429"/>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3"/>
      <c r="BR268" s="53"/>
      <c r="BS268" s="53"/>
      <c r="BT268" s="53"/>
      <c r="BU268" s="53"/>
      <c r="BV268" s="53"/>
    </row>
    <row r="269" spans="2:74" x14ac:dyDescent="0.2">
      <c r="B269" s="368"/>
      <c r="C269" s="185"/>
      <c r="D269" s="185"/>
      <c r="E269" s="429"/>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3"/>
      <c r="BR269" s="53"/>
      <c r="BS269" s="53"/>
      <c r="BT269" s="53"/>
      <c r="BU269" s="53"/>
      <c r="BV269" s="53"/>
    </row>
    <row r="270" spans="2:74" x14ac:dyDescent="0.2">
      <c r="B270" s="368"/>
      <c r="C270" s="185"/>
      <c r="D270" s="185"/>
      <c r="E270" s="429"/>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3"/>
      <c r="BR270" s="53"/>
      <c r="BS270" s="53"/>
      <c r="BT270" s="53"/>
      <c r="BU270" s="53"/>
      <c r="BV270" s="53"/>
    </row>
    <row r="271" spans="2:74" x14ac:dyDescent="0.2">
      <c r="B271" s="368"/>
      <c r="C271" s="185"/>
      <c r="D271" s="185"/>
      <c r="E271" s="429"/>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3"/>
      <c r="BR271" s="53"/>
      <c r="BS271" s="53"/>
      <c r="BT271" s="53"/>
      <c r="BU271" s="53"/>
      <c r="BV271" s="53"/>
    </row>
    <row r="272" spans="2:74" x14ac:dyDescent="0.2">
      <c r="B272" s="368"/>
      <c r="C272" s="185"/>
      <c r="D272" s="185"/>
      <c r="E272" s="429"/>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3"/>
      <c r="BR272" s="53"/>
      <c r="BS272" s="53"/>
      <c r="BT272" s="53"/>
      <c r="BU272" s="53"/>
      <c r="BV272" s="53"/>
    </row>
    <row r="273" spans="2:74" x14ac:dyDescent="0.2">
      <c r="B273" s="368"/>
      <c r="C273" s="368"/>
      <c r="D273" s="368"/>
      <c r="E273" s="429"/>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3"/>
      <c r="BR273" s="53"/>
      <c r="BS273" s="53"/>
      <c r="BT273" s="53"/>
      <c r="BU273" s="53"/>
      <c r="BV273" s="53"/>
    </row>
    <row r="274" spans="2:74" x14ac:dyDescent="0.2">
      <c r="B274" s="368"/>
      <c r="C274" s="185"/>
      <c r="D274" s="185"/>
      <c r="E274" s="429"/>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3"/>
      <c r="BR274" s="53"/>
      <c r="BS274" s="53"/>
      <c r="BT274" s="53"/>
      <c r="BU274" s="53"/>
      <c r="BV274" s="53"/>
    </row>
    <row r="275" spans="2:74" x14ac:dyDescent="0.2">
      <c r="B275" s="368"/>
      <c r="C275" s="185"/>
      <c r="D275" s="185"/>
      <c r="E275" s="429"/>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3"/>
      <c r="BR275" s="53"/>
      <c r="BS275" s="53"/>
      <c r="BT275" s="53"/>
      <c r="BU275" s="53"/>
      <c r="BV275" s="53"/>
    </row>
    <row r="276" spans="2:74" x14ac:dyDescent="0.2">
      <c r="B276" s="368"/>
      <c r="C276" s="185"/>
      <c r="D276" s="185"/>
      <c r="E276" s="429"/>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3"/>
      <c r="BR276" s="53"/>
      <c r="BS276" s="53"/>
      <c r="BT276" s="53"/>
      <c r="BU276" s="53"/>
      <c r="BV276" s="53"/>
    </row>
    <row r="277" spans="2:74" x14ac:dyDescent="0.2">
      <c r="B277" s="368"/>
      <c r="C277" s="185"/>
      <c r="D277" s="185"/>
      <c r="E277" s="429"/>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3"/>
      <c r="BR277" s="53"/>
      <c r="BS277" s="53"/>
      <c r="BT277" s="53"/>
      <c r="BU277" s="53"/>
      <c r="BV277" s="53"/>
    </row>
    <row r="278" spans="2:74" x14ac:dyDescent="0.2">
      <c r="B278" s="368"/>
      <c r="C278" s="185"/>
      <c r="D278" s="185"/>
      <c r="E278" s="429"/>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3"/>
      <c r="BR278" s="53"/>
      <c r="BS278" s="53"/>
      <c r="BT278" s="53"/>
      <c r="BU278" s="53"/>
      <c r="BV278" s="53"/>
    </row>
    <row r="279" spans="2:74" x14ac:dyDescent="0.2">
      <c r="B279" s="368"/>
      <c r="C279" s="185"/>
      <c r="D279" s="185"/>
      <c r="E279" s="429"/>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3"/>
      <c r="BR279" s="53"/>
      <c r="BS279" s="53"/>
      <c r="BT279" s="53"/>
      <c r="BU279" s="53"/>
      <c r="BV279" s="53"/>
    </row>
    <row r="280" spans="2:74" x14ac:dyDescent="0.2">
      <c r="B280" s="368"/>
      <c r="C280" s="185"/>
      <c r="D280" s="185"/>
      <c r="E280" s="429"/>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3"/>
      <c r="BR280" s="53"/>
      <c r="BS280" s="53"/>
      <c r="BT280" s="53"/>
      <c r="BU280" s="53"/>
      <c r="BV280" s="53"/>
    </row>
    <row r="281" spans="2:74" x14ac:dyDescent="0.2">
      <c r="B281" s="368"/>
      <c r="C281" s="185"/>
      <c r="D281" s="185"/>
      <c r="E281" s="429"/>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3"/>
      <c r="BR281" s="53"/>
      <c r="BS281" s="53"/>
      <c r="BT281" s="53"/>
      <c r="BU281" s="53"/>
      <c r="BV281" s="53"/>
    </row>
    <row r="282" spans="2:74" x14ac:dyDescent="0.2">
      <c r="B282" s="368"/>
      <c r="C282" s="185"/>
      <c r="D282" s="185"/>
      <c r="E282" s="429"/>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row>
    <row r="283" spans="2:74" x14ac:dyDescent="0.2">
      <c r="B283" s="368"/>
      <c r="C283" s="185"/>
      <c r="D283" s="185"/>
      <c r="E283" s="429"/>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3"/>
      <c r="BR283" s="53"/>
      <c r="BS283" s="53"/>
      <c r="BT283" s="53"/>
      <c r="BU283" s="53"/>
      <c r="BV283" s="53"/>
    </row>
    <row r="284" spans="2:74" x14ac:dyDescent="0.2">
      <c r="B284" s="368"/>
      <c r="C284" s="185"/>
      <c r="D284" s="185"/>
      <c r="E284" s="429"/>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3"/>
      <c r="BR284" s="53"/>
      <c r="BS284" s="53"/>
      <c r="BT284" s="53"/>
      <c r="BU284" s="53"/>
      <c r="BV284" s="53"/>
    </row>
    <row r="285" spans="2:74" x14ac:dyDescent="0.2">
      <c r="B285" s="368"/>
      <c r="C285" s="185"/>
      <c r="D285" s="185"/>
      <c r="E285" s="429"/>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3"/>
      <c r="BR285" s="53"/>
      <c r="BS285" s="53"/>
      <c r="BT285" s="53"/>
      <c r="BU285" s="53"/>
      <c r="BV285" s="53"/>
    </row>
    <row r="286" spans="2:74" x14ac:dyDescent="0.2">
      <c r="B286" s="368"/>
      <c r="C286" s="368"/>
      <c r="D286" s="368"/>
      <c r="E286" s="429"/>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3"/>
      <c r="BR286" s="53"/>
      <c r="BS286" s="53"/>
      <c r="BT286" s="53"/>
      <c r="BU286" s="53"/>
      <c r="BV286" s="53"/>
    </row>
    <row r="287" spans="2:74" x14ac:dyDescent="0.2">
      <c r="B287" s="368"/>
      <c r="C287" s="368"/>
      <c r="D287" s="368"/>
      <c r="E287" s="429"/>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3"/>
      <c r="BR287" s="53"/>
      <c r="BS287" s="53"/>
      <c r="BT287" s="53"/>
      <c r="BU287" s="53"/>
      <c r="BV287" s="53"/>
    </row>
    <row r="288" spans="2:74" x14ac:dyDescent="0.2">
      <c r="B288" s="368"/>
      <c r="C288" s="185"/>
      <c r="D288" s="185"/>
      <c r="E288" s="429"/>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3"/>
      <c r="BR288" s="53"/>
      <c r="BS288" s="53"/>
      <c r="BT288" s="53"/>
      <c r="BU288" s="53"/>
      <c r="BV288" s="53"/>
    </row>
    <row r="289" spans="2:74" x14ac:dyDescent="0.2">
      <c r="B289" s="368"/>
      <c r="C289" s="185"/>
      <c r="D289" s="185"/>
      <c r="E289" s="429"/>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3"/>
      <c r="BR289" s="53"/>
      <c r="BS289" s="53"/>
      <c r="BT289" s="53"/>
      <c r="BU289" s="53"/>
      <c r="BV289" s="53"/>
    </row>
    <row r="290" spans="2:74" x14ac:dyDescent="0.2">
      <c r="B290" s="368"/>
      <c r="C290" s="185"/>
      <c r="D290" s="185"/>
      <c r="E290" s="429"/>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3"/>
      <c r="BR290" s="53"/>
      <c r="BS290" s="53"/>
      <c r="BT290" s="53"/>
      <c r="BU290" s="53"/>
      <c r="BV290" s="53"/>
    </row>
  </sheetData>
  <mergeCells count="15">
    <mergeCell ref="E2:BV2"/>
    <mergeCell ref="E3:I3"/>
    <mergeCell ref="J3:N3"/>
    <mergeCell ref="O3:S3"/>
    <mergeCell ref="BR3:BV3"/>
    <mergeCell ref="AN3:AR3"/>
    <mergeCell ref="T3:X3"/>
    <mergeCell ref="Y3:AC3"/>
    <mergeCell ref="AD3:AH3"/>
    <mergeCell ref="AI3:AM3"/>
    <mergeCell ref="BM3:BQ3"/>
    <mergeCell ref="AS3:AW3"/>
    <mergeCell ref="AX3:BB3"/>
    <mergeCell ref="BC3:BG3"/>
    <mergeCell ref="BH3:BL3"/>
  </mergeCells>
  <pageMargins left="0.70866141732283472" right="0.70866141732283472" top="0.74803149606299213" bottom="0.74803149606299213" header="0.31496062992125984" footer="0.31496062992125984"/>
  <pageSetup paperSize="9" scale="4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ET147"/>
  <sheetViews>
    <sheetView view="pageBreakPreview" topLeftCell="I6" zoomScaleNormal="100" zoomScaleSheetLayoutView="100" workbookViewId="0">
      <selection activeCell="BZ77" sqref="BZ77"/>
    </sheetView>
  </sheetViews>
  <sheetFormatPr defaultColWidth="10" defaultRowHeight="12.75" x14ac:dyDescent="0.2"/>
  <cols>
    <col min="1" max="1" width="1.5703125" style="12" customWidth="1"/>
    <col min="2" max="2" width="1.42578125" style="12" customWidth="1"/>
    <col min="3" max="3" width="57.5703125" style="12" customWidth="1"/>
    <col min="4" max="4" width="2.7109375" style="12" customWidth="1"/>
    <col min="5" max="5" width="8.7109375" style="12" hidden="1" customWidth="1"/>
    <col min="6" max="7" width="1" style="12" customWidth="1"/>
    <col min="8" max="8" width="19.7109375" style="12" customWidth="1"/>
    <col min="9" max="10" width="1" style="12" customWidth="1"/>
    <col min="11" max="11" width="2" style="12" hidden="1" customWidth="1"/>
    <col min="12" max="12" width="1" style="12" hidden="1" customWidth="1"/>
    <col min="13" max="13" width="17.85546875" style="12" hidden="1" customWidth="1"/>
    <col min="14" max="17" width="1" style="12" hidden="1" customWidth="1"/>
    <col min="18" max="18" width="17.85546875" style="12" hidden="1" customWidth="1"/>
    <col min="19" max="22" width="1" style="12" hidden="1" customWidth="1"/>
    <col min="23" max="23" width="17.85546875" style="12" hidden="1" customWidth="1"/>
    <col min="24" max="27" width="1" style="12" hidden="1" customWidth="1"/>
    <col min="28" max="28" width="17.85546875" style="12" hidden="1" customWidth="1"/>
    <col min="29" max="32" width="1" style="12" hidden="1" customWidth="1"/>
    <col min="33" max="33" width="17.85546875" style="12" hidden="1" customWidth="1"/>
    <col min="34" max="37" width="1" style="12" hidden="1" customWidth="1"/>
    <col min="38" max="38" width="17.85546875" style="12" hidden="1" customWidth="1"/>
    <col min="39" max="42" width="1" style="12" hidden="1" customWidth="1"/>
    <col min="43" max="43" width="17.85546875" style="12" hidden="1" customWidth="1"/>
    <col min="44" max="47" width="1" style="12" hidden="1" customWidth="1"/>
    <col min="48" max="48" width="17.85546875" style="12" hidden="1" customWidth="1"/>
    <col min="49" max="52" width="1" style="12" hidden="1" customWidth="1"/>
    <col min="53" max="53" width="17.85546875" style="12" hidden="1" customWidth="1"/>
    <col min="54" max="57" width="1" style="12" hidden="1" customWidth="1"/>
    <col min="58" max="58" width="17.85546875" style="12" hidden="1" customWidth="1"/>
    <col min="59" max="62" width="1" style="12" hidden="1" customWidth="1"/>
    <col min="63" max="63" width="17.85546875" style="12" hidden="1" customWidth="1"/>
    <col min="64" max="65" width="1" style="12" hidden="1" customWidth="1"/>
    <col min="66" max="67" width="1" style="12" customWidth="1"/>
    <col min="68" max="68" width="17.85546875" style="12" customWidth="1"/>
    <col min="69" max="72" width="1" style="12" customWidth="1"/>
    <col min="73" max="73" width="17.85546875" style="12" customWidth="1"/>
    <col min="74" max="77" width="1" style="12" customWidth="1"/>
    <col min="78" max="78" width="17.85546875" style="12" customWidth="1"/>
    <col min="79" max="80" width="1" style="12" customWidth="1"/>
    <col min="81" max="81" width="1.28515625" style="12" hidden="1" customWidth="1"/>
    <col min="82" max="82" width="1" style="12" hidden="1" customWidth="1"/>
    <col min="83" max="83" width="17.85546875" style="12" hidden="1" customWidth="1"/>
    <col min="84" max="87" width="1" style="12" hidden="1" customWidth="1"/>
    <col min="88" max="88" width="17.85546875" style="12" hidden="1" customWidth="1"/>
    <col min="89" max="92" width="1" style="12" hidden="1" customWidth="1"/>
    <col min="93" max="93" width="17.85546875" style="12" hidden="1" customWidth="1"/>
    <col min="94" max="97" width="1" style="12" hidden="1" customWidth="1"/>
    <col min="98" max="98" width="17.85546875" style="12" hidden="1" customWidth="1"/>
    <col min="99" max="99" width="1" style="12" hidden="1" customWidth="1"/>
    <col min="100" max="100" width="1" style="12" customWidth="1"/>
    <col min="101" max="102" width="1" style="12" hidden="1" customWidth="1"/>
    <col min="103" max="103" width="17.85546875" style="12" hidden="1" customWidth="1"/>
    <col min="104" max="107" width="1" style="12" hidden="1" customWidth="1"/>
    <col min="108" max="108" width="17.85546875" style="12" hidden="1" customWidth="1"/>
    <col min="109" max="112" width="1" style="12" hidden="1" customWidth="1"/>
    <col min="113" max="113" width="17.85546875" style="12" hidden="1" customWidth="1"/>
    <col min="114" max="117" width="1" style="12" hidden="1" customWidth="1"/>
    <col min="118" max="118" width="17.85546875" style="12" hidden="1" customWidth="1"/>
    <col min="119" max="122" width="1" style="12" hidden="1" customWidth="1"/>
    <col min="123" max="123" width="17.85546875" style="12" hidden="1" customWidth="1"/>
    <col min="124" max="127" width="1" style="12" hidden="1" customWidth="1"/>
    <col min="128" max="128" width="17.85546875" style="12" hidden="1" customWidth="1"/>
    <col min="129" max="132" width="1" style="12" hidden="1" customWidth="1"/>
    <col min="133" max="133" width="17.85546875" style="12" hidden="1" customWidth="1"/>
    <col min="134" max="135" width="1" style="12" hidden="1" customWidth="1"/>
    <col min="136" max="137" width="1" style="12" customWidth="1"/>
    <col min="138" max="138" width="17.85546875" style="12" customWidth="1"/>
    <col min="139" max="142" width="1" style="12" customWidth="1"/>
    <col min="143" max="143" width="17.85546875" style="12" customWidth="1"/>
    <col min="144" max="145" width="1" style="12" customWidth="1"/>
    <col min="146" max="146" width="1.5703125" style="12" customWidth="1"/>
    <col min="147" max="147" width="0.7109375" style="12" customWidth="1"/>
    <col min="148" max="148" width="1.85546875" style="12" customWidth="1"/>
    <col min="149" max="149" width="10.7109375" style="12" customWidth="1"/>
    <col min="150" max="150" width="13" style="12" hidden="1" customWidth="1"/>
    <col min="151" max="256" width="10" style="12"/>
    <col min="257" max="257" width="1.5703125" style="12" customWidth="1"/>
    <col min="258" max="258" width="1.42578125" style="12" customWidth="1"/>
    <col min="259" max="259" width="57.5703125" style="12" customWidth="1"/>
    <col min="260" max="260" width="2.7109375" style="12" customWidth="1"/>
    <col min="261" max="261" width="0" style="12" hidden="1" customWidth="1"/>
    <col min="262" max="263" width="1" style="12" customWidth="1"/>
    <col min="264" max="264" width="19.7109375" style="12" customWidth="1"/>
    <col min="265" max="266" width="1" style="12" customWidth="1"/>
    <col min="267" max="321" width="0" style="12" hidden="1" customWidth="1"/>
    <col min="322" max="323" width="1" style="12" customWidth="1"/>
    <col min="324" max="324" width="17.85546875" style="12" customWidth="1"/>
    <col min="325" max="328" width="1" style="12" customWidth="1"/>
    <col min="329" max="329" width="17.85546875" style="12" customWidth="1"/>
    <col min="330" max="333" width="1" style="12" customWidth="1"/>
    <col min="334" max="334" width="17.85546875" style="12" customWidth="1"/>
    <col min="335" max="336" width="1" style="12" customWidth="1"/>
    <col min="337" max="355" width="0" style="12" hidden="1" customWidth="1"/>
    <col min="356" max="356" width="1" style="12" customWidth="1"/>
    <col min="357" max="391" width="0" style="12" hidden="1" customWidth="1"/>
    <col min="392" max="393" width="1" style="12" customWidth="1"/>
    <col min="394" max="394" width="17.85546875" style="12" customWidth="1"/>
    <col min="395" max="398" width="1" style="12" customWidth="1"/>
    <col min="399" max="399" width="17.85546875" style="12" customWidth="1"/>
    <col min="400" max="401" width="1" style="12" customWidth="1"/>
    <col min="402" max="402" width="1.5703125" style="12" customWidth="1"/>
    <col min="403" max="403" width="0.7109375" style="12" customWidth="1"/>
    <col min="404" max="404" width="1.85546875" style="12" customWidth="1"/>
    <col min="405" max="405" width="10.7109375" style="12" customWidth="1"/>
    <col min="406" max="406" width="0" style="12" hidden="1" customWidth="1"/>
    <col min="407" max="512" width="10" style="12"/>
    <col min="513" max="513" width="1.5703125" style="12" customWidth="1"/>
    <col min="514" max="514" width="1.42578125" style="12" customWidth="1"/>
    <col min="515" max="515" width="57.5703125" style="12" customWidth="1"/>
    <col min="516" max="516" width="2.7109375" style="12" customWidth="1"/>
    <col min="517" max="517" width="0" style="12" hidden="1" customWidth="1"/>
    <col min="518" max="519" width="1" style="12" customWidth="1"/>
    <col min="520" max="520" width="19.7109375" style="12" customWidth="1"/>
    <col min="521" max="522" width="1" style="12" customWidth="1"/>
    <col min="523" max="577" width="0" style="12" hidden="1" customWidth="1"/>
    <col min="578" max="579" width="1" style="12" customWidth="1"/>
    <col min="580" max="580" width="17.85546875" style="12" customWidth="1"/>
    <col min="581" max="584" width="1" style="12" customWidth="1"/>
    <col min="585" max="585" width="17.85546875" style="12" customWidth="1"/>
    <col min="586" max="589" width="1" style="12" customWidth="1"/>
    <col min="590" max="590" width="17.85546875" style="12" customWidth="1"/>
    <col min="591" max="592" width="1" style="12" customWidth="1"/>
    <col min="593" max="611" width="0" style="12" hidden="1" customWidth="1"/>
    <col min="612" max="612" width="1" style="12" customWidth="1"/>
    <col min="613" max="647" width="0" style="12" hidden="1" customWidth="1"/>
    <col min="648" max="649" width="1" style="12" customWidth="1"/>
    <col min="650" max="650" width="17.85546875" style="12" customWidth="1"/>
    <col min="651" max="654" width="1" style="12" customWidth="1"/>
    <col min="655" max="655" width="17.85546875" style="12" customWidth="1"/>
    <col min="656" max="657" width="1" style="12" customWidth="1"/>
    <col min="658" max="658" width="1.5703125" style="12" customWidth="1"/>
    <col min="659" max="659" width="0.7109375" style="12" customWidth="1"/>
    <col min="660" max="660" width="1.85546875" style="12" customWidth="1"/>
    <col min="661" max="661" width="10.7109375" style="12" customWidth="1"/>
    <col min="662" max="662" width="0" style="12" hidden="1" customWidth="1"/>
    <col min="663" max="768" width="10" style="12"/>
    <col min="769" max="769" width="1.5703125" style="12" customWidth="1"/>
    <col min="770" max="770" width="1.42578125" style="12" customWidth="1"/>
    <col min="771" max="771" width="57.5703125" style="12" customWidth="1"/>
    <col min="772" max="772" width="2.7109375" style="12" customWidth="1"/>
    <col min="773" max="773" width="0" style="12" hidden="1" customWidth="1"/>
    <col min="774" max="775" width="1" style="12" customWidth="1"/>
    <col min="776" max="776" width="19.7109375" style="12" customWidth="1"/>
    <col min="777" max="778" width="1" style="12" customWidth="1"/>
    <col min="779" max="833" width="0" style="12" hidden="1" customWidth="1"/>
    <col min="834" max="835" width="1" style="12" customWidth="1"/>
    <col min="836" max="836" width="17.85546875" style="12" customWidth="1"/>
    <col min="837" max="840" width="1" style="12" customWidth="1"/>
    <col min="841" max="841" width="17.85546875" style="12" customWidth="1"/>
    <col min="842" max="845" width="1" style="12" customWidth="1"/>
    <col min="846" max="846" width="17.85546875" style="12" customWidth="1"/>
    <col min="847" max="848" width="1" style="12" customWidth="1"/>
    <col min="849" max="867" width="0" style="12" hidden="1" customWidth="1"/>
    <col min="868" max="868" width="1" style="12" customWidth="1"/>
    <col min="869" max="903" width="0" style="12" hidden="1" customWidth="1"/>
    <col min="904" max="905" width="1" style="12" customWidth="1"/>
    <col min="906" max="906" width="17.85546875" style="12" customWidth="1"/>
    <col min="907" max="910" width="1" style="12" customWidth="1"/>
    <col min="911" max="911" width="17.85546875" style="12" customWidth="1"/>
    <col min="912" max="913" width="1" style="12" customWidth="1"/>
    <col min="914" max="914" width="1.5703125" style="12" customWidth="1"/>
    <col min="915" max="915" width="0.7109375" style="12" customWidth="1"/>
    <col min="916" max="916" width="1.85546875" style="12" customWidth="1"/>
    <col min="917" max="917" width="10.7109375" style="12" customWidth="1"/>
    <col min="918" max="918" width="0" style="12" hidden="1" customWidth="1"/>
    <col min="919" max="1024" width="10" style="12"/>
    <col min="1025" max="1025" width="1.5703125" style="12" customWidth="1"/>
    <col min="1026" max="1026" width="1.42578125" style="12" customWidth="1"/>
    <col min="1027" max="1027" width="57.5703125" style="12" customWidth="1"/>
    <col min="1028" max="1028" width="2.7109375" style="12" customWidth="1"/>
    <col min="1029" max="1029" width="0" style="12" hidden="1" customWidth="1"/>
    <col min="1030" max="1031" width="1" style="12" customWidth="1"/>
    <col min="1032" max="1032" width="19.7109375" style="12" customWidth="1"/>
    <col min="1033" max="1034" width="1" style="12" customWidth="1"/>
    <col min="1035" max="1089" width="0" style="12" hidden="1" customWidth="1"/>
    <col min="1090" max="1091" width="1" style="12" customWidth="1"/>
    <col min="1092" max="1092" width="17.85546875" style="12" customWidth="1"/>
    <col min="1093" max="1096" width="1" style="12" customWidth="1"/>
    <col min="1097" max="1097" width="17.85546875" style="12" customWidth="1"/>
    <col min="1098" max="1101" width="1" style="12" customWidth="1"/>
    <col min="1102" max="1102" width="17.85546875" style="12" customWidth="1"/>
    <col min="1103" max="1104" width="1" style="12" customWidth="1"/>
    <col min="1105" max="1123" width="0" style="12" hidden="1" customWidth="1"/>
    <col min="1124" max="1124" width="1" style="12" customWidth="1"/>
    <col min="1125" max="1159" width="0" style="12" hidden="1" customWidth="1"/>
    <col min="1160" max="1161" width="1" style="12" customWidth="1"/>
    <col min="1162" max="1162" width="17.85546875" style="12" customWidth="1"/>
    <col min="1163" max="1166" width="1" style="12" customWidth="1"/>
    <col min="1167" max="1167" width="17.85546875" style="12" customWidth="1"/>
    <col min="1168" max="1169" width="1" style="12" customWidth="1"/>
    <col min="1170" max="1170" width="1.5703125" style="12" customWidth="1"/>
    <col min="1171" max="1171" width="0.7109375" style="12" customWidth="1"/>
    <col min="1172" max="1172" width="1.85546875" style="12" customWidth="1"/>
    <col min="1173" max="1173" width="10.7109375" style="12" customWidth="1"/>
    <col min="1174" max="1174" width="0" style="12" hidden="1" customWidth="1"/>
    <col min="1175" max="1280" width="10" style="12"/>
    <col min="1281" max="1281" width="1.5703125" style="12" customWidth="1"/>
    <col min="1282" max="1282" width="1.42578125" style="12" customWidth="1"/>
    <col min="1283" max="1283" width="57.5703125" style="12" customWidth="1"/>
    <col min="1284" max="1284" width="2.7109375" style="12" customWidth="1"/>
    <col min="1285" max="1285" width="0" style="12" hidden="1" customWidth="1"/>
    <col min="1286" max="1287" width="1" style="12" customWidth="1"/>
    <col min="1288" max="1288" width="19.7109375" style="12" customWidth="1"/>
    <col min="1289" max="1290" width="1" style="12" customWidth="1"/>
    <col min="1291" max="1345" width="0" style="12" hidden="1" customWidth="1"/>
    <col min="1346" max="1347" width="1" style="12" customWidth="1"/>
    <col min="1348" max="1348" width="17.85546875" style="12" customWidth="1"/>
    <col min="1349" max="1352" width="1" style="12" customWidth="1"/>
    <col min="1353" max="1353" width="17.85546875" style="12" customWidth="1"/>
    <col min="1354" max="1357" width="1" style="12" customWidth="1"/>
    <col min="1358" max="1358" width="17.85546875" style="12" customWidth="1"/>
    <col min="1359" max="1360" width="1" style="12" customWidth="1"/>
    <col min="1361" max="1379" width="0" style="12" hidden="1" customWidth="1"/>
    <col min="1380" max="1380" width="1" style="12" customWidth="1"/>
    <col min="1381" max="1415" width="0" style="12" hidden="1" customWidth="1"/>
    <col min="1416" max="1417" width="1" style="12" customWidth="1"/>
    <col min="1418" max="1418" width="17.85546875" style="12" customWidth="1"/>
    <col min="1419" max="1422" width="1" style="12" customWidth="1"/>
    <col min="1423" max="1423" width="17.85546875" style="12" customWidth="1"/>
    <col min="1424" max="1425" width="1" style="12" customWidth="1"/>
    <col min="1426" max="1426" width="1.5703125" style="12" customWidth="1"/>
    <col min="1427" max="1427" width="0.7109375" style="12" customWidth="1"/>
    <col min="1428" max="1428" width="1.85546875" style="12" customWidth="1"/>
    <col min="1429" max="1429" width="10.7109375" style="12" customWidth="1"/>
    <col min="1430" max="1430" width="0" style="12" hidden="1" customWidth="1"/>
    <col min="1431" max="1536" width="10" style="12"/>
    <col min="1537" max="1537" width="1.5703125" style="12" customWidth="1"/>
    <col min="1538" max="1538" width="1.42578125" style="12" customWidth="1"/>
    <col min="1539" max="1539" width="57.5703125" style="12" customWidth="1"/>
    <col min="1540" max="1540" width="2.7109375" style="12" customWidth="1"/>
    <col min="1541" max="1541" width="0" style="12" hidden="1" customWidth="1"/>
    <col min="1542" max="1543" width="1" style="12" customWidth="1"/>
    <col min="1544" max="1544" width="19.7109375" style="12" customWidth="1"/>
    <col min="1545" max="1546" width="1" style="12" customWidth="1"/>
    <col min="1547" max="1601" width="0" style="12" hidden="1" customWidth="1"/>
    <col min="1602" max="1603" width="1" style="12" customWidth="1"/>
    <col min="1604" max="1604" width="17.85546875" style="12" customWidth="1"/>
    <col min="1605" max="1608" width="1" style="12" customWidth="1"/>
    <col min="1609" max="1609" width="17.85546875" style="12" customWidth="1"/>
    <col min="1610" max="1613" width="1" style="12" customWidth="1"/>
    <col min="1614" max="1614" width="17.85546875" style="12" customWidth="1"/>
    <col min="1615" max="1616" width="1" style="12" customWidth="1"/>
    <col min="1617" max="1635" width="0" style="12" hidden="1" customWidth="1"/>
    <col min="1636" max="1636" width="1" style="12" customWidth="1"/>
    <col min="1637" max="1671" width="0" style="12" hidden="1" customWidth="1"/>
    <col min="1672" max="1673" width="1" style="12" customWidth="1"/>
    <col min="1674" max="1674" width="17.85546875" style="12" customWidth="1"/>
    <col min="1675" max="1678" width="1" style="12" customWidth="1"/>
    <col min="1679" max="1679" width="17.85546875" style="12" customWidth="1"/>
    <col min="1680" max="1681" width="1" style="12" customWidth="1"/>
    <col min="1682" max="1682" width="1.5703125" style="12" customWidth="1"/>
    <col min="1683" max="1683" width="0.7109375" style="12" customWidth="1"/>
    <col min="1684" max="1684" width="1.85546875" style="12" customWidth="1"/>
    <col min="1685" max="1685" width="10.7109375" style="12" customWidth="1"/>
    <col min="1686" max="1686" width="0" style="12" hidden="1" customWidth="1"/>
    <col min="1687" max="1792" width="10" style="12"/>
    <col min="1793" max="1793" width="1.5703125" style="12" customWidth="1"/>
    <col min="1794" max="1794" width="1.42578125" style="12" customWidth="1"/>
    <col min="1795" max="1795" width="57.5703125" style="12" customWidth="1"/>
    <col min="1796" max="1796" width="2.7109375" style="12" customWidth="1"/>
    <col min="1797" max="1797" width="0" style="12" hidden="1" customWidth="1"/>
    <col min="1798" max="1799" width="1" style="12" customWidth="1"/>
    <col min="1800" max="1800" width="19.7109375" style="12" customWidth="1"/>
    <col min="1801" max="1802" width="1" style="12" customWidth="1"/>
    <col min="1803" max="1857" width="0" style="12" hidden="1" customWidth="1"/>
    <col min="1858" max="1859" width="1" style="12" customWidth="1"/>
    <col min="1860" max="1860" width="17.85546875" style="12" customWidth="1"/>
    <col min="1861" max="1864" width="1" style="12" customWidth="1"/>
    <col min="1865" max="1865" width="17.85546875" style="12" customWidth="1"/>
    <col min="1866" max="1869" width="1" style="12" customWidth="1"/>
    <col min="1870" max="1870" width="17.85546875" style="12" customWidth="1"/>
    <col min="1871" max="1872" width="1" style="12" customWidth="1"/>
    <col min="1873" max="1891" width="0" style="12" hidden="1" customWidth="1"/>
    <col min="1892" max="1892" width="1" style="12" customWidth="1"/>
    <col min="1893" max="1927" width="0" style="12" hidden="1" customWidth="1"/>
    <col min="1928" max="1929" width="1" style="12" customWidth="1"/>
    <col min="1930" max="1930" width="17.85546875" style="12" customWidth="1"/>
    <col min="1931" max="1934" width="1" style="12" customWidth="1"/>
    <col min="1935" max="1935" width="17.85546875" style="12" customWidth="1"/>
    <col min="1936" max="1937" width="1" style="12" customWidth="1"/>
    <col min="1938" max="1938" width="1.5703125" style="12" customWidth="1"/>
    <col min="1939" max="1939" width="0.7109375" style="12" customWidth="1"/>
    <col min="1940" max="1940" width="1.85546875" style="12" customWidth="1"/>
    <col min="1941" max="1941" width="10.7109375" style="12" customWidth="1"/>
    <col min="1942" max="1942" width="0" style="12" hidden="1" customWidth="1"/>
    <col min="1943" max="2048" width="10" style="12"/>
    <col min="2049" max="2049" width="1.5703125" style="12" customWidth="1"/>
    <col min="2050" max="2050" width="1.42578125" style="12" customWidth="1"/>
    <col min="2051" max="2051" width="57.5703125" style="12" customWidth="1"/>
    <col min="2052" max="2052" width="2.7109375" style="12" customWidth="1"/>
    <col min="2053" max="2053" width="0" style="12" hidden="1" customWidth="1"/>
    <col min="2054" max="2055" width="1" style="12" customWidth="1"/>
    <col min="2056" max="2056" width="19.7109375" style="12" customWidth="1"/>
    <col min="2057" max="2058" width="1" style="12" customWidth="1"/>
    <col min="2059" max="2113" width="0" style="12" hidden="1" customWidth="1"/>
    <col min="2114" max="2115" width="1" style="12" customWidth="1"/>
    <col min="2116" max="2116" width="17.85546875" style="12" customWidth="1"/>
    <col min="2117" max="2120" width="1" style="12" customWidth="1"/>
    <col min="2121" max="2121" width="17.85546875" style="12" customWidth="1"/>
    <col min="2122" max="2125" width="1" style="12" customWidth="1"/>
    <col min="2126" max="2126" width="17.85546875" style="12" customWidth="1"/>
    <col min="2127" max="2128" width="1" style="12" customWidth="1"/>
    <col min="2129" max="2147" width="0" style="12" hidden="1" customWidth="1"/>
    <col min="2148" max="2148" width="1" style="12" customWidth="1"/>
    <col min="2149" max="2183" width="0" style="12" hidden="1" customWidth="1"/>
    <col min="2184" max="2185" width="1" style="12" customWidth="1"/>
    <col min="2186" max="2186" width="17.85546875" style="12" customWidth="1"/>
    <col min="2187" max="2190" width="1" style="12" customWidth="1"/>
    <col min="2191" max="2191" width="17.85546875" style="12" customWidth="1"/>
    <col min="2192" max="2193" width="1" style="12" customWidth="1"/>
    <col min="2194" max="2194" width="1.5703125" style="12" customWidth="1"/>
    <col min="2195" max="2195" width="0.7109375" style="12" customWidth="1"/>
    <col min="2196" max="2196" width="1.85546875" style="12" customWidth="1"/>
    <col min="2197" max="2197" width="10.7109375" style="12" customWidth="1"/>
    <col min="2198" max="2198" width="0" style="12" hidden="1" customWidth="1"/>
    <col min="2199" max="2304" width="10" style="12"/>
    <col min="2305" max="2305" width="1.5703125" style="12" customWidth="1"/>
    <col min="2306" max="2306" width="1.42578125" style="12" customWidth="1"/>
    <col min="2307" max="2307" width="57.5703125" style="12" customWidth="1"/>
    <col min="2308" max="2308" width="2.7109375" style="12" customWidth="1"/>
    <col min="2309" max="2309" width="0" style="12" hidden="1" customWidth="1"/>
    <col min="2310" max="2311" width="1" style="12" customWidth="1"/>
    <col min="2312" max="2312" width="19.7109375" style="12" customWidth="1"/>
    <col min="2313" max="2314" width="1" style="12" customWidth="1"/>
    <col min="2315" max="2369" width="0" style="12" hidden="1" customWidth="1"/>
    <col min="2370" max="2371" width="1" style="12" customWidth="1"/>
    <col min="2372" max="2372" width="17.85546875" style="12" customWidth="1"/>
    <col min="2373" max="2376" width="1" style="12" customWidth="1"/>
    <col min="2377" max="2377" width="17.85546875" style="12" customWidth="1"/>
    <col min="2378" max="2381" width="1" style="12" customWidth="1"/>
    <col min="2382" max="2382" width="17.85546875" style="12" customWidth="1"/>
    <col min="2383" max="2384" width="1" style="12" customWidth="1"/>
    <col min="2385" max="2403" width="0" style="12" hidden="1" customWidth="1"/>
    <col min="2404" max="2404" width="1" style="12" customWidth="1"/>
    <col min="2405" max="2439" width="0" style="12" hidden="1" customWidth="1"/>
    <col min="2440" max="2441" width="1" style="12" customWidth="1"/>
    <col min="2442" max="2442" width="17.85546875" style="12" customWidth="1"/>
    <col min="2443" max="2446" width="1" style="12" customWidth="1"/>
    <col min="2447" max="2447" width="17.85546875" style="12" customWidth="1"/>
    <col min="2448" max="2449" width="1" style="12" customWidth="1"/>
    <col min="2450" max="2450" width="1.5703125" style="12" customWidth="1"/>
    <col min="2451" max="2451" width="0.7109375" style="12" customWidth="1"/>
    <col min="2452" max="2452" width="1.85546875" style="12" customWidth="1"/>
    <col min="2453" max="2453" width="10.7109375" style="12" customWidth="1"/>
    <col min="2454" max="2454" width="0" style="12" hidden="1" customWidth="1"/>
    <col min="2455" max="2560" width="10" style="12"/>
    <col min="2561" max="2561" width="1.5703125" style="12" customWidth="1"/>
    <col min="2562" max="2562" width="1.42578125" style="12" customWidth="1"/>
    <col min="2563" max="2563" width="57.5703125" style="12" customWidth="1"/>
    <col min="2564" max="2564" width="2.7109375" style="12" customWidth="1"/>
    <col min="2565" max="2565" width="0" style="12" hidden="1" customWidth="1"/>
    <col min="2566" max="2567" width="1" style="12" customWidth="1"/>
    <col min="2568" max="2568" width="19.7109375" style="12" customWidth="1"/>
    <col min="2569" max="2570" width="1" style="12" customWidth="1"/>
    <col min="2571" max="2625" width="0" style="12" hidden="1" customWidth="1"/>
    <col min="2626" max="2627" width="1" style="12" customWidth="1"/>
    <col min="2628" max="2628" width="17.85546875" style="12" customWidth="1"/>
    <col min="2629" max="2632" width="1" style="12" customWidth="1"/>
    <col min="2633" max="2633" width="17.85546875" style="12" customWidth="1"/>
    <col min="2634" max="2637" width="1" style="12" customWidth="1"/>
    <col min="2638" max="2638" width="17.85546875" style="12" customWidth="1"/>
    <col min="2639" max="2640" width="1" style="12" customWidth="1"/>
    <col min="2641" max="2659" width="0" style="12" hidden="1" customWidth="1"/>
    <col min="2660" max="2660" width="1" style="12" customWidth="1"/>
    <col min="2661" max="2695" width="0" style="12" hidden="1" customWidth="1"/>
    <col min="2696" max="2697" width="1" style="12" customWidth="1"/>
    <col min="2698" max="2698" width="17.85546875" style="12" customWidth="1"/>
    <col min="2699" max="2702" width="1" style="12" customWidth="1"/>
    <col min="2703" max="2703" width="17.85546875" style="12" customWidth="1"/>
    <col min="2704" max="2705" width="1" style="12" customWidth="1"/>
    <col min="2706" max="2706" width="1.5703125" style="12" customWidth="1"/>
    <col min="2707" max="2707" width="0.7109375" style="12" customWidth="1"/>
    <col min="2708" max="2708" width="1.85546875" style="12" customWidth="1"/>
    <col min="2709" max="2709" width="10.7109375" style="12" customWidth="1"/>
    <col min="2710" max="2710" width="0" style="12" hidden="1" customWidth="1"/>
    <col min="2711" max="2816" width="10" style="12"/>
    <col min="2817" max="2817" width="1.5703125" style="12" customWidth="1"/>
    <col min="2818" max="2818" width="1.42578125" style="12" customWidth="1"/>
    <col min="2819" max="2819" width="57.5703125" style="12" customWidth="1"/>
    <col min="2820" max="2820" width="2.7109375" style="12" customWidth="1"/>
    <col min="2821" max="2821" width="0" style="12" hidden="1" customWidth="1"/>
    <col min="2822" max="2823" width="1" style="12" customWidth="1"/>
    <col min="2824" max="2824" width="19.7109375" style="12" customWidth="1"/>
    <col min="2825" max="2826" width="1" style="12" customWidth="1"/>
    <col min="2827" max="2881" width="0" style="12" hidden="1" customWidth="1"/>
    <col min="2882" max="2883" width="1" style="12" customWidth="1"/>
    <col min="2884" max="2884" width="17.85546875" style="12" customWidth="1"/>
    <col min="2885" max="2888" width="1" style="12" customWidth="1"/>
    <col min="2889" max="2889" width="17.85546875" style="12" customWidth="1"/>
    <col min="2890" max="2893" width="1" style="12" customWidth="1"/>
    <col min="2894" max="2894" width="17.85546875" style="12" customWidth="1"/>
    <col min="2895" max="2896" width="1" style="12" customWidth="1"/>
    <col min="2897" max="2915" width="0" style="12" hidden="1" customWidth="1"/>
    <col min="2916" max="2916" width="1" style="12" customWidth="1"/>
    <col min="2917" max="2951" width="0" style="12" hidden="1" customWidth="1"/>
    <col min="2952" max="2953" width="1" style="12" customWidth="1"/>
    <col min="2954" max="2954" width="17.85546875" style="12" customWidth="1"/>
    <col min="2955" max="2958" width="1" style="12" customWidth="1"/>
    <col min="2959" max="2959" width="17.85546875" style="12" customWidth="1"/>
    <col min="2960" max="2961" width="1" style="12" customWidth="1"/>
    <col min="2962" max="2962" width="1.5703125" style="12" customWidth="1"/>
    <col min="2963" max="2963" width="0.7109375" style="12" customWidth="1"/>
    <col min="2964" max="2964" width="1.85546875" style="12" customWidth="1"/>
    <col min="2965" max="2965" width="10.7109375" style="12" customWidth="1"/>
    <col min="2966" max="2966" width="0" style="12" hidden="1" customWidth="1"/>
    <col min="2967" max="3072" width="10" style="12"/>
    <col min="3073" max="3073" width="1.5703125" style="12" customWidth="1"/>
    <col min="3074" max="3074" width="1.42578125" style="12" customWidth="1"/>
    <col min="3075" max="3075" width="57.5703125" style="12" customWidth="1"/>
    <col min="3076" max="3076" width="2.7109375" style="12" customWidth="1"/>
    <col min="3077" max="3077" width="0" style="12" hidden="1" customWidth="1"/>
    <col min="3078" max="3079" width="1" style="12" customWidth="1"/>
    <col min="3080" max="3080" width="19.7109375" style="12" customWidth="1"/>
    <col min="3081" max="3082" width="1" style="12" customWidth="1"/>
    <col min="3083" max="3137" width="0" style="12" hidden="1" customWidth="1"/>
    <col min="3138" max="3139" width="1" style="12" customWidth="1"/>
    <col min="3140" max="3140" width="17.85546875" style="12" customWidth="1"/>
    <col min="3141" max="3144" width="1" style="12" customWidth="1"/>
    <col min="3145" max="3145" width="17.85546875" style="12" customWidth="1"/>
    <col min="3146" max="3149" width="1" style="12" customWidth="1"/>
    <col min="3150" max="3150" width="17.85546875" style="12" customWidth="1"/>
    <col min="3151" max="3152" width="1" style="12" customWidth="1"/>
    <col min="3153" max="3171" width="0" style="12" hidden="1" customWidth="1"/>
    <col min="3172" max="3172" width="1" style="12" customWidth="1"/>
    <col min="3173" max="3207" width="0" style="12" hidden="1" customWidth="1"/>
    <col min="3208" max="3209" width="1" style="12" customWidth="1"/>
    <col min="3210" max="3210" width="17.85546875" style="12" customWidth="1"/>
    <col min="3211" max="3214" width="1" style="12" customWidth="1"/>
    <col min="3215" max="3215" width="17.85546875" style="12" customWidth="1"/>
    <col min="3216" max="3217" width="1" style="12" customWidth="1"/>
    <col min="3218" max="3218" width="1.5703125" style="12" customWidth="1"/>
    <col min="3219" max="3219" width="0.7109375" style="12" customWidth="1"/>
    <col min="3220" max="3220" width="1.85546875" style="12" customWidth="1"/>
    <col min="3221" max="3221" width="10.7109375" style="12" customWidth="1"/>
    <col min="3222" max="3222" width="0" style="12" hidden="1" customWidth="1"/>
    <col min="3223" max="3328" width="10" style="12"/>
    <col min="3329" max="3329" width="1.5703125" style="12" customWidth="1"/>
    <col min="3330" max="3330" width="1.42578125" style="12" customWidth="1"/>
    <col min="3331" max="3331" width="57.5703125" style="12" customWidth="1"/>
    <col min="3332" max="3332" width="2.7109375" style="12" customWidth="1"/>
    <col min="3333" max="3333" width="0" style="12" hidden="1" customWidth="1"/>
    <col min="3334" max="3335" width="1" style="12" customWidth="1"/>
    <col min="3336" max="3336" width="19.7109375" style="12" customWidth="1"/>
    <col min="3337" max="3338" width="1" style="12" customWidth="1"/>
    <col min="3339" max="3393" width="0" style="12" hidden="1" customWidth="1"/>
    <col min="3394" max="3395" width="1" style="12" customWidth="1"/>
    <col min="3396" max="3396" width="17.85546875" style="12" customWidth="1"/>
    <col min="3397" max="3400" width="1" style="12" customWidth="1"/>
    <col min="3401" max="3401" width="17.85546875" style="12" customWidth="1"/>
    <col min="3402" max="3405" width="1" style="12" customWidth="1"/>
    <col min="3406" max="3406" width="17.85546875" style="12" customWidth="1"/>
    <col min="3407" max="3408" width="1" style="12" customWidth="1"/>
    <col min="3409" max="3427" width="0" style="12" hidden="1" customWidth="1"/>
    <col min="3428" max="3428" width="1" style="12" customWidth="1"/>
    <col min="3429" max="3463" width="0" style="12" hidden="1" customWidth="1"/>
    <col min="3464" max="3465" width="1" style="12" customWidth="1"/>
    <col min="3466" max="3466" width="17.85546875" style="12" customWidth="1"/>
    <col min="3467" max="3470" width="1" style="12" customWidth="1"/>
    <col min="3471" max="3471" width="17.85546875" style="12" customWidth="1"/>
    <col min="3472" max="3473" width="1" style="12" customWidth="1"/>
    <col min="3474" max="3474" width="1.5703125" style="12" customWidth="1"/>
    <col min="3475" max="3475" width="0.7109375" style="12" customWidth="1"/>
    <col min="3476" max="3476" width="1.85546875" style="12" customWidth="1"/>
    <col min="3477" max="3477" width="10.7109375" style="12" customWidth="1"/>
    <col min="3478" max="3478" width="0" style="12" hidden="1" customWidth="1"/>
    <col min="3479" max="3584" width="10" style="12"/>
    <col min="3585" max="3585" width="1.5703125" style="12" customWidth="1"/>
    <col min="3586" max="3586" width="1.42578125" style="12" customWidth="1"/>
    <col min="3587" max="3587" width="57.5703125" style="12" customWidth="1"/>
    <col min="3588" max="3588" width="2.7109375" style="12" customWidth="1"/>
    <col min="3589" max="3589" width="0" style="12" hidden="1" customWidth="1"/>
    <col min="3590" max="3591" width="1" style="12" customWidth="1"/>
    <col min="3592" max="3592" width="19.7109375" style="12" customWidth="1"/>
    <col min="3593" max="3594" width="1" style="12" customWidth="1"/>
    <col min="3595" max="3649" width="0" style="12" hidden="1" customWidth="1"/>
    <col min="3650" max="3651" width="1" style="12" customWidth="1"/>
    <col min="3652" max="3652" width="17.85546875" style="12" customWidth="1"/>
    <col min="3653" max="3656" width="1" style="12" customWidth="1"/>
    <col min="3657" max="3657" width="17.85546875" style="12" customWidth="1"/>
    <col min="3658" max="3661" width="1" style="12" customWidth="1"/>
    <col min="3662" max="3662" width="17.85546875" style="12" customWidth="1"/>
    <col min="3663" max="3664" width="1" style="12" customWidth="1"/>
    <col min="3665" max="3683" width="0" style="12" hidden="1" customWidth="1"/>
    <col min="3684" max="3684" width="1" style="12" customWidth="1"/>
    <col min="3685" max="3719" width="0" style="12" hidden="1" customWidth="1"/>
    <col min="3720" max="3721" width="1" style="12" customWidth="1"/>
    <col min="3722" max="3722" width="17.85546875" style="12" customWidth="1"/>
    <col min="3723" max="3726" width="1" style="12" customWidth="1"/>
    <col min="3727" max="3727" width="17.85546875" style="12" customWidth="1"/>
    <col min="3728" max="3729" width="1" style="12" customWidth="1"/>
    <col min="3730" max="3730" width="1.5703125" style="12" customWidth="1"/>
    <col min="3731" max="3731" width="0.7109375" style="12" customWidth="1"/>
    <col min="3732" max="3732" width="1.85546875" style="12" customWidth="1"/>
    <col min="3733" max="3733" width="10.7109375" style="12" customWidth="1"/>
    <col min="3734" max="3734" width="0" style="12" hidden="1" customWidth="1"/>
    <col min="3735" max="3840" width="10" style="12"/>
    <col min="3841" max="3841" width="1.5703125" style="12" customWidth="1"/>
    <col min="3842" max="3842" width="1.42578125" style="12" customWidth="1"/>
    <col min="3843" max="3843" width="57.5703125" style="12" customWidth="1"/>
    <col min="3844" max="3844" width="2.7109375" style="12" customWidth="1"/>
    <col min="3845" max="3845" width="0" style="12" hidden="1" customWidth="1"/>
    <col min="3846" max="3847" width="1" style="12" customWidth="1"/>
    <col min="3848" max="3848" width="19.7109375" style="12" customWidth="1"/>
    <col min="3849" max="3850" width="1" style="12" customWidth="1"/>
    <col min="3851" max="3905" width="0" style="12" hidden="1" customWidth="1"/>
    <col min="3906" max="3907" width="1" style="12" customWidth="1"/>
    <col min="3908" max="3908" width="17.85546875" style="12" customWidth="1"/>
    <col min="3909" max="3912" width="1" style="12" customWidth="1"/>
    <col min="3913" max="3913" width="17.85546875" style="12" customWidth="1"/>
    <col min="3914" max="3917" width="1" style="12" customWidth="1"/>
    <col min="3918" max="3918" width="17.85546875" style="12" customWidth="1"/>
    <col min="3919" max="3920" width="1" style="12" customWidth="1"/>
    <col min="3921" max="3939" width="0" style="12" hidden="1" customWidth="1"/>
    <col min="3940" max="3940" width="1" style="12" customWidth="1"/>
    <col min="3941" max="3975" width="0" style="12" hidden="1" customWidth="1"/>
    <col min="3976" max="3977" width="1" style="12" customWidth="1"/>
    <col min="3978" max="3978" width="17.85546875" style="12" customWidth="1"/>
    <col min="3979" max="3982" width="1" style="12" customWidth="1"/>
    <col min="3983" max="3983" width="17.85546875" style="12" customWidth="1"/>
    <col min="3984" max="3985" width="1" style="12" customWidth="1"/>
    <col min="3986" max="3986" width="1.5703125" style="12" customWidth="1"/>
    <col min="3987" max="3987" width="0.7109375" style="12" customWidth="1"/>
    <col min="3988" max="3988" width="1.85546875" style="12" customWidth="1"/>
    <col min="3989" max="3989" width="10.7109375" style="12" customWidth="1"/>
    <col min="3990" max="3990" width="0" style="12" hidden="1" customWidth="1"/>
    <col min="3991" max="4096" width="10" style="12"/>
    <col min="4097" max="4097" width="1.5703125" style="12" customWidth="1"/>
    <col min="4098" max="4098" width="1.42578125" style="12" customWidth="1"/>
    <col min="4099" max="4099" width="57.5703125" style="12" customWidth="1"/>
    <col min="4100" max="4100" width="2.7109375" style="12" customWidth="1"/>
    <col min="4101" max="4101" width="0" style="12" hidden="1" customWidth="1"/>
    <col min="4102" max="4103" width="1" style="12" customWidth="1"/>
    <col min="4104" max="4104" width="19.7109375" style="12" customWidth="1"/>
    <col min="4105" max="4106" width="1" style="12" customWidth="1"/>
    <col min="4107" max="4161" width="0" style="12" hidden="1" customWidth="1"/>
    <col min="4162" max="4163" width="1" style="12" customWidth="1"/>
    <col min="4164" max="4164" width="17.85546875" style="12" customWidth="1"/>
    <col min="4165" max="4168" width="1" style="12" customWidth="1"/>
    <col min="4169" max="4169" width="17.85546875" style="12" customWidth="1"/>
    <col min="4170" max="4173" width="1" style="12" customWidth="1"/>
    <col min="4174" max="4174" width="17.85546875" style="12" customWidth="1"/>
    <col min="4175" max="4176" width="1" style="12" customWidth="1"/>
    <col min="4177" max="4195" width="0" style="12" hidden="1" customWidth="1"/>
    <col min="4196" max="4196" width="1" style="12" customWidth="1"/>
    <col min="4197" max="4231" width="0" style="12" hidden="1" customWidth="1"/>
    <col min="4232" max="4233" width="1" style="12" customWidth="1"/>
    <col min="4234" max="4234" width="17.85546875" style="12" customWidth="1"/>
    <col min="4235" max="4238" width="1" style="12" customWidth="1"/>
    <col min="4239" max="4239" width="17.85546875" style="12" customWidth="1"/>
    <col min="4240" max="4241" width="1" style="12" customWidth="1"/>
    <col min="4242" max="4242" width="1.5703125" style="12" customWidth="1"/>
    <col min="4243" max="4243" width="0.7109375" style="12" customWidth="1"/>
    <col min="4244" max="4244" width="1.85546875" style="12" customWidth="1"/>
    <col min="4245" max="4245" width="10.7109375" style="12" customWidth="1"/>
    <col min="4246" max="4246" width="0" style="12" hidden="1" customWidth="1"/>
    <col min="4247" max="4352" width="10" style="12"/>
    <col min="4353" max="4353" width="1.5703125" style="12" customWidth="1"/>
    <col min="4354" max="4354" width="1.42578125" style="12" customWidth="1"/>
    <col min="4355" max="4355" width="57.5703125" style="12" customWidth="1"/>
    <col min="4356" max="4356" width="2.7109375" style="12" customWidth="1"/>
    <col min="4357" max="4357" width="0" style="12" hidden="1" customWidth="1"/>
    <col min="4358" max="4359" width="1" style="12" customWidth="1"/>
    <col min="4360" max="4360" width="19.7109375" style="12" customWidth="1"/>
    <col min="4361" max="4362" width="1" style="12" customWidth="1"/>
    <col min="4363" max="4417" width="0" style="12" hidden="1" customWidth="1"/>
    <col min="4418" max="4419" width="1" style="12" customWidth="1"/>
    <col min="4420" max="4420" width="17.85546875" style="12" customWidth="1"/>
    <col min="4421" max="4424" width="1" style="12" customWidth="1"/>
    <col min="4425" max="4425" width="17.85546875" style="12" customWidth="1"/>
    <col min="4426" max="4429" width="1" style="12" customWidth="1"/>
    <col min="4430" max="4430" width="17.85546875" style="12" customWidth="1"/>
    <col min="4431" max="4432" width="1" style="12" customWidth="1"/>
    <col min="4433" max="4451" width="0" style="12" hidden="1" customWidth="1"/>
    <col min="4452" max="4452" width="1" style="12" customWidth="1"/>
    <col min="4453" max="4487" width="0" style="12" hidden="1" customWidth="1"/>
    <col min="4488" max="4489" width="1" style="12" customWidth="1"/>
    <col min="4490" max="4490" width="17.85546875" style="12" customWidth="1"/>
    <col min="4491" max="4494" width="1" style="12" customWidth="1"/>
    <col min="4495" max="4495" width="17.85546875" style="12" customWidth="1"/>
    <col min="4496" max="4497" width="1" style="12" customWidth="1"/>
    <col min="4498" max="4498" width="1.5703125" style="12" customWidth="1"/>
    <col min="4499" max="4499" width="0.7109375" style="12" customWidth="1"/>
    <col min="4500" max="4500" width="1.85546875" style="12" customWidth="1"/>
    <col min="4501" max="4501" width="10.7109375" style="12" customWidth="1"/>
    <col min="4502" max="4502" width="0" style="12" hidden="1" customWidth="1"/>
    <col min="4503" max="4608" width="10" style="12"/>
    <col min="4609" max="4609" width="1.5703125" style="12" customWidth="1"/>
    <col min="4610" max="4610" width="1.42578125" style="12" customWidth="1"/>
    <col min="4611" max="4611" width="57.5703125" style="12" customWidth="1"/>
    <col min="4612" max="4612" width="2.7109375" style="12" customWidth="1"/>
    <col min="4613" max="4613" width="0" style="12" hidden="1" customWidth="1"/>
    <col min="4614" max="4615" width="1" style="12" customWidth="1"/>
    <col min="4616" max="4616" width="19.7109375" style="12" customWidth="1"/>
    <col min="4617" max="4618" width="1" style="12" customWidth="1"/>
    <col min="4619" max="4673" width="0" style="12" hidden="1" customWidth="1"/>
    <col min="4674" max="4675" width="1" style="12" customWidth="1"/>
    <col min="4676" max="4676" width="17.85546875" style="12" customWidth="1"/>
    <col min="4677" max="4680" width="1" style="12" customWidth="1"/>
    <col min="4681" max="4681" width="17.85546875" style="12" customWidth="1"/>
    <col min="4682" max="4685" width="1" style="12" customWidth="1"/>
    <col min="4686" max="4686" width="17.85546875" style="12" customWidth="1"/>
    <col min="4687" max="4688" width="1" style="12" customWidth="1"/>
    <col min="4689" max="4707" width="0" style="12" hidden="1" customWidth="1"/>
    <col min="4708" max="4708" width="1" style="12" customWidth="1"/>
    <col min="4709" max="4743" width="0" style="12" hidden="1" customWidth="1"/>
    <col min="4744" max="4745" width="1" style="12" customWidth="1"/>
    <col min="4746" max="4746" width="17.85546875" style="12" customWidth="1"/>
    <col min="4747" max="4750" width="1" style="12" customWidth="1"/>
    <col min="4751" max="4751" width="17.85546875" style="12" customWidth="1"/>
    <col min="4752" max="4753" width="1" style="12" customWidth="1"/>
    <col min="4754" max="4754" width="1.5703125" style="12" customWidth="1"/>
    <col min="4755" max="4755" width="0.7109375" style="12" customWidth="1"/>
    <col min="4756" max="4756" width="1.85546875" style="12" customWidth="1"/>
    <col min="4757" max="4757" width="10.7109375" style="12" customWidth="1"/>
    <col min="4758" max="4758" width="0" style="12" hidden="1" customWidth="1"/>
    <col min="4759" max="4864" width="10" style="12"/>
    <col min="4865" max="4865" width="1.5703125" style="12" customWidth="1"/>
    <col min="4866" max="4866" width="1.42578125" style="12" customWidth="1"/>
    <col min="4867" max="4867" width="57.5703125" style="12" customWidth="1"/>
    <col min="4868" max="4868" width="2.7109375" style="12" customWidth="1"/>
    <col min="4869" max="4869" width="0" style="12" hidden="1" customWidth="1"/>
    <col min="4870" max="4871" width="1" style="12" customWidth="1"/>
    <col min="4872" max="4872" width="19.7109375" style="12" customWidth="1"/>
    <col min="4873" max="4874" width="1" style="12" customWidth="1"/>
    <col min="4875" max="4929" width="0" style="12" hidden="1" customWidth="1"/>
    <col min="4930" max="4931" width="1" style="12" customWidth="1"/>
    <col min="4932" max="4932" width="17.85546875" style="12" customWidth="1"/>
    <col min="4933" max="4936" width="1" style="12" customWidth="1"/>
    <col min="4937" max="4937" width="17.85546875" style="12" customWidth="1"/>
    <col min="4938" max="4941" width="1" style="12" customWidth="1"/>
    <col min="4942" max="4942" width="17.85546875" style="12" customWidth="1"/>
    <col min="4943" max="4944" width="1" style="12" customWidth="1"/>
    <col min="4945" max="4963" width="0" style="12" hidden="1" customWidth="1"/>
    <col min="4964" max="4964" width="1" style="12" customWidth="1"/>
    <col min="4965" max="4999" width="0" style="12" hidden="1" customWidth="1"/>
    <col min="5000" max="5001" width="1" style="12" customWidth="1"/>
    <col min="5002" max="5002" width="17.85546875" style="12" customWidth="1"/>
    <col min="5003" max="5006" width="1" style="12" customWidth="1"/>
    <col min="5007" max="5007" width="17.85546875" style="12" customWidth="1"/>
    <col min="5008" max="5009" width="1" style="12" customWidth="1"/>
    <col min="5010" max="5010" width="1.5703125" style="12" customWidth="1"/>
    <col min="5011" max="5011" width="0.7109375" style="12" customWidth="1"/>
    <col min="5012" max="5012" width="1.85546875" style="12" customWidth="1"/>
    <col min="5013" max="5013" width="10.7109375" style="12" customWidth="1"/>
    <col min="5014" max="5014" width="0" style="12" hidden="1" customWidth="1"/>
    <col min="5015" max="5120" width="10" style="12"/>
    <col min="5121" max="5121" width="1.5703125" style="12" customWidth="1"/>
    <col min="5122" max="5122" width="1.42578125" style="12" customWidth="1"/>
    <col min="5123" max="5123" width="57.5703125" style="12" customWidth="1"/>
    <col min="5124" max="5124" width="2.7109375" style="12" customWidth="1"/>
    <col min="5125" max="5125" width="0" style="12" hidden="1" customWidth="1"/>
    <col min="5126" max="5127" width="1" style="12" customWidth="1"/>
    <col min="5128" max="5128" width="19.7109375" style="12" customWidth="1"/>
    <col min="5129" max="5130" width="1" style="12" customWidth="1"/>
    <col min="5131" max="5185" width="0" style="12" hidden="1" customWidth="1"/>
    <col min="5186" max="5187" width="1" style="12" customWidth="1"/>
    <col min="5188" max="5188" width="17.85546875" style="12" customWidth="1"/>
    <col min="5189" max="5192" width="1" style="12" customWidth="1"/>
    <col min="5193" max="5193" width="17.85546875" style="12" customWidth="1"/>
    <col min="5194" max="5197" width="1" style="12" customWidth="1"/>
    <col min="5198" max="5198" width="17.85546875" style="12" customWidth="1"/>
    <col min="5199" max="5200" width="1" style="12" customWidth="1"/>
    <col min="5201" max="5219" width="0" style="12" hidden="1" customWidth="1"/>
    <col min="5220" max="5220" width="1" style="12" customWidth="1"/>
    <col min="5221" max="5255" width="0" style="12" hidden="1" customWidth="1"/>
    <col min="5256" max="5257" width="1" style="12" customWidth="1"/>
    <col min="5258" max="5258" width="17.85546875" style="12" customWidth="1"/>
    <col min="5259" max="5262" width="1" style="12" customWidth="1"/>
    <col min="5263" max="5263" width="17.85546875" style="12" customWidth="1"/>
    <col min="5264" max="5265" width="1" style="12" customWidth="1"/>
    <col min="5266" max="5266" width="1.5703125" style="12" customWidth="1"/>
    <col min="5267" max="5267" width="0.7109375" style="12" customWidth="1"/>
    <col min="5268" max="5268" width="1.85546875" style="12" customWidth="1"/>
    <col min="5269" max="5269" width="10.7109375" style="12" customWidth="1"/>
    <col min="5270" max="5270" width="0" style="12" hidden="1" customWidth="1"/>
    <col min="5271" max="5376" width="10" style="12"/>
    <col min="5377" max="5377" width="1.5703125" style="12" customWidth="1"/>
    <col min="5378" max="5378" width="1.42578125" style="12" customWidth="1"/>
    <col min="5379" max="5379" width="57.5703125" style="12" customWidth="1"/>
    <col min="5380" max="5380" width="2.7109375" style="12" customWidth="1"/>
    <col min="5381" max="5381" width="0" style="12" hidden="1" customWidth="1"/>
    <col min="5382" max="5383" width="1" style="12" customWidth="1"/>
    <col min="5384" max="5384" width="19.7109375" style="12" customWidth="1"/>
    <col min="5385" max="5386" width="1" style="12" customWidth="1"/>
    <col min="5387" max="5441" width="0" style="12" hidden="1" customWidth="1"/>
    <col min="5442" max="5443" width="1" style="12" customWidth="1"/>
    <col min="5444" max="5444" width="17.85546875" style="12" customWidth="1"/>
    <col min="5445" max="5448" width="1" style="12" customWidth="1"/>
    <col min="5449" max="5449" width="17.85546875" style="12" customWidth="1"/>
    <col min="5450" max="5453" width="1" style="12" customWidth="1"/>
    <col min="5454" max="5454" width="17.85546875" style="12" customWidth="1"/>
    <col min="5455" max="5456" width="1" style="12" customWidth="1"/>
    <col min="5457" max="5475" width="0" style="12" hidden="1" customWidth="1"/>
    <col min="5476" max="5476" width="1" style="12" customWidth="1"/>
    <col min="5477" max="5511" width="0" style="12" hidden="1" customWidth="1"/>
    <col min="5512" max="5513" width="1" style="12" customWidth="1"/>
    <col min="5514" max="5514" width="17.85546875" style="12" customWidth="1"/>
    <col min="5515" max="5518" width="1" style="12" customWidth="1"/>
    <col min="5519" max="5519" width="17.85546875" style="12" customWidth="1"/>
    <col min="5520" max="5521" width="1" style="12" customWidth="1"/>
    <col min="5522" max="5522" width="1.5703125" style="12" customWidth="1"/>
    <col min="5523" max="5523" width="0.7109375" style="12" customWidth="1"/>
    <col min="5524" max="5524" width="1.85546875" style="12" customWidth="1"/>
    <col min="5525" max="5525" width="10.7109375" style="12" customWidth="1"/>
    <col min="5526" max="5526" width="0" style="12" hidden="1" customWidth="1"/>
    <col min="5527" max="5632" width="10" style="12"/>
    <col min="5633" max="5633" width="1.5703125" style="12" customWidth="1"/>
    <col min="5634" max="5634" width="1.42578125" style="12" customWidth="1"/>
    <col min="5635" max="5635" width="57.5703125" style="12" customWidth="1"/>
    <col min="5636" max="5636" width="2.7109375" style="12" customWidth="1"/>
    <col min="5637" max="5637" width="0" style="12" hidden="1" customWidth="1"/>
    <col min="5638" max="5639" width="1" style="12" customWidth="1"/>
    <col min="5640" max="5640" width="19.7109375" style="12" customWidth="1"/>
    <col min="5641" max="5642" width="1" style="12" customWidth="1"/>
    <col min="5643" max="5697" width="0" style="12" hidden="1" customWidth="1"/>
    <col min="5698" max="5699" width="1" style="12" customWidth="1"/>
    <col min="5700" max="5700" width="17.85546875" style="12" customWidth="1"/>
    <col min="5701" max="5704" width="1" style="12" customWidth="1"/>
    <col min="5705" max="5705" width="17.85546875" style="12" customWidth="1"/>
    <col min="5706" max="5709" width="1" style="12" customWidth="1"/>
    <col min="5710" max="5710" width="17.85546875" style="12" customWidth="1"/>
    <col min="5711" max="5712" width="1" style="12" customWidth="1"/>
    <col min="5713" max="5731" width="0" style="12" hidden="1" customWidth="1"/>
    <col min="5732" max="5732" width="1" style="12" customWidth="1"/>
    <col min="5733" max="5767" width="0" style="12" hidden="1" customWidth="1"/>
    <col min="5768" max="5769" width="1" style="12" customWidth="1"/>
    <col min="5770" max="5770" width="17.85546875" style="12" customWidth="1"/>
    <col min="5771" max="5774" width="1" style="12" customWidth="1"/>
    <col min="5775" max="5775" width="17.85546875" style="12" customWidth="1"/>
    <col min="5776" max="5777" width="1" style="12" customWidth="1"/>
    <col min="5778" max="5778" width="1.5703125" style="12" customWidth="1"/>
    <col min="5779" max="5779" width="0.7109375" style="12" customWidth="1"/>
    <col min="5780" max="5780" width="1.85546875" style="12" customWidth="1"/>
    <col min="5781" max="5781" width="10.7109375" style="12" customWidth="1"/>
    <col min="5782" max="5782" width="0" style="12" hidden="1" customWidth="1"/>
    <col min="5783" max="5888" width="10" style="12"/>
    <col min="5889" max="5889" width="1.5703125" style="12" customWidth="1"/>
    <col min="5890" max="5890" width="1.42578125" style="12" customWidth="1"/>
    <col min="5891" max="5891" width="57.5703125" style="12" customWidth="1"/>
    <col min="5892" max="5892" width="2.7109375" style="12" customWidth="1"/>
    <col min="5893" max="5893" width="0" style="12" hidden="1" customWidth="1"/>
    <col min="5894" max="5895" width="1" style="12" customWidth="1"/>
    <col min="5896" max="5896" width="19.7109375" style="12" customWidth="1"/>
    <col min="5897" max="5898" width="1" style="12" customWidth="1"/>
    <col min="5899" max="5953" width="0" style="12" hidden="1" customWidth="1"/>
    <col min="5954" max="5955" width="1" style="12" customWidth="1"/>
    <col min="5956" max="5956" width="17.85546875" style="12" customWidth="1"/>
    <col min="5957" max="5960" width="1" style="12" customWidth="1"/>
    <col min="5961" max="5961" width="17.85546875" style="12" customWidth="1"/>
    <col min="5962" max="5965" width="1" style="12" customWidth="1"/>
    <col min="5966" max="5966" width="17.85546875" style="12" customWidth="1"/>
    <col min="5967" max="5968" width="1" style="12" customWidth="1"/>
    <col min="5969" max="5987" width="0" style="12" hidden="1" customWidth="1"/>
    <col min="5988" max="5988" width="1" style="12" customWidth="1"/>
    <col min="5989" max="6023" width="0" style="12" hidden="1" customWidth="1"/>
    <col min="6024" max="6025" width="1" style="12" customWidth="1"/>
    <col min="6026" max="6026" width="17.85546875" style="12" customWidth="1"/>
    <col min="6027" max="6030" width="1" style="12" customWidth="1"/>
    <col min="6031" max="6031" width="17.85546875" style="12" customWidth="1"/>
    <col min="6032" max="6033" width="1" style="12" customWidth="1"/>
    <col min="6034" max="6034" width="1.5703125" style="12" customWidth="1"/>
    <col min="6035" max="6035" width="0.7109375" style="12" customWidth="1"/>
    <col min="6036" max="6036" width="1.85546875" style="12" customWidth="1"/>
    <col min="6037" max="6037" width="10.7109375" style="12" customWidth="1"/>
    <col min="6038" max="6038" width="0" style="12" hidden="1" customWidth="1"/>
    <col min="6039" max="6144" width="10" style="12"/>
    <col min="6145" max="6145" width="1.5703125" style="12" customWidth="1"/>
    <col min="6146" max="6146" width="1.42578125" style="12" customWidth="1"/>
    <col min="6147" max="6147" width="57.5703125" style="12" customWidth="1"/>
    <col min="6148" max="6148" width="2.7109375" style="12" customWidth="1"/>
    <col min="6149" max="6149" width="0" style="12" hidden="1" customWidth="1"/>
    <col min="6150" max="6151" width="1" style="12" customWidth="1"/>
    <col min="6152" max="6152" width="19.7109375" style="12" customWidth="1"/>
    <col min="6153" max="6154" width="1" style="12" customWidth="1"/>
    <col min="6155" max="6209" width="0" style="12" hidden="1" customWidth="1"/>
    <col min="6210" max="6211" width="1" style="12" customWidth="1"/>
    <col min="6212" max="6212" width="17.85546875" style="12" customWidth="1"/>
    <col min="6213" max="6216" width="1" style="12" customWidth="1"/>
    <col min="6217" max="6217" width="17.85546875" style="12" customWidth="1"/>
    <col min="6218" max="6221" width="1" style="12" customWidth="1"/>
    <col min="6222" max="6222" width="17.85546875" style="12" customWidth="1"/>
    <col min="6223" max="6224" width="1" style="12" customWidth="1"/>
    <col min="6225" max="6243" width="0" style="12" hidden="1" customWidth="1"/>
    <col min="6244" max="6244" width="1" style="12" customWidth="1"/>
    <col min="6245" max="6279" width="0" style="12" hidden="1" customWidth="1"/>
    <col min="6280" max="6281" width="1" style="12" customWidth="1"/>
    <col min="6282" max="6282" width="17.85546875" style="12" customWidth="1"/>
    <col min="6283" max="6286" width="1" style="12" customWidth="1"/>
    <col min="6287" max="6287" width="17.85546875" style="12" customWidth="1"/>
    <col min="6288" max="6289" width="1" style="12" customWidth="1"/>
    <col min="6290" max="6290" width="1.5703125" style="12" customWidth="1"/>
    <col min="6291" max="6291" width="0.7109375" style="12" customWidth="1"/>
    <col min="6292" max="6292" width="1.85546875" style="12" customWidth="1"/>
    <col min="6293" max="6293" width="10.7109375" style="12" customWidth="1"/>
    <col min="6294" max="6294" width="0" style="12" hidden="1" customWidth="1"/>
    <col min="6295" max="6400" width="10" style="12"/>
    <col min="6401" max="6401" width="1.5703125" style="12" customWidth="1"/>
    <col min="6402" max="6402" width="1.42578125" style="12" customWidth="1"/>
    <col min="6403" max="6403" width="57.5703125" style="12" customWidth="1"/>
    <col min="6404" max="6404" width="2.7109375" style="12" customWidth="1"/>
    <col min="6405" max="6405" width="0" style="12" hidden="1" customWidth="1"/>
    <col min="6406" max="6407" width="1" style="12" customWidth="1"/>
    <col min="6408" max="6408" width="19.7109375" style="12" customWidth="1"/>
    <col min="6409" max="6410" width="1" style="12" customWidth="1"/>
    <col min="6411" max="6465" width="0" style="12" hidden="1" customWidth="1"/>
    <col min="6466" max="6467" width="1" style="12" customWidth="1"/>
    <col min="6468" max="6468" width="17.85546875" style="12" customWidth="1"/>
    <col min="6469" max="6472" width="1" style="12" customWidth="1"/>
    <col min="6473" max="6473" width="17.85546875" style="12" customWidth="1"/>
    <col min="6474" max="6477" width="1" style="12" customWidth="1"/>
    <col min="6478" max="6478" width="17.85546875" style="12" customWidth="1"/>
    <col min="6479" max="6480" width="1" style="12" customWidth="1"/>
    <col min="6481" max="6499" width="0" style="12" hidden="1" customWidth="1"/>
    <col min="6500" max="6500" width="1" style="12" customWidth="1"/>
    <col min="6501" max="6535" width="0" style="12" hidden="1" customWidth="1"/>
    <col min="6536" max="6537" width="1" style="12" customWidth="1"/>
    <col min="6538" max="6538" width="17.85546875" style="12" customWidth="1"/>
    <col min="6539" max="6542" width="1" style="12" customWidth="1"/>
    <col min="6543" max="6543" width="17.85546875" style="12" customWidth="1"/>
    <col min="6544" max="6545" width="1" style="12" customWidth="1"/>
    <col min="6546" max="6546" width="1.5703125" style="12" customWidth="1"/>
    <col min="6547" max="6547" width="0.7109375" style="12" customWidth="1"/>
    <col min="6548" max="6548" width="1.85546875" style="12" customWidth="1"/>
    <col min="6549" max="6549" width="10.7109375" style="12" customWidth="1"/>
    <col min="6550" max="6550" width="0" style="12" hidden="1" customWidth="1"/>
    <col min="6551" max="6656" width="10" style="12"/>
    <col min="6657" max="6657" width="1.5703125" style="12" customWidth="1"/>
    <col min="6658" max="6658" width="1.42578125" style="12" customWidth="1"/>
    <col min="6659" max="6659" width="57.5703125" style="12" customWidth="1"/>
    <col min="6660" max="6660" width="2.7109375" style="12" customWidth="1"/>
    <col min="6661" max="6661" width="0" style="12" hidden="1" customWidth="1"/>
    <col min="6662" max="6663" width="1" style="12" customWidth="1"/>
    <col min="6664" max="6664" width="19.7109375" style="12" customWidth="1"/>
    <col min="6665" max="6666" width="1" style="12" customWidth="1"/>
    <col min="6667" max="6721" width="0" style="12" hidden="1" customWidth="1"/>
    <col min="6722" max="6723" width="1" style="12" customWidth="1"/>
    <col min="6724" max="6724" width="17.85546875" style="12" customWidth="1"/>
    <col min="6725" max="6728" width="1" style="12" customWidth="1"/>
    <col min="6729" max="6729" width="17.85546875" style="12" customWidth="1"/>
    <col min="6730" max="6733" width="1" style="12" customWidth="1"/>
    <col min="6734" max="6734" width="17.85546875" style="12" customWidth="1"/>
    <col min="6735" max="6736" width="1" style="12" customWidth="1"/>
    <col min="6737" max="6755" width="0" style="12" hidden="1" customWidth="1"/>
    <col min="6756" max="6756" width="1" style="12" customWidth="1"/>
    <col min="6757" max="6791" width="0" style="12" hidden="1" customWidth="1"/>
    <col min="6792" max="6793" width="1" style="12" customWidth="1"/>
    <col min="6794" max="6794" width="17.85546875" style="12" customWidth="1"/>
    <col min="6795" max="6798" width="1" style="12" customWidth="1"/>
    <col min="6799" max="6799" width="17.85546875" style="12" customWidth="1"/>
    <col min="6800" max="6801" width="1" style="12" customWidth="1"/>
    <col min="6802" max="6802" width="1.5703125" style="12" customWidth="1"/>
    <col min="6803" max="6803" width="0.7109375" style="12" customWidth="1"/>
    <col min="6804" max="6804" width="1.85546875" style="12" customWidth="1"/>
    <col min="6805" max="6805" width="10.7109375" style="12" customWidth="1"/>
    <col min="6806" max="6806" width="0" style="12" hidden="1" customWidth="1"/>
    <col min="6807" max="6912" width="10" style="12"/>
    <col min="6913" max="6913" width="1.5703125" style="12" customWidth="1"/>
    <col min="6914" max="6914" width="1.42578125" style="12" customWidth="1"/>
    <col min="6915" max="6915" width="57.5703125" style="12" customWidth="1"/>
    <col min="6916" max="6916" width="2.7109375" style="12" customWidth="1"/>
    <col min="6917" max="6917" width="0" style="12" hidden="1" customWidth="1"/>
    <col min="6918" max="6919" width="1" style="12" customWidth="1"/>
    <col min="6920" max="6920" width="19.7109375" style="12" customWidth="1"/>
    <col min="6921" max="6922" width="1" style="12" customWidth="1"/>
    <col min="6923" max="6977" width="0" style="12" hidden="1" customWidth="1"/>
    <col min="6978" max="6979" width="1" style="12" customWidth="1"/>
    <col min="6980" max="6980" width="17.85546875" style="12" customWidth="1"/>
    <col min="6981" max="6984" width="1" style="12" customWidth="1"/>
    <col min="6985" max="6985" width="17.85546875" style="12" customWidth="1"/>
    <col min="6986" max="6989" width="1" style="12" customWidth="1"/>
    <col min="6990" max="6990" width="17.85546875" style="12" customWidth="1"/>
    <col min="6991" max="6992" width="1" style="12" customWidth="1"/>
    <col min="6993" max="7011" width="0" style="12" hidden="1" customWidth="1"/>
    <col min="7012" max="7012" width="1" style="12" customWidth="1"/>
    <col min="7013" max="7047" width="0" style="12" hidden="1" customWidth="1"/>
    <col min="7048" max="7049" width="1" style="12" customWidth="1"/>
    <col min="7050" max="7050" width="17.85546875" style="12" customWidth="1"/>
    <col min="7051" max="7054" width="1" style="12" customWidth="1"/>
    <col min="7055" max="7055" width="17.85546875" style="12" customWidth="1"/>
    <col min="7056" max="7057" width="1" style="12" customWidth="1"/>
    <col min="7058" max="7058" width="1.5703125" style="12" customWidth="1"/>
    <col min="7059" max="7059" width="0.7109375" style="12" customWidth="1"/>
    <col min="7060" max="7060" width="1.85546875" style="12" customWidth="1"/>
    <col min="7061" max="7061" width="10.7109375" style="12" customWidth="1"/>
    <col min="7062" max="7062" width="0" style="12" hidden="1" customWidth="1"/>
    <col min="7063" max="7168" width="10" style="12"/>
    <col min="7169" max="7169" width="1.5703125" style="12" customWidth="1"/>
    <col min="7170" max="7170" width="1.42578125" style="12" customWidth="1"/>
    <col min="7171" max="7171" width="57.5703125" style="12" customWidth="1"/>
    <col min="7172" max="7172" width="2.7109375" style="12" customWidth="1"/>
    <col min="7173" max="7173" width="0" style="12" hidden="1" customWidth="1"/>
    <col min="7174" max="7175" width="1" style="12" customWidth="1"/>
    <col min="7176" max="7176" width="19.7109375" style="12" customWidth="1"/>
    <col min="7177" max="7178" width="1" style="12" customWidth="1"/>
    <col min="7179" max="7233" width="0" style="12" hidden="1" customWidth="1"/>
    <col min="7234" max="7235" width="1" style="12" customWidth="1"/>
    <col min="7236" max="7236" width="17.85546875" style="12" customWidth="1"/>
    <col min="7237" max="7240" width="1" style="12" customWidth="1"/>
    <col min="7241" max="7241" width="17.85546875" style="12" customWidth="1"/>
    <col min="7242" max="7245" width="1" style="12" customWidth="1"/>
    <col min="7246" max="7246" width="17.85546875" style="12" customWidth="1"/>
    <col min="7247" max="7248" width="1" style="12" customWidth="1"/>
    <col min="7249" max="7267" width="0" style="12" hidden="1" customWidth="1"/>
    <col min="7268" max="7268" width="1" style="12" customWidth="1"/>
    <col min="7269" max="7303" width="0" style="12" hidden="1" customWidth="1"/>
    <col min="7304" max="7305" width="1" style="12" customWidth="1"/>
    <col min="7306" max="7306" width="17.85546875" style="12" customWidth="1"/>
    <col min="7307" max="7310" width="1" style="12" customWidth="1"/>
    <col min="7311" max="7311" width="17.85546875" style="12" customWidth="1"/>
    <col min="7312" max="7313" width="1" style="12" customWidth="1"/>
    <col min="7314" max="7314" width="1.5703125" style="12" customWidth="1"/>
    <col min="7315" max="7315" width="0.7109375" style="12" customWidth="1"/>
    <col min="7316" max="7316" width="1.85546875" style="12" customWidth="1"/>
    <col min="7317" max="7317" width="10.7109375" style="12" customWidth="1"/>
    <col min="7318" max="7318" width="0" style="12" hidden="1" customWidth="1"/>
    <col min="7319" max="7424" width="10" style="12"/>
    <col min="7425" max="7425" width="1.5703125" style="12" customWidth="1"/>
    <col min="7426" max="7426" width="1.42578125" style="12" customWidth="1"/>
    <col min="7427" max="7427" width="57.5703125" style="12" customWidth="1"/>
    <col min="7428" max="7428" width="2.7109375" style="12" customWidth="1"/>
    <col min="7429" max="7429" width="0" style="12" hidden="1" customWidth="1"/>
    <col min="7430" max="7431" width="1" style="12" customWidth="1"/>
    <col min="7432" max="7432" width="19.7109375" style="12" customWidth="1"/>
    <col min="7433" max="7434" width="1" style="12" customWidth="1"/>
    <col min="7435" max="7489" width="0" style="12" hidden="1" customWidth="1"/>
    <col min="7490" max="7491" width="1" style="12" customWidth="1"/>
    <col min="7492" max="7492" width="17.85546875" style="12" customWidth="1"/>
    <col min="7493" max="7496" width="1" style="12" customWidth="1"/>
    <col min="7497" max="7497" width="17.85546875" style="12" customWidth="1"/>
    <col min="7498" max="7501" width="1" style="12" customWidth="1"/>
    <col min="7502" max="7502" width="17.85546875" style="12" customWidth="1"/>
    <col min="7503" max="7504" width="1" style="12" customWidth="1"/>
    <col min="7505" max="7523" width="0" style="12" hidden="1" customWidth="1"/>
    <col min="7524" max="7524" width="1" style="12" customWidth="1"/>
    <col min="7525" max="7559" width="0" style="12" hidden="1" customWidth="1"/>
    <col min="7560" max="7561" width="1" style="12" customWidth="1"/>
    <col min="7562" max="7562" width="17.85546875" style="12" customWidth="1"/>
    <col min="7563" max="7566" width="1" style="12" customWidth="1"/>
    <col min="7567" max="7567" width="17.85546875" style="12" customWidth="1"/>
    <col min="7568" max="7569" width="1" style="12" customWidth="1"/>
    <col min="7570" max="7570" width="1.5703125" style="12" customWidth="1"/>
    <col min="7571" max="7571" width="0.7109375" style="12" customWidth="1"/>
    <col min="7572" max="7572" width="1.85546875" style="12" customWidth="1"/>
    <col min="7573" max="7573" width="10.7109375" style="12" customWidth="1"/>
    <col min="7574" max="7574" width="0" style="12" hidden="1" customWidth="1"/>
    <col min="7575" max="7680" width="10" style="12"/>
    <col min="7681" max="7681" width="1.5703125" style="12" customWidth="1"/>
    <col min="7682" max="7682" width="1.42578125" style="12" customWidth="1"/>
    <col min="7683" max="7683" width="57.5703125" style="12" customWidth="1"/>
    <col min="7684" max="7684" width="2.7109375" style="12" customWidth="1"/>
    <col min="7685" max="7685" width="0" style="12" hidden="1" customWidth="1"/>
    <col min="7686" max="7687" width="1" style="12" customWidth="1"/>
    <col min="7688" max="7688" width="19.7109375" style="12" customWidth="1"/>
    <col min="7689" max="7690" width="1" style="12" customWidth="1"/>
    <col min="7691" max="7745" width="0" style="12" hidden="1" customWidth="1"/>
    <col min="7746" max="7747" width="1" style="12" customWidth="1"/>
    <col min="7748" max="7748" width="17.85546875" style="12" customWidth="1"/>
    <col min="7749" max="7752" width="1" style="12" customWidth="1"/>
    <col min="7753" max="7753" width="17.85546875" style="12" customWidth="1"/>
    <col min="7754" max="7757" width="1" style="12" customWidth="1"/>
    <col min="7758" max="7758" width="17.85546875" style="12" customWidth="1"/>
    <col min="7759" max="7760" width="1" style="12" customWidth="1"/>
    <col min="7761" max="7779" width="0" style="12" hidden="1" customWidth="1"/>
    <col min="7780" max="7780" width="1" style="12" customWidth="1"/>
    <col min="7781" max="7815" width="0" style="12" hidden="1" customWidth="1"/>
    <col min="7816" max="7817" width="1" style="12" customWidth="1"/>
    <col min="7818" max="7818" width="17.85546875" style="12" customWidth="1"/>
    <col min="7819" max="7822" width="1" style="12" customWidth="1"/>
    <col min="7823" max="7823" width="17.85546875" style="12" customWidth="1"/>
    <col min="7824" max="7825" width="1" style="12" customWidth="1"/>
    <col min="7826" max="7826" width="1.5703125" style="12" customWidth="1"/>
    <col min="7827" max="7827" width="0.7109375" style="12" customWidth="1"/>
    <col min="7828" max="7828" width="1.85546875" style="12" customWidth="1"/>
    <col min="7829" max="7829" width="10.7109375" style="12" customWidth="1"/>
    <col min="7830" max="7830" width="0" style="12" hidden="1" customWidth="1"/>
    <col min="7831" max="7936" width="10" style="12"/>
    <col min="7937" max="7937" width="1.5703125" style="12" customWidth="1"/>
    <col min="7938" max="7938" width="1.42578125" style="12" customWidth="1"/>
    <col min="7939" max="7939" width="57.5703125" style="12" customWidth="1"/>
    <col min="7940" max="7940" width="2.7109375" style="12" customWidth="1"/>
    <col min="7941" max="7941" width="0" style="12" hidden="1" customWidth="1"/>
    <col min="7942" max="7943" width="1" style="12" customWidth="1"/>
    <col min="7944" max="7944" width="19.7109375" style="12" customWidth="1"/>
    <col min="7945" max="7946" width="1" style="12" customWidth="1"/>
    <col min="7947" max="8001" width="0" style="12" hidden="1" customWidth="1"/>
    <col min="8002" max="8003" width="1" style="12" customWidth="1"/>
    <col min="8004" max="8004" width="17.85546875" style="12" customWidth="1"/>
    <col min="8005" max="8008" width="1" style="12" customWidth="1"/>
    <col min="8009" max="8009" width="17.85546875" style="12" customWidth="1"/>
    <col min="8010" max="8013" width="1" style="12" customWidth="1"/>
    <col min="8014" max="8014" width="17.85546875" style="12" customWidth="1"/>
    <col min="8015" max="8016" width="1" style="12" customWidth="1"/>
    <col min="8017" max="8035" width="0" style="12" hidden="1" customWidth="1"/>
    <col min="8036" max="8036" width="1" style="12" customWidth="1"/>
    <col min="8037" max="8071" width="0" style="12" hidden="1" customWidth="1"/>
    <col min="8072" max="8073" width="1" style="12" customWidth="1"/>
    <col min="8074" max="8074" width="17.85546875" style="12" customWidth="1"/>
    <col min="8075" max="8078" width="1" style="12" customWidth="1"/>
    <col min="8079" max="8079" width="17.85546875" style="12" customWidth="1"/>
    <col min="8080" max="8081" width="1" style="12" customWidth="1"/>
    <col min="8082" max="8082" width="1.5703125" style="12" customWidth="1"/>
    <col min="8083" max="8083" width="0.7109375" style="12" customWidth="1"/>
    <col min="8084" max="8084" width="1.85546875" style="12" customWidth="1"/>
    <col min="8085" max="8085" width="10.7109375" style="12" customWidth="1"/>
    <col min="8086" max="8086" width="0" style="12" hidden="1" customWidth="1"/>
    <col min="8087" max="8192" width="10" style="12"/>
    <col min="8193" max="8193" width="1.5703125" style="12" customWidth="1"/>
    <col min="8194" max="8194" width="1.42578125" style="12" customWidth="1"/>
    <col min="8195" max="8195" width="57.5703125" style="12" customWidth="1"/>
    <col min="8196" max="8196" width="2.7109375" style="12" customWidth="1"/>
    <col min="8197" max="8197" width="0" style="12" hidden="1" customWidth="1"/>
    <col min="8198" max="8199" width="1" style="12" customWidth="1"/>
    <col min="8200" max="8200" width="19.7109375" style="12" customWidth="1"/>
    <col min="8201" max="8202" width="1" style="12" customWidth="1"/>
    <col min="8203" max="8257" width="0" style="12" hidden="1" customWidth="1"/>
    <col min="8258" max="8259" width="1" style="12" customWidth="1"/>
    <col min="8260" max="8260" width="17.85546875" style="12" customWidth="1"/>
    <col min="8261" max="8264" width="1" style="12" customWidth="1"/>
    <col min="8265" max="8265" width="17.85546875" style="12" customWidth="1"/>
    <col min="8266" max="8269" width="1" style="12" customWidth="1"/>
    <col min="8270" max="8270" width="17.85546875" style="12" customWidth="1"/>
    <col min="8271" max="8272" width="1" style="12" customWidth="1"/>
    <col min="8273" max="8291" width="0" style="12" hidden="1" customWidth="1"/>
    <col min="8292" max="8292" width="1" style="12" customWidth="1"/>
    <col min="8293" max="8327" width="0" style="12" hidden="1" customWidth="1"/>
    <col min="8328" max="8329" width="1" style="12" customWidth="1"/>
    <col min="8330" max="8330" width="17.85546875" style="12" customWidth="1"/>
    <col min="8331" max="8334" width="1" style="12" customWidth="1"/>
    <col min="8335" max="8335" width="17.85546875" style="12" customWidth="1"/>
    <col min="8336" max="8337" width="1" style="12" customWidth="1"/>
    <col min="8338" max="8338" width="1.5703125" style="12" customWidth="1"/>
    <col min="8339" max="8339" width="0.7109375" style="12" customWidth="1"/>
    <col min="8340" max="8340" width="1.85546875" style="12" customWidth="1"/>
    <col min="8341" max="8341" width="10.7109375" style="12" customWidth="1"/>
    <col min="8342" max="8342" width="0" style="12" hidden="1" customWidth="1"/>
    <col min="8343" max="8448" width="10" style="12"/>
    <col min="8449" max="8449" width="1.5703125" style="12" customWidth="1"/>
    <col min="8450" max="8450" width="1.42578125" style="12" customWidth="1"/>
    <col min="8451" max="8451" width="57.5703125" style="12" customWidth="1"/>
    <col min="8452" max="8452" width="2.7109375" style="12" customWidth="1"/>
    <col min="8453" max="8453" width="0" style="12" hidden="1" customWidth="1"/>
    <col min="8454" max="8455" width="1" style="12" customWidth="1"/>
    <col min="8456" max="8456" width="19.7109375" style="12" customWidth="1"/>
    <col min="8457" max="8458" width="1" style="12" customWidth="1"/>
    <col min="8459" max="8513" width="0" style="12" hidden="1" customWidth="1"/>
    <col min="8514" max="8515" width="1" style="12" customWidth="1"/>
    <col min="8516" max="8516" width="17.85546875" style="12" customWidth="1"/>
    <col min="8517" max="8520" width="1" style="12" customWidth="1"/>
    <col min="8521" max="8521" width="17.85546875" style="12" customWidth="1"/>
    <col min="8522" max="8525" width="1" style="12" customWidth="1"/>
    <col min="8526" max="8526" width="17.85546875" style="12" customWidth="1"/>
    <col min="8527" max="8528" width="1" style="12" customWidth="1"/>
    <col min="8529" max="8547" width="0" style="12" hidden="1" customWidth="1"/>
    <col min="8548" max="8548" width="1" style="12" customWidth="1"/>
    <col min="8549" max="8583" width="0" style="12" hidden="1" customWidth="1"/>
    <col min="8584" max="8585" width="1" style="12" customWidth="1"/>
    <col min="8586" max="8586" width="17.85546875" style="12" customWidth="1"/>
    <col min="8587" max="8590" width="1" style="12" customWidth="1"/>
    <col min="8591" max="8591" width="17.85546875" style="12" customWidth="1"/>
    <col min="8592" max="8593" width="1" style="12" customWidth="1"/>
    <col min="8594" max="8594" width="1.5703125" style="12" customWidth="1"/>
    <col min="8595" max="8595" width="0.7109375" style="12" customWidth="1"/>
    <col min="8596" max="8596" width="1.85546875" style="12" customWidth="1"/>
    <col min="8597" max="8597" width="10.7109375" style="12" customWidth="1"/>
    <col min="8598" max="8598" width="0" style="12" hidden="1" customWidth="1"/>
    <col min="8599" max="8704" width="10" style="12"/>
    <col min="8705" max="8705" width="1.5703125" style="12" customWidth="1"/>
    <col min="8706" max="8706" width="1.42578125" style="12" customWidth="1"/>
    <col min="8707" max="8707" width="57.5703125" style="12" customWidth="1"/>
    <col min="8708" max="8708" width="2.7109375" style="12" customWidth="1"/>
    <col min="8709" max="8709" width="0" style="12" hidden="1" customWidth="1"/>
    <col min="8710" max="8711" width="1" style="12" customWidth="1"/>
    <col min="8712" max="8712" width="19.7109375" style="12" customWidth="1"/>
    <col min="8713" max="8714" width="1" style="12" customWidth="1"/>
    <col min="8715" max="8769" width="0" style="12" hidden="1" customWidth="1"/>
    <col min="8770" max="8771" width="1" style="12" customWidth="1"/>
    <col min="8772" max="8772" width="17.85546875" style="12" customWidth="1"/>
    <col min="8773" max="8776" width="1" style="12" customWidth="1"/>
    <col min="8777" max="8777" width="17.85546875" style="12" customWidth="1"/>
    <col min="8778" max="8781" width="1" style="12" customWidth="1"/>
    <col min="8782" max="8782" width="17.85546875" style="12" customWidth="1"/>
    <col min="8783" max="8784" width="1" style="12" customWidth="1"/>
    <col min="8785" max="8803" width="0" style="12" hidden="1" customWidth="1"/>
    <col min="8804" max="8804" width="1" style="12" customWidth="1"/>
    <col min="8805" max="8839" width="0" style="12" hidden="1" customWidth="1"/>
    <col min="8840" max="8841" width="1" style="12" customWidth="1"/>
    <col min="8842" max="8842" width="17.85546875" style="12" customWidth="1"/>
    <col min="8843" max="8846" width="1" style="12" customWidth="1"/>
    <col min="8847" max="8847" width="17.85546875" style="12" customWidth="1"/>
    <col min="8848" max="8849" width="1" style="12" customWidth="1"/>
    <col min="8850" max="8850" width="1.5703125" style="12" customWidth="1"/>
    <col min="8851" max="8851" width="0.7109375" style="12" customWidth="1"/>
    <col min="8852" max="8852" width="1.85546875" style="12" customWidth="1"/>
    <col min="8853" max="8853" width="10.7109375" style="12" customWidth="1"/>
    <col min="8854" max="8854" width="0" style="12" hidden="1" customWidth="1"/>
    <col min="8855" max="8960" width="10" style="12"/>
    <col min="8961" max="8961" width="1.5703125" style="12" customWidth="1"/>
    <col min="8962" max="8962" width="1.42578125" style="12" customWidth="1"/>
    <col min="8963" max="8963" width="57.5703125" style="12" customWidth="1"/>
    <col min="8964" max="8964" width="2.7109375" style="12" customWidth="1"/>
    <col min="8965" max="8965" width="0" style="12" hidden="1" customWidth="1"/>
    <col min="8966" max="8967" width="1" style="12" customWidth="1"/>
    <col min="8968" max="8968" width="19.7109375" style="12" customWidth="1"/>
    <col min="8969" max="8970" width="1" style="12" customWidth="1"/>
    <col min="8971" max="9025" width="0" style="12" hidden="1" customWidth="1"/>
    <col min="9026" max="9027" width="1" style="12" customWidth="1"/>
    <col min="9028" max="9028" width="17.85546875" style="12" customWidth="1"/>
    <col min="9029" max="9032" width="1" style="12" customWidth="1"/>
    <col min="9033" max="9033" width="17.85546875" style="12" customWidth="1"/>
    <col min="9034" max="9037" width="1" style="12" customWidth="1"/>
    <col min="9038" max="9038" width="17.85546875" style="12" customWidth="1"/>
    <col min="9039" max="9040" width="1" style="12" customWidth="1"/>
    <col min="9041" max="9059" width="0" style="12" hidden="1" customWidth="1"/>
    <col min="9060" max="9060" width="1" style="12" customWidth="1"/>
    <col min="9061" max="9095" width="0" style="12" hidden="1" customWidth="1"/>
    <col min="9096" max="9097" width="1" style="12" customWidth="1"/>
    <col min="9098" max="9098" width="17.85546875" style="12" customWidth="1"/>
    <col min="9099" max="9102" width="1" style="12" customWidth="1"/>
    <col min="9103" max="9103" width="17.85546875" style="12" customWidth="1"/>
    <col min="9104" max="9105" width="1" style="12" customWidth="1"/>
    <col min="9106" max="9106" width="1.5703125" style="12" customWidth="1"/>
    <col min="9107" max="9107" width="0.7109375" style="12" customWidth="1"/>
    <col min="9108" max="9108" width="1.85546875" style="12" customWidth="1"/>
    <col min="9109" max="9109" width="10.7109375" style="12" customWidth="1"/>
    <col min="9110" max="9110" width="0" style="12" hidden="1" customWidth="1"/>
    <col min="9111" max="9216" width="10" style="12"/>
    <col min="9217" max="9217" width="1.5703125" style="12" customWidth="1"/>
    <col min="9218" max="9218" width="1.42578125" style="12" customWidth="1"/>
    <col min="9219" max="9219" width="57.5703125" style="12" customWidth="1"/>
    <col min="9220" max="9220" width="2.7109375" style="12" customWidth="1"/>
    <col min="9221" max="9221" width="0" style="12" hidden="1" customWidth="1"/>
    <col min="9222" max="9223" width="1" style="12" customWidth="1"/>
    <col min="9224" max="9224" width="19.7109375" style="12" customWidth="1"/>
    <col min="9225" max="9226" width="1" style="12" customWidth="1"/>
    <col min="9227" max="9281" width="0" style="12" hidden="1" customWidth="1"/>
    <col min="9282" max="9283" width="1" style="12" customWidth="1"/>
    <col min="9284" max="9284" width="17.85546875" style="12" customWidth="1"/>
    <col min="9285" max="9288" width="1" style="12" customWidth="1"/>
    <col min="9289" max="9289" width="17.85546875" style="12" customWidth="1"/>
    <col min="9290" max="9293" width="1" style="12" customWidth="1"/>
    <col min="9294" max="9294" width="17.85546875" style="12" customWidth="1"/>
    <col min="9295" max="9296" width="1" style="12" customWidth="1"/>
    <col min="9297" max="9315" width="0" style="12" hidden="1" customWidth="1"/>
    <col min="9316" max="9316" width="1" style="12" customWidth="1"/>
    <col min="9317" max="9351" width="0" style="12" hidden="1" customWidth="1"/>
    <col min="9352" max="9353" width="1" style="12" customWidth="1"/>
    <col min="9354" max="9354" width="17.85546875" style="12" customWidth="1"/>
    <col min="9355" max="9358" width="1" style="12" customWidth="1"/>
    <col min="9359" max="9359" width="17.85546875" style="12" customWidth="1"/>
    <col min="9360" max="9361" width="1" style="12" customWidth="1"/>
    <col min="9362" max="9362" width="1.5703125" style="12" customWidth="1"/>
    <col min="9363" max="9363" width="0.7109375" style="12" customWidth="1"/>
    <col min="9364" max="9364" width="1.85546875" style="12" customWidth="1"/>
    <col min="9365" max="9365" width="10.7109375" style="12" customWidth="1"/>
    <col min="9366" max="9366" width="0" style="12" hidden="1" customWidth="1"/>
    <col min="9367" max="9472" width="10" style="12"/>
    <col min="9473" max="9473" width="1.5703125" style="12" customWidth="1"/>
    <col min="9474" max="9474" width="1.42578125" style="12" customWidth="1"/>
    <col min="9475" max="9475" width="57.5703125" style="12" customWidth="1"/>
    <col min="9476" max="9476" width="2.7109375" style="12" customWidth="1"/>
    <col min="9477" max="9477" width="0" style="12" hidden="1" customWidth="1"/>
    <col min="9478" max="9479" width="1" style="12" customWidth="1"/>
    <col min="9480" max="9480" width="19.7109375" style="12" customWidth="1"/>
    <col min="9481" max="9482" width="1" style="12" customWidth="1"/>
    <col min="9483" max="9537" width="0" style="12" hidden="1" customWidth="1"/>
    <col min="9538" max="9539" width="1" style="12" customWidth="1"/>
    <col min="9540" max="9540" width="17.85546875" style="12" customWidth="1"/>
    <col min="9541" max="9544" width="1" style="12" customWidth="1"/>
    <col min="9545" max="9545" width="17.85546875" style="12" customWidth="1"/>
    <col min="9546" max="9549" width="1" style="12" customWidth="1"/>
    <col min="9550" max="9550" width="17.85546875" style="12" customWidth="1"/>
    <col min="9551" max="9552" width="1" style="12" customWidth="1"/>
    <col min="9553" max="9571" width="0" style="12" hidden="1" customWidth="1"/>
    <col min="9572" max="9572" width="1" style="12" customWidth="1"/>
    <col min="9573" max="9607" width="0" style="12" hidden="1" customWidth="1"/>
    <col min="9608" max="9609" width="1" style="12" customWidth="1"/>
    <col min="9610" max="9610" width="17.85546875" style="12" customWidth="1"/>
    <col min="9611" max="9614" width="1" style="12" customWidth="1"/>
    <col min="9615" max="9615" width="17.85546875" style="12" customWidth="1"/>
    <col min="9616" max="9617" width="1" style="12" customWidth="1"/>
    <col min="9618" max="9618" width="1.5703125" style="12" customWidth="1"/>
    <col min="9619" max="9619" width="0.7109375" style="12" customWidth="1"/>
    <col min="9620" max="9620" width="1.85546875" style="12" customWidth="1"/>
    <col min="9621" max="9621" width="10.7109375" style="12" customWidth="1"/>
    <col min="9622" max="9622" width="0" style="12" hidden="1" customWidth="1"/>
    <col min="9623" max="9728" width="10" style="12"/>
    <col min="9729" max="9729" width="1.5703125" style="12" customWidth="1"/>
    <col min="9730" max="9730" width="1.42578125" style="12" customWidth="1"/>
    <col min="9731" max="9731" width="57.5703125" style="12" customWidth="1"/>
    <col min="9732" max="9732" width="2.7109375" style="12" customWidth="1"/>
    <col min="9733" max="9733" width="0" style="12" hidden="1" customWidth="1"/>
    <col min="9734" max="9735" width="1" style="12" customWidth="1"/>
    <col min="9736" max="9736" width="19.7109375" style="12" customWidth="1"/>
    <col min="9737" max="9738" width="1" style="12" customWidth="1"/>
    <col min="9739" max="9793" width="0" style="12" hidden="1" customWidth="1"/>
    <col min="9794" max="9795" width="1" style="12" customWidth="1"/>
    <col min="9796" max="9796" width="17.85546875" style="12" customWidth="1"/>
    <col min="9797" max="9800" width="1" style="12" customWidth="1"/>
    <col min="9801" max="9801" width="17.85546875" style="12" customWidth="1"/>
    <col min="9802" max="9805" width="1" style="12" customWidth="1"/>
    <col min="9806" max="9806" width="17.85546875" style="12" customWidth="1"/>
    <col min="9807" max="9808" width="1" style="12" customWidth="1"/>
    <col min="9809" max="9827" width="0" style="12" hidden="1" customWidth="1"/>
    <col min="9828" max="9828" width="1" style="12" customWidth="1"/>
    <col min="9829" max="9863" width="0" style="12" hidden="1" customWidth="1"/>
    <col min="9864" max="9865" width="1" style="12" customWidth="1"/>
    <col min="9866" max="9866" width="17.85546875" style="12" customWidth="1"/>
    <col min="9867" max="9870" width="1" style="12" customWidth="1"/>
    <col min="9871" max="9871" width="17.85546875" style="12" customWidth="1"/>
    <col min="9872" max="9873" width="1" style="12" customWidth="1"/>
    <col min="9874" max="9874" width="1.5703125" style="12" customWidth="1"/>
    <col min="9875" max="9875" width="0.7109375" style="12" customWidth="1"/>
    <col min="9876" max="9876" width="1.85546875" style="12" customWidth="1"/>
    <col min="9877" max="9877" width="10.7109375" style="12" customWidth="1"/>
    <col min="9878" max="9878" width="0" style="12" hidden="1" customWidth="1"/>
    <col min="9879" max="9984" width="10" style="12"/>
    <col min="9985" max="9985" width="1.5703125" style="12" customWidth="1"/>
    <col min="9986" max="9986" width="1.42578125" style="12" customWidth="1"/>
    <col min="9987" max="9987" width="57.5703125" style="12" customWidth="1"/>
    <col min="9988" max="9988" width="2.7109375" style="12" customWidth="1"/>
    <col min="9989" max="9989" width="0" style="12" hidden="1" customWidth="1"/>
    <col min="9990" max="9991" width="1" style="12" customWidth="1"/>
    <col min="9992" max="9992" width="19.7109375" style="12" customWidth="1"/>
    <col min="9993" max="9994" width="1" style="12" customWidth="1"/>
    <col min="9995" max="10049" width="0" style="12" hidden="1" customWidth="1"/>
    <col min="10050" max="10051" width="1" style="12" customWidth="1"/>
    <col min="10052" max="10052" width="17.85546875" style="12" customWidth="1"/>
    <col min="10053" max="10056" width="1" style="12" customWidth="1"/>
    <col min="10057" max="10057" width="17.85546875" style="12" customWidth="1"/>
    <col min="10058" max="10061" width="1" style="12" customWidth="1"/>
    <col min="10062" max="10062" width="17.85546875" style="12" customWidth="1"/>
    <col min="10063" max="10064" width="1" style="12" customWidth="1"/>
    <col min="10065" max="10083" width="0" style="12" hidden="1" customWidth="1"/>
    <col min="10084" max="10084" width="1" style="12" customWidth="1"/>
    <col min="10085" max="10119" width="0" style="12" hidden="1" customWidth="1"/>
    <col min="10120" max="10121" width="1" style="12" customWidth="1"/>
    <col min="10122" max="10122" width="17.85546875" style="12" customWidth="1"/>
    <col min="10123" max="10126" width="1" style="12" customWidth="1"/>
    <col min="10127" max="10127" width="17.85546875" style="12" customWidth="1"/>
    <col min="10128" max="10129" width="1" style="12" customWidth="1"/>
    <col min="10130" max="10130" width="1.5703125" style="12" customWidth="1"/>
    <col min="10131" max="10131" width="0.7109375" style="12" customWidth="1"/>
    <col min="10132" max="10132" width="1.85546875" style="12" customWidth="1"/>
    <col min="10133" max="10133" width="10.7109375" style="12" customWidth="1"/>
    <col min="10134" max="10134" width="0" style="12" hidden="1" customWidth="1"/>
    <col min="10135" max="10240" width="10" style="12"/>
    <col min="10241" max="10241" width="1.5703125" style="12" customWidth="1"/>
    <col min="10242" max="10242" width="1.42578125" style="12" customWidth="1"/>
    <col min="10243" max="10243" width="57.5703125" style="12" customWidth="1"/>
    <col min="10244" max="10244" width="2.7109375" style="12" customWidth="1"/>
    <col min="10245" max="10245" width="0" style="12" hidden="1" customWidth="1"/>
    <col min="10246" max="10247" width="1" style="12" customWidth="1"/>
    <col min="10248" max="10248" width="19.7109375" style="12" customWidth="1"/>
    <col min="10249" max="10250" width="1" style="12" customWidth="1"/>
    <col min="10251" max="10305" width="0" style="12" hidden="1" customWidth="1"/>
    <col min="10306" max="10307" width="1" style="12" customWidth="1"/>
    <col min="10308" max="10308" width="17.85546875" style="12" customWidth="1"/>
    <col min="10309" max="10312" width="1" style="12" customWidth="1"/>
    <col min="10313" max="10313" width="17.85546875" style="12" customWidth="1"/>
    <col min="10314" max="10317" width="1" style="12" customWidth="1"/>
    <col min="10318" max="10318" width="17.85546875" style="12" customWidth="1"/>
    <col min="10319" max="10320" width="1" style="12" customWidth="1"/>
    <col min="10321" max="10339" width="0" style="12" hidden="1" customWidth="1"/>
    <col min="10340" max="10340" width="1" style="12" customWidth="1"/>
    <col min="10341" max="10375" width="0" style="12" hidden="1" customWidth="1"/>
    <col min="10376" max="10377" width="1" style="12" customWidth="1"/>
    <col min="10378" max="10378" width="17.85546875" style="12" customWidth="1"/>
    <col min="10379" max="10382" width="1" style="12" customWidth="1"/>
    <col min="10383" max="10383" width="17.85546875" style="12" customWidth="1"/>
    <col min="10384" max="10385" width="1" style="12" customWidth="1"/>
    <col min="10386" max="10386" width="1.5703125" style="12" customWidth="1"/>
    <col min="10387" max="10387" width="0.7109375" style="12" customWidth="1"/>
    <col min="10388" max="10388" width="1.85546875" style="12" customWidth="1"/>
    <col min="10389" max="10389" width="10.7109375" style="12" customWidth="1"/>
    <col min="10390" max="10390" width="0" style="12" hidden="1" customWidth="1"/>
    <col min="10391" max="10496" width="10" style="12"/>
    <col min="10497" max="10497" width="1.5703125" style="12" customWidth="1"/>
    <col min="10498" max="10498" width="1.42578125" style="12" customWidth="1"/>
    <col min="10499" max="10499" width="57.5703125" style="12" customWidth="1"/>
    <col min="10500" max="10500" width="2.7109375" style="12" customWidth="1"/>
    <col min="10501" max="10501" width="0" style="12" hidden="1" customWidth="1"/>
    <col min="10502" max="10503" width="1" style="12" customWidth="1"/>
    <col min="10504" max="10504" width="19.7109375" style="12" customWidth="1"/>
    <col min="10505" max="10506" width="1" style="12" customWidth="1"/>
    <col min="10507" max="10561" width="0" style="12" hidden="1" customWidth="1"/>
    <col min="10562" max="10563" width="1" style="12" customWidth="1"/>
    <col min="10564" max="10564" width="17.85546875" style="12" customWidth="1"/>
    <col min="10565" max="10568" width="1" style="12" customWidth="1"/>
    <col min="10569" max="10569" width="17.85546875" style="12" customWidth="1"/>
    <col min="10570" max="10573" width="1" style="12" customWidth="1"/>
    <col min="10574" max="10574" width="17.85546875" style="12" customWidth="1"/>
    <col min="10575" max="10576" width="1" style="12" customWidth="1"/>
    <col min="10577" max="10595" width="0" style="12" hidden="1" customWidth="1"/>
    <col min="10596" max="10596" width="1" style="12" customWidth="1"/>
    <col min="10597" max="10631" width="0" style="12" hidden="1" customWidth="1"/>
    <col min="10632" max="10633" width="1" style="12" customWidth="1"/>
    <col min="10634" max="10634" width="17.85546875" style="12" customWidth="1"/>
    <col min="10635" max="10638" width="1" style="12" customWidth="1"/>
    <col min="10639" max="10639" width="17.85546875" style="12" customWidth="1"/>
    <col min="10640" max="10641" width="1" style="12" customWidth="1"/>
    <col min="10642" max="10642" width="1.5703125" style="12" customWidth="1"/>
    <col min="10643" max="10643" width="0.7109375" style="12" customWidth="1"/>
    <col min="10644" max="10644" width="1.85546875" style="12" customWidth="1"/>
    <col min="10645" max="10645" width="10.7109375" style="12" customWidth="1"/>
    <col min="10646" max="10646" width="0" style="12" hidden="1" customWidth="1"/>
    <col min="10647" max="10752" width="10" style="12"/>
    <col min="10753" max="10753" width="1.5703125" style="12" customWidth="1"/>
    <col min="10754" max="10754" width="1.42578125" style="12" customWidth="1"/>
    <col min="10755" max="10755" width="57.5703125" style="12" customWidth="1"/>
    <col min="10756" max="10756" width="2.7109375" style="12" customWidth="1"/>
    <col min="10757" max="10757" width="0" style="12" hidden="1" customWidth="1"/>
    <col min="10758" max="10759" width="1" style="12" customWidth="1"/>
    <col min="10760" max="10760" width="19.7109375" style="12" customWidth="1"/>
    <col min="10761" max="10762" width="1" style="12" customWidth="1"/>
    <col min="10763" max="10817" width="0" style="12" hidden="1" customWidth="1"/>
    <col min="10818" max="10819" width="1" style="12" customWidth="1"/>
    <col min="10820" max="10820" width="17.85546875" style="12" customWidth="1"/>
    <col min="10821" max="10824" width="1" style="12" customWidth="1"/>
    <col min="10825" max="10825" width="17.85546875" style="12" customWidth="1"/>
    <col min="10826" max="10829" width="1" style="12" customWidth="1"/>
    <col min="10830" max="10830" width="17.85546875" style="12" customWidth="1"/>
    <col min="10831" max="10832" width="1" style="12" customWidth="1"/>
    <col min="10833" max="10851" width="0" style="12" hidden="1" customWidth="1"/>
    <col min="10852" max="10852" width="1" style="12" customWidth="1"/>
    <col min="10853" max="10887" width="0" style="12" hidden="1" customWidth="1"/>
    <col min="10888" max="10889" width="1" style="12" customWidth="1"/>
    <col min="10890" max="10890" width="17.85546875" style="12" customWidth="1"/>
    <col min="10891" max="10894" width="1" style="12" customWidth="1"/>
    <col min="10895" max="10895" width="17.85546875" style="12" customWidth="1"/>
    <col min="10896" max="10897" width="1" style="12" customWidth="1"/>
    <col min="10898" max="10898" width="1.5703125" style="12" customWidth="1"/>
    <col min="10899" max="10899" width="0.7109375" style="12" customWidth="1"/>
    <col min="10900" max="10900" width="1.85546875" style="12" customWidth="1"/>
    <col min="10901" max="10901" width="10.7109375" style="12" customWidth="1"/>
    <col min="10902" max="10902" width="0" style="12" hidden="1" customWidth="1"/>
    <col min="10903" max="11008" width="10" style="12"/>
    <col min="11009" max="11009" width="1.5703125" style="12" customWidth="1"/>
    <col min="11010" max="11010" width="1.42578125" style="12" customWidth="1"/>
    <col min="11011" max="11011" width="57.5703125" style="12" customWidth="1"/>
    <col min="11012" max="11012" width="2.7109375" style="12" customWidth="1"/>
    <col min="11013" max="11013" width="0" style="12" hidden="1" customWidth="1"/>
    <col min="11014" max="11015" width="1" style="12" customWidth="1"/>
    <col min="11016" max="11016" width="19.7109375" style="12" customWidth="1"/>
    <col min="11017" max="11018" width="1" style="12" customWidth="1"/>
    <col min="11019" max="11073" width="0" style="12" hidden="1" customWidth="1"/>
    <col min="11074" max="11075" width="1" style="12" customWidth="1"/>
    <col min="11076" max="11076" width="17.85546875" style="12" customWidth="1"/>
    <col min="11077" max="11080" width="1" style="12" customWidth="1"/>
    <col min="11081" max="11081" width="17.85546875" style="12" customWidth="1"/>
    <col min="11082" max="11085" width="1" style="12" customWidth="1"/>
    <col min="11086" max="11086" width="17.85546875" style="12" customWidth="1"/>
    <col min="11087" max="11088" width="1" style="12" customWidth="1"/>
    <col min="11089" max="11107" width="0" style="12" hidden="1" customWidth="1"/>
    <col min="11108" max="11108" width="1" style="12" customWidth="1"/>
    <col min="11109" max="11143" width="0" style="12" hidden="1" customWidth="1"/>
    <col min="11144" max="11145" width="1" style="12" customWidth="1"/>
    <col min="11146" max="11146" width="17.85546875" style="12" customWidth="1"/>
    <col min="11147" max="11150" width="1" style="12" customWidth="1"/>
    <col min="11151" max="11151" width="17.85546875" style="12" customWidth="1"/>
    <col min="11152" max="11153" width="1" style="12" customWidth="1"/>
    <col min="11154" max="11154" width="1.5703125" style="12" customWidth="1"/>
    <col min="11155" max="11155" width="0.7109375" style="12" customWidth="1"/>
    <col min="11156" max="11156" width="1.85546875" style="12" customWidth="1"/>
    <col min="11157" max="11157" width="10.7109375" style="12" customWidth="1"/>
    <col min="11158" max="11158" width="0" style="12" hidden="1" customWidth="1"/>
    <col min="11159" max="11264" width="10" style="12"/>
    <col min="11265" max="11265" width="1.5703125" style="12" customWidth="1"/>
    <col min="11266" max="11266" width="1.42578125" style="12" customWidth="1"/>
    <col min="11267" max="11267" width="57.5703125" style="12" customWidth="1"/>
    <col min="11268" max="11268" width="2.7109375" style="12" customWidth="1"/>
    <col min="11269" max="11269" width="0" style="12" hidden="1" customWidth="1"/>
    <col min="11270" max="11271" width="1" style="12" customWidth="1"/>
    <col min="11272" max="11272" width="19.7109375" style="12" customWidth="1"/>
    <col min="11273" max="11274" width="1" style="12" customWidth="1"/>
    <col min="11275" max="11329" width="0" style="12" hidden="1" customWidth="1"/>
    <col min="11330" max="11331" width="1" style="12" customWidth="1"/>
    <col min="11332" max="11332" width="17.85546875" style="12" customWidth="1"/>
    <col min="11333" max="11336" width="1" style="12" customWidth="1"/>
    <col min="11337" max="11337" width="17.85546875" style="12" customWidth="1"/>
    <col min="11338" max="11341" width="1" style="12" customWidth="1"/>
    <col min="11342" max="11342" width="17.85546875" style="12" customWidth="1"/>
    <col min="11343" max="11344" width="1" style="12" customWidth="1"/>
    <col min="11345" max="11363" width="0" style="12" hidden="1" customWidth="1"/>
    <col min="11364" max="11364" width="1" style="12" customWidth="1"/>
    <col min="11365" max="11399" width="0" style="12" hidden="1" customWidth="1"/>
    <col min="11400" max="11401" width="1" style="12" customWidth="1"/>
    <col min="11402" max="11402" width="17.85546875" style="12" customWidth="1"/>
    <col min="11403" max="11406" width="1" style="12" customWidth="1"/>
    <col min="11407" max="11407" width="17.85546875" style="12" customWidth="1"/>
    <col min="11408" max="11409" width="1" style="12" customWidth="1"/>
    <col min="11410" max="11410" width="1.5703125" style="12" customWidth="1"/>
    <col min="11411" max="11411" width="0.7109375" style="12" customWidth="1"/>
    <col min="11412" max="11412" width="1.85546875" style="12" customWidth="1"/>
    <col min="11413" max="11413" width="10.7109375" style="12" customWidth="1"/>
    <col min="11414" max="11414" width="0" style="12" hidden="1" customWidth="1"/>
    <col min="11415" max="11520" width="10" style="12"/>
    <col min="11521" max="11521" width="1.5703125" style="12" customWidth="1"/>
    <col min="11522" max="11522" width="1.42578125" style="12" customWidth="1"/>
    <col min="11523" max="11523" width="57.5703125" style="12" customWidth="1"/>
    <col min="11524" max="11524" width="2.7109375" style="12" customWidth="1"/>
    <col min="11525" max="11525" width="0" style="12" hidden="1" customWidth="1"/>
    <col min="11526" max="11527" width="1" style="12" customWidth="1"/>
    <col min="11528" max="11528" width="19.7109375" style="12" customWidth="1"/>
    <col min="11529" max="11530" width="1" style="12" customWidth="1"/>
    <col min="11531" max="11585" width="0" style="12" hidden="1" customWidth="1"/>
    <col min="11586" max="11587" width="1" style="12" customWidth="1"/>
    <col min="11588" max="11588" width="17.85546875" style="12" customWidth="1"/>
    <col min="11589" max="11592" width="1" style="12" customWidth="1"/>
    <col min="11593" max="11593" width="17.85546875" style="12" customWidth="1"/>
    <col min="11594" max="11597" width="1" style="12" customWidth="1"/>
    <col min="11598" max="11598" width="17.85546875" style="12" customWidth="1"/>
    <col min="11599" max="11600" width="1" style="12" customWidth="1"/>
    <col min="11601" max="11619" width="0" style="12" hidden="1" customWidth="1"/>
    <col min="11620" max="11620" width="1" style="12" customWidth="1"/>
    <col min="11621" max="11655" width="0" style="12" hidden="1" customWidth="1"/>
    <col min="11656" max="11657" width="1" style="12" customWidth="1"/>
    <col min="11658" max="11658" width="17.85546875" style="12" customWidth="1"/>
    <col min="11659" max="11662" width="1" style="12" customWidth="1"/>
    <col min="11663" max="11663" width="17.85546875" style="12" customWidth="1"/>
    <col min="11664" max="11665" width="1" style="12" customWidth="1"/>
    <col min="11666" max="11666" width="1.5703125" style="12" customWidth="1"/>
    <col min="11667" max="11667" width="0.7109375" style="12" customWidth="1"/>
    <col min="11668" max="11668" width="1.85546875" style="12" customWidth="1"/>
    <col min="11669" max="11669" width="10.7109375" style="12" customWidth="1"/>
    <col min="11670" max="11670" width="0" style="12" hidden="1" customWidth="1"/>
    <col min="11671" max="11776" width="10" style="12"/>
    <col min="11777" max="11777" width="1.5703125" style="12" customWidth="1"/>
    <col min="11778" max="11778" width="1.42578125" style="12" customWidth="1"/>
    <col min="11779" max="11779" width="57.5703125" style="12" customWidth="1"/>
    <col min="11780" max="11780" width="2.7109375" style="12" customWidth="1"/>
    <col min="11781" max="11781" width="0" style="12" hidden="1" customWidth="1"/>
    <col min="11782" max="11783" width="1" style="12" customWidth="1"/>
    <col min="11784" max="11784" width="19.7109375" style="12" customWidth="1"/>
    <col min="11785" max="11786" width="1" style="12" customWidth="1"/>
    <col min="11787" max="11841" width="0" style="12" hidden="1" customWidth="1"/>
    <col min="11842" max="11843" width="1" style="12" customWidth="1"/>
    <col min="11844" max="11844" width="17.85546875" style="12" customWidth="1"/>
    <col min="11845" max="11848" width="1" style="12" customWidth="1"/>
    <col min="11849" max="11849" width="17.85546875" style="12" customWidth="1"/>
    <col min="11850" max="11853" width="1" style="12" customWidth="1"/>
    <col min="11854" max="11854" width="17.85546875" style="12" customWidth="1"/>
    <col min="11855" max="11856" width="1" style="12" customWidth="1"/>
    <col min="11857" max="11875" width="0" style="12" hidden="1" customWidth="1"/>
    <col min="11876" max="11876" width="1" style="12" customWidth="1"/>
    <col min="11877" max="11911" width="0" style="12" hidden="1" customWidth="1"/>
    <col min="11912" max="11913" width="1" style="12" customWidth="1"/>
    <col min="11914" max="11914" width="17.85546875" style="12" customWidth="1"/>
    <col min="11915" max="11918" width="1" style="12" customWidth="1"/>
    <col min="11919" max="11919" width="17.85546875" style="12" customWidth="1"/>
    <col min="11920" max="11921" width="1" style="12" customWidth="1"/>
    <col min="11922" max="11922" width="1.5703125" style="12" customWidth="1"/>
    <col min="11923" max="11923" width="0.7109375" style="12" customWidth="1"/>
    <col min="11924" max="11924" width="1.85546875" style="12" customWidth="1"/>
    <col min="11925" max="11925" width="10.7109375" style="12" customWidth="1"/>
    <col min="11926" max="11926" width="0" style="12" hidden="1" customWidth="1"/>
    <col min="11927" max="12032" width="10" style="12"/>
    <col min="12033" max="12033" width="1.5703125" style="12" customWidth="1"/>
    <col min="12034" max="12034" width="1.42578125" style="12" customWidth="1"/>
    <col min="12035" max="12035" width="57.5703125" style="12" customWidth="1"/>
    <col min="12036" max="12036" width="2.7109375" style="12" customWidth="1"/>
    <col min="12037" max="12037" width="0" style="12" hidden="1" customWidth="1"/>
    <col min="12038" max="12039" width="1" style="12" customWidth="1"/>
    <col min="12040" max="12040" width="19.7109375" style="12" customWidth="1"/>
    <col min="12041" max="12042" width="1" style="12" customWidth="1"/>
    <col min="12043" max="12097" width="0" style="12" hidden="1" customWidth="1"/>
    <col min="12098" max="12099" width="1" style="12" customWidth="1"/>
    <col min="12100" max="12100" width="17.85546875" style="12" customWidth="1"/>
    <col min="12101" max="12104" width="1" style="12" customWidth="1"/>
    <col min="12105" max="12105" width="17.85546875" style="12" customWidth="1"/>
    <col min="12106" max="12109" width="1" style="12" customWidth="1"/>
    <col min="12110" max="12110" width="17.85546875" style="12" customWidth="1"/>
    <col min="12111" max="12112" width="1" style="12" customWidth="1"/>
    <col min="12113" max="12131" width="0" style="12" hidden="1" customWidth="1"/>
    <col min="12132" max="12132" width="1" style="12" customWidth="1"/>
    <col min="12133" max="12167" width="0" style="12" hidden="1" customWidth="1"/>
    <col min="12168" max="12169" width="1" style="12" customWidth="1"/>
    <col min="12170" max="12170" width="17.85546875" style="12" customWidth="1"/>
    <col min="12171" max="12174" width="1" style="12" customWidth="1"/>
    <col min="12175" max="12175" width="17.85546875" style="12" customWidth="1"/>
    <col min="12176" max="12177" width="1" style="12" customWidth="1"/>
    <col min="12178" max="12178" width="1.5703125" style="12" customWidth="1"/>
    <col min="12179" max="12179" width="0.7109375" style="12" customWidth="1"/>
    <col min="12180" max="12180" width="1.85546875" style="12" customWidth="1"/>
    <col min="12181" max="12181" width="10.7109375" style="12" customWidth="1"/>
    <col min="12182" max="12182" width="0" style="12" hidden="1" customWidth="1"/>
    <col min="12183" max="12288" width="10" style="12"/>
    <col min="12289" max="12289" width="1.5703125" style="12" customWidth="1"/>
    <col min="12290" max="12290" width="1.42578125" style="12" customWidth="1"/>
    <col min="12291" max="12291" width="57.5703125" style="12" customWidth="1"/>
    <col min="12292" max="12292" width="2.7109375" style="12" customWidth="1"/>
    <col min="12293" max="12293" width="0" style="12" hidden="1" customWidth="1"/>
    <col min="12294" max="12295" width="1" style="12" customWidth="1"/>
    <col min="12296" max="12296" width="19.7109375" style="12" customWidth="1"/>
    <col min="12297" max="12298" width="1" style="12" customWidth="1"/>
    <col min="12299" max="12353" width="0" style="12" hidden="1" customWidth="1"/>
    <col min="12354" max="12355" width="1" style="12" customWidth="1"/>
    <col min="12356" max="12356" width="17.85546875" style="12" customWidth="1"/>
    <col min="12357" max="12360" width="1" style="12" customWidth="1"/>
    <col min="12361" max="12361" width="17.85546875" style="12" customWidth="1"/>
    <col min="12362" max="12365" width="1" style="12" customWidth="1"/>
    <col min="12366" max="12366" width="17.85546875" style="12" customWidth="1"/>
    <col min="12367" max="12368" width="1" style="12" customWidth="1"/>
    <col min="12369" max="12387" width="0" style="12" hidden="1" customWidth="1"/>
    <col min="12388" max="12388" width="1" style="12" customWidth="1"/>
    <col min="12389" max="12423" width="0" style="12" hidden="1" customWidth="1"/>
    <col min="12424" max="12425" width="1" style="12" customWidth="1"/>
    <col min="12426" max="12426" width="17.85546875" style="12" customWidth="1"/>
    <col min="12427" max="12430" width="1" style="12" customWidth="1"/>
    <col min="12431" max="12431" width="17.85546875" style="12" customWidth="1"/>
    <col min="12432" max="12433" width="1" style="12" customWidth="1"/>
    <col min="12434" max="12434" width="1.5703125" style="12" customWidth="1"/>
    <col min="12435" max="12435" width="0.7109375" style="12" customWidth="1"/>
    <col min="12436" max="12436" width="1.85546875" style="12" customWidth="1"/>
    <col min="12437" max="12437" width="10.7109375" style="12" customWidth="1"/>
    <col min="12438" max="12438" width="0" style="12" hidden="1" customWidth="1"/>
    <col min="12439" max="12544" width="10" style="12"/>
    <col min="12545" max="12545" width="1.5703125" style="12" customWidth="1"/>
    <col min="12546" max="12546" width="1.42578125" style="12" customWidth="1"/>
    <col min="12547" max="12547" width="57.5703125" style="12" customWidth="1"/>
    <col min="12548" max="12548" width="2.7109375" style="12" customWidth="1"/>
    <col min="12549" max="12549" width="0" style="12" hidden="1" customWidth="1"/>
    <col min="12550" max="12551" width="1" style="12" customWidth="1"/>
    <col min="12552" max="12552" width="19.7109375" style="12" customWidth="1"/>
    <col min="12553" max="12554" width="1" style="12" customWidth="1"/>
    <col min="12555" max="12609" width="0" style="12" hidden="1" customWidth="1"/>
    <col min="12610" max="12611" width="1" style="12" customWidth="1"/>
    <col min="12612" max="12612" width="17.85546875" style="12" customWidth="1"/>
    <col min="12613" max="12616" width="1" style="12" customWidth="1"/>
    <col min="12617" max="12617" width="17.85546875" style="12" customWidth="1"/>
    <col min="12618" max="12621" width="1" style="12" customWidth="1"/>
    <col min="12622" max="12622" width="17.85546875" style="12" customWidth="1"/>
    <col min="12623" max="12624" width="1" style="12" customWidth="1"/>
    <col min="12625" max="12643" width="0" style="12" hidden="1" customWidth="1"/>
    <col min="12644" max="12644" width="1" style="12" customWidth="1"/>
    <col min="12645" max="12679" width="0" style="12" hidden="1" customWidth="1"/>
    <col min="12680" max="12681" width="1" style="12" customWidth="1"/>
    <col min="12682" max="12682" width="17.85546875" style="12" customWidth="1"/>
    <col min="12683" max="12686" width="1" style="12" customWidth="1"/>
    <col min="12687" max="12687" width="17.85546875" style="12" customWidth="1"/>
    <col min="12688" max="12689" width="1" style="12" customWidth="1"/>
    <col min="12690" max="12690" width="1.5703125" style="12" customWidth="1"/>
    <col min="12691" max="12691" width="0.7109375" style="12" customWidth="1"/>
    <col min="12692" max="12692" width="1.85546875" style="12" customWidth="1"/>
    <col min="12693" max="12693" width="10.7109375" style="12" customWidth="1"/>
    <col min="12694" max="12694" width="0" style="12" hidden="1" customWidth="1"/>
    <col min="12695" max="12800" width="10" style="12"/>
    <col min="12801" max="12801" width="1.5703125" style="12" customWidth="1"/>
    <col min="12802" max="12802" width="1.42578125" style="12" customWidth="1"/>
    <col min="12803" max="12803" width="57.5703125" style="12" customWidth="1"/>
    <col min="12804" max="12804" width="2.7109375" style="12" customWidth="1"/>
    <col min="12805" max="12805" width="0" style="12" hidden="1" customWidth="1"/>
    <col min="12806" max="12807" width="1" style="12" customWidth="1"/>
    <col min="12808" max="12808" width="19.7109375" style="12" customWidth="1"/>
    <col min="12809" max="12810" width="1" style="12" customWidth="1"/>
    <col min="12811" max="12865" width="0" style="12" hidden="1" customWidth="1"/>
    <col min="12866" max="12867" width="1" style="12" customWidth="1"/>
    <col min="12868" max="12868" width="17.85546875" style="12" customWidth="1"/>
    <col min="12869" max="12872" width="1" style="12" customWidth="1"/>
    <col min="12873" max="12873" width="17.85546875" style="12" customWidth="1"/>
    <col min="12874" max="12877" width="1" style="12" customWidth="1"/>
    <col min="12878" max="12878" width="17.85546875" style="12" customWidth="1"/>
    <col min="12879" max="12880" width="1" style="12" customWidth="1"/>
    <col min="12881" max="12899" width="0" style="12" hidden="1" customWidth="1"/>
    <col min="12900" max="12900" width="1" style="12" customWidth="1"/>
    <col min="12901" max="12935" width="0" style="12" hidden="1" customWidth="1"/>
    <col min="12936" max="12937" width="1" style="12" customWidth="1"/>
    <col min="12938" max="12938" width="17.85546875" style="12" customWidth="1"/>
    <col min="12939" max="12942" width="1" style="12" customWidth="1"/>
    <col min="12943" max="12943" width="17.85546875" style="12" customWidth="1"/>
    <col min="12944" max="12945" width="1" style="12" customWidth="1"/>
    <col min="12946" max="12946" width="1.5703125" style="12" customWidth="1"/>
    <col min="12947" max="12947" width="0.7109375" style="12" customWidth="1"/>
    <col min="12948" max="12948" width="1.85546875" style="12" customWidth="1"/>
    <col min="12949" max="12949" width="10.7109375" style="12" customWidth="1"/>
    <col min="12950" max="12950" width="0" style="12" hidden="1" customWidth="1"/>
    <col min="12951" max="13056" width="10" style="12"/>
    <col min="13057" max="13057" width="1.5703125" style="12" customWidth="1"/>
    <col min="13058" max="13058" width="1.42578125" style="12" customWidth="1"/>
    <col min="13059" max="13059" width="57.5703125" style="12" customWidth="1"/>
    <col min="13060" max="13060" width="2.7109375" style="12" customWidth="1"/>
    <col min="13061" max="13061" width="0" style="12" hidden="1" customWidth="1"/>
    <col min="13062" max="13063" width="1" style="12" customWidth="1"/>
    <col min="13064" max="13064" width="19.7109375" style="12" customWidth="1"/>
    <col min="13065" max="13066" width="1" style="12" customWidth="1"/>
    <col min="13067" max="13121" width="0" style="12" hidden="1" customWidth="1"/>
    <col min="13122" max="13123" width="1" style="12" customWidth="1"/>
    <col min="13124" max="13124" width="17.85546875" style="12" customWidth="1"/>
    <col min="13125" max="13128" width="1" style="12" customWidth="1"/>
    <col min="13129" max="13129" width="17.85546875" style="12" customWidth="1"/>
    <col min="13130" max="13133" width="1" style="12" customWidth="1"/>
    <col min="13134" max="13134" width="17.85546875" style="12" customWidth="1"/>
    <col min="13135" max="13136" width="1" style="12" customWidth="1"/>
    <col min="13137" max="13155" width="0" style="12" hidden="1" customWidth="1"/>
    <col min="13156" max="13156" width="1" style="12" customWidth="1"/>
    <col min="13157" max="13191" width="0" style="12" hidden="1" customWidth="1"/>
    <col min="13192" max="13193" width="1" style="12" customWidth="1"/>
    <col min="13194" max="13194" width="17.85546875" style="12" customWidth="1"/>
    <col min="13195" max="13198" width="1" style="12" customWidth="1"/>
    <col min="13199" max="13199" width="17.85546875" style="12" customWidth="1"/>
    <col min="13200" max="13201" width="1" style="12" customWidth="1"/>
    <col min="13202" max="13202" width="1.5703125" style="12" customWidth="1"/>
    <col min="13203" max="13203" width="0.7109375" style="12" customWidth="1"/>
    <col min="13204" max="13204" width="1.85546875" style="12" customWidth="1"/>
    <col min="13205" max="13205" width="10.7109375" style="12" customWidth="1"/>
    <col min="13206" max="13206" width="0" style="12" hidden="1" customWidth="1"/>
    <col min="13207" max="13312" width="10" style="12"/>
    <col min="13313" max="13313" width="1.5703125" style="12" customWidth="1"/>
    <col min="13314" max="13314" width="1.42578125" style="12" customWidth="1"/>
    <col min="13315" max="13315" width="57.5703125" style="12" customWidth="1"/>
    <col min="13316" max="13316" width="2.7109375" style="12" customWidth="1"/>
    <col min="13317" max="13317" width="0" style="12" hidden="1" customWidth="1"/>
    <col min="13318" max="13319" width="1" style="12" customWidth="1"/>
    <col min="13320" max="13320" width="19.7109375" style="12" customWidth="1"/>
    <col min="13321" max="13322" width="1" style="12" customWidth="1"/>
    <col min="13323" max="13377" width="0" style="12" hidden="1" customWidth="1"/>
    <col min="13378" max="13379" width="1" style="12" customWidth="1"/>
    <col min="13380" max="13380" width="17.85546875" style="12" customWidth="1"/>
    <col min="13381" max="13384" width="1" style="12" customWidth="1"/>
    <col min="13385" max="13385" width="17.85546875" style="12" customWidth="1"/>
    <col min="13386" max="13389" width="1" style="12" customWidth="1"/>
    <col min="13390" max="13390" width="17.85546875" style="12" customWidth="1"/>
    <col min="13391" max="13392" width="1" style="12" customWidth="1"/>
    <col min="13393" max="13411" width="0" style="12" hidden="1" customWidth="1"/>
    <col min="13412" max="13412" width="1" style="12" customWidth="1"/>
    <col min="13413" max="13447" width="0" style="12" hidden="1" customWidth="1"/>
    <col min="13448" max="13449" width="1" style="12" customWidth="1"/>
    <col min="13450" max="13450" width="17.85546875" style="12" customWidth="1"/>
    <col min="13451" max="13454" width="1" style="12" customWidth="1"/>
    <col min="13455" max="13455" width="17.85546875" style="12" customWidth="1"/>
    <col min="13456" max="13457" width="1" style="12" customWidth="1"/>
    <col min="13458" max="13458" width="1.5703125" style="12" customWidth="1"/>
    <col min="13459" max="13459" width="0.7109375" style="12" customWidth="1"/>
    <col min="13460" max="13460" width="1.85546875" style="12" customWidth="1"/>
    <col min="13461" max="13461" width="10.7109375" style="12" customWidth="1"/>
    <col min="13462" max="13462" width="0" style="12" hidden="1" customWidth="1"/>
    <col min="13463" max="13568" width="10" style="12"/>
    <col min="13569" max="13569" width="1.5703125" style="12" customWidth="1"/>
    <col min="13570" max="13570" width="1.42578125" style="12" customWidth="1"/>
    <col min="13571" max="13571" width="57.5703125" style="12" customWidth="1"/>
    <col min="13572" max="13572" width="2.7109375" style="12" customWidth="1"/>
    <col min="13573" max="13573" width="0" style="12" hidden="1" customWidth="1"/>
    <col min="13574" max="13575" width="1" style="12" customWidth="1"/>
    <col min="13576" max="13576" width="19.7109375" style="12" customWidth="1"/>
    <col min="13577" max="13578" width="1" style="12" customWidth="1"/>
    <col min="13579" max="13633" width="0" style="12" hidden="1" customWidth="1"/>
    <col min="13634" max="13635" width="1" style="12" customWidth="1"/>
    <col min="13636" max="13636" width="17.85546875" style="12" customWidth="1"/>
    <col min="13637" max="13640" width="1" style="12" customWidth="1"/>
    <col min="13641" max="13641" width="17.85546875" style="12" customWidth="1"/>
    <col min="13642" max="13645" width="1" style="12" customWidth="1"/>
    <col min="13646" max="13646" width="17.85546875" style="12" customWidth="1"/>
    <col min="13647" max="13648" width="1" style="12" customWidth="1"/>
    <col min="13649" max="13667" width="0" style="12" hidden="1" customWidth="1"/>
    <col min="13668" max="13668" width="1" style="12" customWidth="1"/>
    <col min="13669" max="13703" width="0" style="12" hidden="1" customWidth="1"/>
    <col min="13704" max="13705" width="1" style="12" customWidth="1"/>
    <col min="13706" max="13706" width="17.85546875" style="12" customWidth="1"/>
    <col min="13707" max="13710" width="1" style="12" customWidth="1"/>
    <col min="13711" max="13711" width="17.85546875" style="12" customWidth="1"/>
    <col min="13712" max="13713" width="1" style="12" customWidth="1"/>
    <col min="13714" max="13714" width="1.5703125" style="12" customWidth="1"/>
    <col min="13715" max="13715" width="0.7109375" style="12" customWidth="1"/>
    <col min="13716" max="13716" width="1.85546875" style="12" customWidth="1"/>
    <col min="13717" max="13717" width="10.7109375" style="12" customWidth="1"/>
    <col min="13718" max="13718" width="0" style="12" hidden="1" customWidth="1"/>
    <col min="13719" max="13824" width="10" style="12"/>
    <col min="13825" max="13825" width="1.5703125" style="12" customWidth="1"/>
    <col min="13826" max="13826" width="1.42578125" style="12" customWidth="1"/>
    <col min="13827" max="13827" width="57.5703125" style="12" customWidth="1"/>
    <col min="13828" max="13828" width="2.7109375" style="12" customWidth="1"/>
    <col min="13829" max="13829" width="0" style="12" hidden="1" customWidth="1"/>
    <col min="13830" max="13831" width="1" style="12" customWidth="1"/>
    <col min="13832" max="13832" width="19.7109375" style="12" customWidth="1"/>
    <col min="13833" max="13834" width="1" style="12" customWidth="1"/>
    <col min="13835" max="13889" width="0" style="12" hidden="1" customWidth="1"/>
    <col min="13890" max="13891" width="1" style="12" customWidth="1"/>
    <col min="13892" max="13892" width="17.85546875" style="12" customWidth="1"/>
    <col min="13893" max="13896" width="1" style="12" customWidth="1"/>
    <col min="13897" max="13897" width="17.85546875" style="12" customWidth="1"/>
    <col min="13898" max="13901" width="1" style="12" customWidth="1"/>
    <col min="13902" max="13902" width="17.85546875" style="12" customWidth="1"/>
    <col min="13903" max="13904" width="1" style="12" customWidth="1"/>
    <col min="13905" max="13923" width="0" style="12" hidden="1" customWidth="1"/>
    <col min="13924" max="13924" width="1" style="12" customWidth="1"/>
    <col min="13925" max="13959" width="0" style="12" hidden="1" customWidth="1"/>
    <col min="13960" max="13961" width="1" style="12" customWidth="1"/>
    <col min="13962" max="13962" width="17.85546875" style="12" customWidth="1"/>
    <col min="13963" max="13966" width="1" style="12" customWidth="1"/>
    <col min="13967" max="13967" width="17.85546875" style="12" customWidth="1"/>
    <col min="13968" max="13969" width="1" style="12" customWidth="1"/>
    <col min="13970" max="13970" width="1.5703125" style="12" customWidth="1"/>
    <col min="13971" max="13971" width="0.7109375" style="12" customWidth="1"/>
    <col min="13972" max="13972" width="1.85546875" style="12" customWidth="1"/>
    <col min="13973" max="13973" width="10.7109375" style="12" customWidth="1"/>
    <col min="13974" max="13974" width="0" style="12" hidden="1" customWidth="1"/>
    <col min="13975" max="14080" width="10" style="12"/>
    <col min="14081" max="14081" width="1.5703125" style="12" customWidth="1"/>
    <col min="14082" max="14082" width="1.42578125" style="12" customWidth="1"/>
    <col min="14083" max="14083" width="57.5703125" style="12" customWidth="1"/>
    <col min="14084" max="14084" width="2.7109375" style="12" customWidth="1"/>
    <col min="14085" max="14085" width="0" style="12" hidden="1" customWidth="1"/>
    <col min="14086" max="14087" width="1" style="12" customWidth="1"/>
    <col min="14088" max="14088" width="19.7109375" style="12" customWidth="1"/>
    <col min="14089" max="14090" width="1" style="12" customWidth="1"/>
    <col min="14091" max="14145" width="0" style="12" hidden="1" customWidth="1"/>
    <col min="14146" max="14147" width="1" style="12" customWidth="1"/>
    <col min="14148" max="14148" width="17.85546875" style="12" customWidth="1"/>
    <col min="14149" max="14152" width="1" style="12" customWidth="1"/>
    <col min="14153" max="14153" width="17.85546875" style="12" customWidth="1"/>
    <col min="14154" max="14157" width="1" style="12" customWidth="1"/>
    <col min="14158" max="14158" width="17.85546875" style="12" customWidth="1"/>
    <col min="14159" max="14160" width="1" style="12" customWidth="1"/>
    <col min="14161" max="14179" width="0" style="12" hidden="1" customWidth="1"/>
    <col min="14180" max="14180" width="1" style="12" customWidth="1"/>
    <col min="14181" max="14215" width="0" style="12" hidden="1" customWidth="1"/>
    <col min="14216" max="14217" width="1" style="12" customWidth="1"/>
    <col min="14218" max="14218" width="17.85546875" style="12" customWidth="1"/>
    <col min="14219" max="14222" width="1" style="12" customWidth="1"/>
    <col min="14223" max="14223" width="17.85546875" style="12" customWidth="1"/>
    <col min="14224" max="14225" width="1" style="12" customWidth="1"/>
    <col min="14226" max="14226" width="1.5703125" style="12" customWidth="1"/>
    <col min="14227" max="14227" width="0.7109375" style="12" customWidth="1"/>
    <col min="14228" max="14228" width="1.85546875" style="12" customWidth="1"/>
    <col min="14229" max="14229" width="10.7109375" style="12" customWidth="1"/>
    <col min="14230" max="14230" width="0" style="12" hidden="1" customWidth="1"/>
    <col min="14231" max="14336" width="10" style="12"/>
    <col min="14337" max="14337" width="1.5703125" style="12" customWidth="1"/>
    <col min="14338" max="14338" width="1.42578125" style="12" customWidth="1"/>
    <col min="14339" max="14339" width="57.5703125" style="12" customWidth="1"/>
    <col min="14340" max="14340" width="2.7109375" style="12" customWidth="1"/>
    <col min="14341" max="14341" width="0" style="12" hidden="1" customWidth="1"/>
    <col min="14342" max="14343" width="1" style="12" customWidth="1"/>
    <col min="14344" max="14344" width="19.7109375" style="12" customWidth="1"/>
    <col min="14345" max="14346" width="1" style="12" customWidth="1"/>
    <col min="14347" max="14401" width="0" style="12" hidden="1" customWidth="1"/>
    <col min="14402" max="14403" width="1" style="12" customWidth="1"/>
    <col min="14404" max="14404" width="17.85546875" style="12" customWidth="1"/>
    <col min="14405" max="14408" width="1" style="12" customWidth="1"/>
    <col min="14409" max="14409" width="17.85546875" style="12" customWidth="1"/>
    <col min="14410" max="14413" width="1" style="12" customWidth="1"/>
    <col min="14414" max="14414" width="17.85546875" style="12" customWidth="1"/>
    <col min="14415" max="14416" width="1" style="12" customWidth="1"/>
    <col min="14417" max="14435" width="0" style="12" hidden="1" customWidth="1"/>
    <col min="14436" max="14436" width="1" style="12" customWidth="1"/>
    <col min="14437" max="14471" width="0" style="12" hidden="1" customWidth="1"/>
    <col min="14472" max="14473" width="1" style="12" customWidth="1"/>
    <col min="14474" max="14474" width="17.85546875" style="12" customWidth="1"/>
    <col min="14475" max="14478" width="1" style="12" customWidth="1"/>
    <col min="14479" max="14479" width="17.85546875" style="12" customWidth="1"/>
    <col min="14480" max="14481" width="1" style="12" customWidth="1"/>
    <col min="14482" max="14482" width="1.5703125" style="12" customWidth="1"/>
    <col min="14483" max="14483" width="0.7109375" style="12" customWidth="1"/>
    <col min="14484" max="14484" width="1.85546875" style="12" customWidth="1"/>
    <col min="14485" max="14485" width="10.7109375" style="12" customWidth="1"/>
    <col min="14486" max="14486" width="0" style="12" hidden="1" customWidth="1"/>
    <col min="14487" max="14592" width="10" style="12"/>
    <col min="14593" max="14593" width="1.5703125" style="12" customWidth="1"/>
    <col min="14594" max="14594" width="1.42578125" style="12" customWidth="1"/>
    <col min="14595" max="14595" width="57.5703125" style="12" customWidth="1"/>
    <col min="14596" max="14596" width="2.7109375" style="12" customWidth="1"/>
    <col min="14597" max="14597" width="0" style="12" hidden="1" customWidth="1"/>
    <col min="14598" max="14599" width="1" style="12" customWidth="1"/>
    <col min="14600" max="14600" width="19.7109375" style="12" customWidth="1"/>
    <col min="14601" max="14602" width="1" style="12" customWidth="1"/>
    <col min="14603" max="14657" width="0" style="12" hidden="1" customWidth="1"/>
    <col min="14658" max="14659" width="1" style="12" customWidth="1"/>
    <col min="14660" max="14660" width="17.85546875" style="12" customWidth="1"/>
    <col min="14661" max="14664" width="1" style="12" customWidth="1"/>
    <col min="14665" max="14665" width="17.85546875" style="12" customWidth="1"/>
    <col min="14666" max="14669" width="1" style="12" customWidth="1"/>
    <col min="14670" max="14670" width="17.85546875" style="12" customWidth="1"/>
    <col min="14671" max="14672" width="1" style="12" customWidth="1"/>
    <col min="14673" max="14691" width="0" style="12" hidden="1" customWidth="1"/>
    <col min="14692" max="14692" width="1" style="12" customWidth="1"/>
    <col min="14693" max="14727" width="0" style="12" hidden="1" customWidth="1"/>
    <col min="14728" max="14729" width="1" style="12" customWidth="1"/>
    <col min="14730" max="14730" width="17.85546875" style="12" customWidth="1"/>
    <col min="14731" max="14734" width="1" style="12" customWidth="1"/>
    <col min="14735" max="14735" width="17.85546875" style="12" customWidth="1"/>
    <col min="14736" max="14737" width="1" style="12" customWidth="1"/>
    <col min="14738" max="14738" width="1.5703125" style="12" customWidth="1"/>
    <col min="14739" max="14739" width="0.7109375" style="12" customWidth="1"/>
    <col min="14740" max="14740" width="1.85546875" style="12" customWidth="1"/>
    <col min="14741" max="14741" width="10.7109375" style="12" customWidth="1"/>
    <col min="14742" max="14742" width="0" style="12" hidden="1" customWidth="1"/>
    <col min="14743" max="14848" width="10" style="12"/>
    <col min="14849" max="14849" width="1.5703125" style="12" customWidth="1"/>
    <col min="14850" max="14850" width="1.42578125" style="12" customWidth="1"/>
    <col min="14851" max="14851" width="57.5703125" style="12" customWidth="1"/>
    <col min="14852" max="14852" width="2.7109375" style="12" customWidth="1"/>
    <col min="14853" max="14853" width="0" style="12" hidden="1" customWidth="1"/>
    <col min="14854" max="14855" width="1" style="12" customWidth="1"/>
    <col min="14856" max="14856" width="19.7109375" style="12" customWidth="1"/>
    <col min="14857" max="14858" width="1" style="12" customWidth="1"/>
    <col min="14859" max="14913" width="0" style="12" hidden="1" customWidth="1"/>
    <col min="14914" max="14915" width="1" style="12" customWidth="1"/>
    <col min="14916" max="14916" width="17.85546875" style="12" customWidth="1"/>
    <col min="14917" max="14920" width="1" style="12" customWidth="1"/>
    <col min="14921" max="14921" width="17.85546875" style="12" customWidth="1"/>
    <col min="14922" max="14925" width="1" style="12" customWidth="1"/>
    <col min="14926" max="14926" width="17.85546875" style="12" customWidth="1"/>
    <col min="14927" max="14928" width="1" style="12" customWidth="1"/>
    <col min="14929" max="14947" width="0" style="12" hidden="1" customWidth="1"/>
    <col min="14948" max="14948" width="1" style="12" customWidth="1"/>
    <col min="14949" max="14983" width="0" style="12" hidden="1" customWidth="1"/>
    <col min="14984" max="14985" width="1" style="12" customWidth="1"/>
    <col min="14986" max="14986" width="17.85546875" style="12" customWidth="1"/>
    <col min="14987" max="14990" width="1" style="12" customWidth="1"/>
    <col min="14991" max="14991" width="17.85546875" style="12" customWidth="1"/>
    <col min="14992" max="14993" width="1" style="12" customWidth="1"/>
    <col min="14994" max="14994" width="1.5703125" style="12" customWidth="1"/>
    <col min="14995" max="14995" width="0.7109375" style="12" customWidth="1"/>
    <col min="14996" max="14996" width="1.85546875" style="12" customWidth="1"/>
    <col min="14997" max="14997" width="10.7109375" style="12" customWidth="1"/>
    <col min="14998" max="14998" width="0" style="12" hidden="1" customWidth="1"/>
    <col min="14999" max="15104" width="10" style="12"/>
    <col min="15105" max="15105" width="1.5703125" style="12" customWidth="1"/>
    <col min="15106" max="15106" width="1.42578125" style="12" customWidth="1"/>
    <col min="15107" max="15107" width="57.5703125" style="12" customWidth="1"/>
    <col min="15108" max="15108" width="2.7109375" style="12" customWidth="1"/>
    <col min="15109" max="15109" width="0" style="12" hidden="1" customWidth="1"/>
    <col min="15110" max="15111" width="1" style="12" customWidth="1"/>
    <col min="15112" max="15112" width="19.7109375" style="12" customWidth="1"/>
    <col min="15113" max="15114" width="1" style="12" customWidth="1"/>
    <col min="15115" max="15169" width="0" style="12" hidden="1" customWidth="1"/>
    <col min="15170" max="15171" width="1" style="12" customWidth="1"/>
    <col min="15172" max="15172" width="17.85546875" style="12" customWidth="1"/>
    <col min="15173" max="15176" width="1" style="12" customWidth="1"/>
    <col min="15177" max="15177" width="17.85546875" style="12" customWidth="1"/>
    <col min="15178" max="15181" width="1" style="12" customWidth="1"/>
    <col min="15182" max="15182" width="17.85546875" style="12" customWidth="1"/>
    <col min="15183" max="15184" width="1" style="12" customWidth="1"/>
    <col min="15185" max="15203" width="0" style="12" hidden="1" customWidth="1"/>
    <col min="15204" max="15204" width="1" style="12" customWidth="1"/>
    <col min="15205" max="15239" width="0" style="12" hidden="1" customWidth="1"/>
    <col min="15240" max="15241" width="1" style="12" customWidth="1"/>
    <col min="15242" max="15242" width="17.85546875" style="12" customWidth="1"/>
    <col min="15243" max="15246" width="1" style="12" customWidth="1"/>
    <col min="15247" max="15247" width="17.85546875" style="12" customWidth="1"/>
    <col min="15248" max="15249" width="1" style="12" customWidth="1"/>
    <col min="15250" max="15250" width="1.5703125" style="12" customWidth="1"/>
    <col min="15251" max="15251" width="0.7109375" style="12" customWidth="1"/>
    <col min="15252" max="15252" width="1.85546875" style="12" customWidth="1"/>
    <col min="15253" max="15253" width="10.7109375" style="12" customWidth="1"/>
    <col min="15254" max="15254" width="0" style="12" hidden="1" customWidth="1"/>
    <col min="15255" max="15360" width="10" style="12"/>
    <col min="15361" max="15361" width="1.5703125" style="12" customWidth="1"/>
    <col min="15362" max="15362" width="1.42578125" style="12" customWidth="1"/>
    <col min="15363" max="15363" width="57.5703125" style="12" customWidth="1"/>
    <col min="15364" max="15364" width="2.7109375" style="12" customWidth="1"/>
    <col min="15365" max="15365" width="0" style="12" hidden="1" customWidth="1"/>
    <col min="15366" max="15367" width="1" style="12" customWidth="1"/>
    <col min="15368" max="15368" width="19.7109375" style="12" customWidth="1"/>
    <col min="15369" max="15370" width="1" style="12" customWidth="1"/>
    <col min="15371" max="15425" width="0" style="12" hidden="1" customWidth="1"/>
    <col min="15426" max="15427" width="1" style="12" customWidth="1"/>
    <col min="15428" max="15428" width="17.85546875" style="12" customWidth="1"/>
    <col min="15429" max="15432" width="1" style="12" customWidth="1"/>
    <col min="15433" max="15433" width="17.85546875" style="12" customWidth="1"/>
    <col min="15434" max="15437" width="1" style="12" customWidth="1"/>
    <col min="15438" max="15438" width="17.85546875" style="12" customWidth="1"/>
    <col min="15439" max="15440" width="1" style="12" customWidth="1"/>
    <col min="15441" max="15459" width="0" style="12" hidden="1" customWidth="1"/>
    <col min="15460" max="15460" width="1" style="12" customWidth="1"/>
    <col min="15461" max="15495" width="0" style="12" hidden="1" customWidth="1"/>
    <col min="15496" max="15497" width="1" style="12" customWidth="1"/>
    <col min="15498" max="15498" width="17.85546875" style="12" customWidth="1"/>
    <col min="15499" max="15502" width="1" style="12" customWidth="1"/>
    <col min="15503" max="15503" width="17.85546875" style="12" customWidth="1"/>
    <col min="15504" max="15505" width="1" style="12" customWidth="1"/>
    <col min="15506" max="15506" width="1.5703125" style="12" customWidth="1"/>
    <col min="15507" max="15507" width="0.7109375" style="12" customWidth="1"/>
    <col min="15508" max="15508" width="1.85546875" style="12" customWidth="1"/>
    <col min="15509" max="15509" width="10.7109375" style="12" customWidth="1"/>
    <col min="15510" max="15510" width="0" style="12" hidden="1" customWidth="1"/>
    <col min="15511" max="15616" width="10" style="12"/>
    <col min="15617" max="15617" width="1.5703125" style="12" customWidth="1"/>
    <col min="15618" max="15618" width="1.42578125" style="12" customWidth="1"/>
    <col min="15619" max="15619" width="57.5703125" style="12" customWidth="1"/>
    <col min="15620" max="15620" width="2.7109375" style="12" customWidth="1"/>
    <col min="15621" max="15621" width="0" style="12" hidden="1" customWidth="1"/>
    <col min="15622" max="15623" width="1" style="12" customWidth="1"/>
    <col min="15624" max="15624" width="19.7109375" style="12" customWidth="1"/>
    <col min="15625" max="15626" width="1" style="12" customWidth="1"/>
    <col min="15627" max="15681" width="0" style="12" hidden="1" customWidth="1"/>
    <col min="15682" max="15683" width="1" style="12" customWidth="1"/>
    <col min="15684" max="15684" width="17.85546875" style="12" customWidth="1"/>
    <col min="15685" max="15688" width="1" style="12" customWidth="1"/>
    <col min="15689" max="15689" width="17.85546875" style="12" customWidth="1"/>
    <col min="15690" max="15693" width="1" style="12" customWidth="1"/>
    <col min="15694" max="15694" width="17.85546875" style="12" customWidth="1"/>
    <col min="15695" max="15696" width="1" style="12" customWidth="1"/>
    <col min="15697" max="15715" width="0" style="12" hidden="1" customWidth="1"/>
    <col min="15716" max="15716" width="1" style="12" customWidth="1"/>
    <col min="15717" max="15751" width="0" style="12" hidden="1" customWidth="1"/>
    <col min="15752" max="15753" width="1" style="12" customWidth="1"/>
    <col min="15754" max="15754" width="17.85546875" style="12" customWidth="1"/>
    <col min="15755" max="15758" width="1" style="12" customWidth="1"/>
    <col min="15759" max="15759" width="17.85546875" style="12" customWidth="1"/>
    <col min="15760" max="15761" width="1" style="12" customWidth="1"/>
    <col min="15762" max="15762" width="1.5703125" style="12" customWidth="1"/>
    <col min="15763" max="15763" width="0.7109375" style="12" customWidth="1"/>
    <col min="15764" max="15764" width="1.85546875" style="12" customWidth="1"/>
    <col min="15765" max="15765" width="10.7109375" style="12" customWidth="1"/>
    <col min="15766" max="15766" width="0" style="12" hidden="1" customWidth="1"/>
    <col min="15767" max="15872" width="10" style="12"/>
    <col min="15873" max="15873" width="1.5703125" style="12" customWidth="1"/>
    <col min="15874" max="15874" width="1.42578125" style="12" customWidth="1"/>
    <col min="15875" max="15875" width="57.5703125" style="12" customWidth="1"/>
    <col min="15876" max="15876" width="2.7109375" style="12" customWidth="1"/>
    <col min="15877" max="15877" width="0" style="12" hidden="1" customWidth="1"/>
    <col min="15878" max="15879" width="1" style="12" customWidth="1"/>
    <col min="15880" max="15880" width="19.7109375" style="12" customWidth="1"/>
    <col min="15881" max="15882" width="1" style="12" customWidth="1"/>
    <col min="15883" max="15937" width="0" style="12" hidden="1" customWidth="1"/>
    <col min="15938" max="15939" width="1" style="12" customWidth="1"/>
    <col min="15940" max="15940" width="17.85546875" style="12" customWidth="1"/>
    <col min="15941" max="15944" width="1" style="12" customWidth="1"/>
    <col min="15945" max="15945" width="17.85546875" style="12" customWidth="1"/>
    <col min="15946" max="15949" width="1" style="12" customWidth="1"/>
    <col min="15950" max="15950" width="17.85546875" style="12" customWidth="1"/>
    <col min="15951" max="15952" width="1" style="12" customWidth="1"/>
    <col min="15953" max="15971" width="0" style="12" hidden="1" customWidth="1"/>
    <col min="15972" max="15972" width="1" style="12" customWidth="1"/>
    <col min="15973" max="16007" width="0" style="12" hidden="1" customWidth="1"/>
    <col min="16008" max="16009" width="1" style="12" customWidth="1"/>
    <col min="16010" max="16010" width="17.85546875" style="12" customWidth="1"/>
    <col min="16011" max="16014" width="1" style="12" customWidth="1"/>
    <col min="16015" max="16015" width="17.85546875" style="12" customWidth="1"/>
    <col min="16016" max="16017" width="1" style="12" customWidth="1"/>
    <col min="16018" max="16018" width="1.5703125" style="12" customWidth="1"/>
    <col min="16019" max="16019" width="0.7109375" style="12" customWidth="1"/>
    <col min="16020" max="16020" width="1.85546875" style="12" customWidth="1"/>
    <col min="16021" max="16021" width="10.7109375" style="12" customWidth="1"/>
    <col min="16022" max="16022" width="0" style="12" hidden="1" customWidth="1"/>
    <col min="16023" max="16128" width="10" style="12"/>
    <col min="16129" max="16129" width="1.5703125" style="12" customWidth="1"/>
    <col min="16130" max="16130" width="1.42578125" style="12" customWidth="1"/>
    <col min="16131" max="16131" width="57.5703125" style="12" customWidth="1"/>
    <col min="16132" max="16132" width="2.7109375" style="12" customWidth="1"/>
    <col min="16133" max="16133" width="0" style="12" hidden="1" customWidth="1"/>
    <col min="16134" max="16135" width="1" style="12" customWidth="1"/>
    <col min="16136" max="16136" width="19.7109375" style="12" customWidth="1"/>
    <col min="16137" max="16138" width="1" style="12" customWidth="1"/>
    <col min="16139" max="16193" width="0" style="12" hidden="1" customWidth="1"/>
    <col min="16194" max="16195" width="1" style="12" customWidth="1"/>
    <col min="16196" max="16196" width="17.85546875" style="12" customWidth="1"/>
    <col min="16197" max="16200" width="1" style="12" customWidth="1"/>
    <col min="16201" max="16201" width="17.85546875" style="12" customWidth="1"/>
    <col min="16202" max="16205" width="1" style="12" customWidth="1"/>
    <col min="16206" max="16206" width="17.85546875" style="12" customWidth="1"/>
    <col min="16207" max="16208" width="1" style="12" customWidth="1"/>
    <col min="16209" max="16227" width="0" style="12" hidden="1" customWidth="1"/>
    <col min="16228" max="16228" width="1" style="12" customWidth="1"/>
    <col min="16229" max="16263" width="0" style="12" hidden="1" customWidth="1"/>
    <col min="16264" max="16265" width="1" style="12" customWidth="1"/>
    <col min="16266" max="16266" width="17.85546875" style="12" customWidth="1"/>
    <col min="16267" max="16270" width="1" style="12" customWidth="1"/>
    <col min="16271" max="16271" width="17.85546875" style="12" customWidth="1"/>
    <col min="16272" max="16273" width="1" style="12" customWidth="1"/>
    <col min="16274" max="16274" width="1.5703125" style="12" customWidth="1"/>
    <col min="16275" max="16275" width="0.7109375" style="12" customWidth="1"/>
    <col min="16276" max="16276" width="1.85546875" style="12" customWidth="1"/>
    <col min="16277" max="16277" width="10.7109375" style="12" customWidth="1"/>
    <col min="16278" max="16278" width="0" style="12" hidden="1" customWidth="1"/>
    <col min="16279" max="16384" width="10" style="12"/>
  </cols>
  <sheetData>
    <row r="2" spans="3:150" ht="5.25" customHeight="1" x14ac:dyDescent="0.2"/>
    <row r="4" spans="3:150" x14ac:dyDescent="0.2">
      <c r="C4" s="451"/>
      <c r="D4" s="451"/>
    </row>
    <row r="5" spans="3:150" x14ac:dyDescent="0.2">
      <c r="D5" s="451"/>
    </row>
    <row r="7" spans="3:150" ht="15" customHeight="1" x14ac:dyDescent="0.25">
      <c r="C7" s="216" t="s">
        <v>292</v>
      </c>
      <c r="D7" s="90"/>
    </row>
    <row r="8" spans="3:150" x14ac:dyDescent="0.2">
      <c r="C8" s="119"/>
      <c r="E8" s="372"/>
      <c r="F8" s="473"/>
      <c r="G8" s="271"/>
      <c r="H8" s="762" t="s">
        <v>0</v>
      </c>
      <c r="I8" s="762"/>
      <c r="J8" s="762"/>
      <c r="K8" s="762"/>
      <c r="L8" s="762"/>
      <c r="M8" s="784"/>
      <c r="N8" s="784"/>
      <c r="O8" s="784"/>
      <c r="P8" s="784"/>
      <c r="Q8" s="784"/>
      <c r="R8" s="784"/>
      <c r="S8" s="784"/>
      <c r="T8" s="784"/>
      <c r="U8" s="784"/>
      <c r="V8" s="784"/>
      <c r="W8" s="784"/>
      <c r="X8" s="784"/>
      <c r="Y8" s="784"/>
      <c r="Z8" s="784"/>
      <c r="AA8" s="784"/>
      <c r="AB8" s="784"/>
      <c r="AC8" s="784"/>
      <c r="AD8" s="784"/>
      <c r="AE8" s="784"/>
      <c r="AF8" s="784"/>
      <c r="AG8" s="784"/>
      <c r="AH8" s="784"/>
      <c r="AI8" s="784"/>
      <c r="AJ8" s="784"/>
      <c r="AK8" s="784"/>
      <c r="AL8" s="784"/>
      <c r="AM8" s="784"/>
      <c r="AN8" s="784"/>
      <c r="AO8" s="784"/>
      <c r="AP8" s="784"/>
      <c r="AQ8" s="784"/>
      <c r="AR8" s="784"/>
      <c r="AS8" s="784"/>
      <c r="AT8" s="784"/>
      <c r="AU8" s="784"/>
      <c r="AV8" s="784"/>
      <c r="AW8" s="784"/>
      <c r="AX8" s="784"/>
      <c r="AY8" s="784"/>
      <c r="AZ8" s="784"/>
      <c r="BA8" s="784"/>
      <c r="BB8" s="784"/>
      <c r="BC8" s="784"/>
      <c r="BD8" s="784"/>
      <c r="BE8" s="784"/>
      <c r="BF8" s="784"/>
      <c r="BG8" s="784"/>
      <c r="BH8" s="784"/>
      <c r="BI8" s="784"/>
      <c r="BJ8" s="784"/>
      <c r="BK8" s="784"/>
      <c r="BL8" s="784"/>
      <c r="BM8" s="784"/>
      <c r="BN8" s="784"/>
      <c r="BO8" s="784"/>
      <c r="BP8" s="784"/>
      <c r="BQ8" s="784"/>
      <c r="BR8" s="784"/>
      <c r="BS8" s="784"/>
      <c r="BT8" s="784"/>
      <c r="BU8" s="784"/>
      <c r="BV8" s="117"/>
      <c r="BW8" s="117"/>
      <c r="BX8" s="88"/>
      <c r="BY8" s="117"/>
      <c r="BZ8" s="762" t="s">
        <v>1</v>
      </c>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62"/>
      <c r="DZ8" s="762"/>
      <c r="EA8" s="762"/>
      <c r="EB8" s="762"/>
      <c r="EC8" s="762"/>
      <c r="ED8" s="762"/>
      <c r="EE8" s="762"/>
      <c r="EF8" s="762"/>
      <c r="EG8" s="762"/>
      <c r="EH8" s="762"/>
      <c r="EI8" s="762"/>
      <c r="EJ8" s="762"/>
      <c r="EK8" s="762"/>
      <c r="EL8" s="762"/>
      <c r="EM8" s="762"/>
      <c r="EN8" s="200"/>
      <c r="EO8" s="253"/>
      <c r="EP8" s="244"/>
    </row>
    <row r="9" spans="3:150" ht="18" customHeight="1" x14ac:dyDescent="0.2">
      <c r="C9" s="244"/>
      <c r="E9" s="95" t="s">
        <v>18</v>
      </c>
      <c r="F9" s="337"/>
      <c r="G9" s="20"/>
      <c r="H9" s="20" t="s">
        <v>2</v>
      </c>
      <c r="I9" s="20"/>
      <c r="J9" s="20"/>
      <c r="K9" s="337"/>
      <c r="L9" s="20"/>
      <c r="M9" s="20" t="s">
        <v>3</v>
      </c>
      <c r="N9" s="20"/>
      <c r="O9" s="20"/>
      <c r="P9" s="337"/>
      <c r="Q9" s="20"/>
      <c r="R9" s="20" t="s">
        <v>4</v>
      </c>
      <c r="S9" s="20"/>
      <c r="T9" s="20"/>
      <c r="U9" s="337"/>
      <c r="V9" s="20"/>
      <c r="W9" s="20" t="s">
        <v>5</v>
      </c>
      <c r="X9" s="20"/>
      <c r="Y9" s="20"/>
      <c r="Z9" s="337"/>
      <c r="AA9" s="20"/>
      <c r="AB9" s="20" t="s">
        <v>6</v>
      </c>
      <c r="AC9" s="20"/>
      <c r="AD9" s="20"/>
      <c r="AE9" s="337"/>
      <c r="AF9" s="20"/>
      <c r="AG9" s="20" t="s">
        <v>7</v>
      </c>
      <c r="AH9" s="20"/>
      <c r="AI9" s="20"/>
      <c r="AJ9" s="337"/>
      <c r="AK9" s="20"/>
      <c r="AL9" s="20" t="s">
        <v>8</v>
      </c>
      <c r="AM9" s="20"/>
      <c r="AN9" s="20"/>
      <c r="AO9" s="337"/>
      <c r="AP9" s="20"/>
      <c r="AQ9" s="20" t="s">
        <v>9</v>
      </c>
      <c r="AR9" s="20"/>
      <c r="AS9" s="20"/>
      <c r="AT9" s="337"/>
      <c r="AU9" s="20"/>
      <c r="AV9" s="20" t="s">
        <v>10</v>
      </c>
      <c r="AW9" s="20"/>
      <c r="AX9" s="20"/>
      <c r="AY9" s="337"/>
      <c r="AZ9" s="20"/>
      <c r="BA9" s="20" t="s">
        <v>11</v>
      </c>
      <c r="BB9" s="20"/>
      <c r="BC9" s="20"/>
      <c r="BD9" s="337"/>
      <c r="BE9" s="20"/>
      <c r="BF9" s="20" t="s">
        <v>12</v>
      </c>
      <c r="BG9" s="20"/>
      <c r="BH9" s="20"/>
      <c r="BI9" s="337"/>
      <c r="BJ9" s="20"/>
      <c r="BK9" s="20" t="s">
        <v>13</v>
      </c>
      <c r="BL9" s="20"/>
      <c r="BM9" s="20"/>
      <c r="BN9" s="337"/>
      <c r="BO9" s="20"/>
      <c r="BP9" s="20" t="s">
        <v>14</v>
      </c>
      <c r="BQ9" s="20"/>
      <c r="BR9" s="20"/>
      <c r="BS9" s="337"/>
      <c r="BT9" s="20"/>
      <c r="BU9" s="20" t="s">
        <v>15</v>
      </c>
      <c r="BV9" s="20"/>
      <c r="BW9" s="20"/>
      <c r="BX9" s="290"/>
      <c r="BY9" s="20"/>
      <c r="BZ9" s="288" t="s">
        <v>16</v>
      </c>
      <c r="CA9" s="20"/>
      <c r="CB9" s="20"/>
      <c r="CC9" s="337"/>
      <c r="CD9" s="20"/>
      <c r="CE9" s="20" t="s">
        <v>3</v>
      </c>
      <c r="CF9" s="20"/>
      <c r="CG9" s="20"/>
      <c r="CH9" s="337"/>
      <c r="CI9" s="20"/>
      <c r="CJ9" s="20" t="s">
        <v>4</v>
      </c>
      <c r="CK9" s="20"/>
      <c r="CL9" s="20"/>
      <c r="CM9" s="337"/>
      <c r="CN9" s="20"/>
      <c r="CO9" s="20" t="s">
        <v>5</v>
      </c>
      <c r="CP9" s="20"/>
      <c r="CQ9" s="20"/>
      <c r="CR9" s="337"/>
      <c r="CS9" s="20"/>
      <c r="CT9" s="20" t="s">
        <v>6</v>
      </c>
      <c r="CU9" s="20"/>
      <c r="CV9" s="20"/>
      <c r="CW9" s="337"/>
      <c r="CX9" s="20"/>
      <c r="CY9" s="20" t="s">
        <v>7</v>
      </c>
      <c r="CZ9" s="20"/>
      <c r="DA9" s="20"/>
      <c r="DB9" s="337"/>
      <c r="DC9" s="20"/>
      <c r="DD9" s="20" t="s">
        <v>8</v>
      </c>
      <c r="DE9" s="20"/>
      <c r="DF9" s="20"/>
      <c r="DG9" s="337"/>
      <c r="DH9" s="20"/>
      <c r="DI9" s="20" t="s">
        <v>9</v>
      </c>
      <c r="DJ9" s="20"/>
      <c r="DK9" s="20"/>
      <c r="DL9" s="337"/>
      <c r="DM9" s="20"/>
      <c r="DN9" s="20" t="s">
        <v>10</v>
      </c>
      <c r="DO9" s="20"/>
      <c r="DP9" s="20"/>
      <c r="DQ9" s="337"/>
      <c r="DR9" s="20"/>
      <c r="DS9" s="20" t="s">
        <v>11</v>
      </c>
      <c r="DT9" s="20"/>
      <c r="DU9" s="20"/>
      <c r="DV9" s="337"/>
      <c r="DW9" s="20"/>
      <c r="DX9" s="20" t="s">
        <v>12</v>
      </c>
      <c r="DY9" s="20"/>
      <c r="DZ9" s="20"/>
      <c r="EA9" s="337"/>
      <c r="EB9" s="20"/>
      <c r="EC9" s="20" t="s">
        <v>13</v>
      </c>
      <c r="ED9" s="20"/>
      <c r="EE9" s="20"/>
      <c r="EF9" s="337"/>
      <c r="EG9" s="20"/>
      <c r="EH9" s="20" t="s">
        <v>14</v>
      </c>
      <c r="EI9" s="20"/>
      <c r="EJ9" s="20"/>
      <c r="EK9" s="337"/>
      <c r="EL9" s="20"/>
      <c r="EM9" s="20" t="s">
        <v>15</v>
      </c>
      <c r="EN9" s="20"/>
      <c r="EO9" s="20"/>
      <c r="EP9" s="244"/>
    </row>
    <row r="10" spans="3:150" ht="14.25" customHeight="1" x14ac:dyDescent="0.2">
      <c r="C10" s="394" t="s">
        <v>17</v>
      </c>
      <c r="D10" s="184"/>
      <c r="E10" s="201"/>
      <c r="F10" s="341"/>
      <c r="G10" s="405"/>
      <c r="H10" s="405" t="s">
        <v>19</v>
      </c>
      <c r="I10" s="405"/>
      <c r="J10" s="405"/>
      <c r="K10" s="341"/>
      <c r="L10" s="405"/>
      <c r="M10" s="405"/>
      <c r="N10" s="405"/>
      <c r="O10" s="405"/>
      <c r="P10" s="341"/>
      <c r="Q10" s="405"/>
      <c r="R10" s="405"/>
      <c r="S10" s="405"/>
      <c r="T10" s="405"/>
      <c r="U10" s="341"/>
      <c r="V10" s="405"/>
      <c r="W10" s="405"/>
      <c r="X10" s="405"/>
      <c r="Y10" s="405"/>
      <c r="Z10" s="341"/>
      <c r="AA10" s="405"/>
      <c r="AB10" s="405"/>
      <c r="AC10" s="405"/>
      <c r="AD10" s="405"/>
      <c r="AE10" s="341"/>
      <c r="AF10" s="405"/>
      <c r="AG10" s="405"/>
      <c r="AH10" s="405"/>
      <c r="AI10" s="405"/>
      <c r="AJ10" s="341"/>
      <c r="AK10" s="405"/>
      <c r="AL10" s="405"/>
      <c r="AM10" s="405"/>
      <c r="AN10" s="405"/>
      <c r="AO10" s="341"/>
      <c r="AP10" s="405"/>
      <c r="AQ10" s="405"/>
      <c r="AR10" s="405"/>
      <c r="AS10" s="405"/>
      <c r="AT10" s="341"/>
      <c r="AU10" s="405"/>
      <c r="AV10" s="405"/>
      <c r="AW10" s="405"/>
      <c r="AX10" s="405"/>
      <c r="AY10" s="341"/>
      <c r="AZ10" s="405"/>
      <c r="BA10" s="405"/>
      <c r="BB10" s="405"/>
      <c r="BC10" s="405"/>
      <c r="BD10" s="341"/>
      <c r="BE10" s="405"/>
      <c r="BF10" s="405"/>
      <c r="BG10" s="405"/>
      <c r="BH10" s="405"/>
      <c r="BI10" s="341"/>
      <c r="BJ10" s="405"/>
      <c r="BK10" s="405"/>
      <c r="BL10" s="405"/>
      <c r="BM10" s="405"/>
      <c r="BN10" s="341"/>
      <c r="BO10" s="405"/>
      <c r="BP10" s="405"/>
      <c r="BQ10" s="405"/>
      <c r="BR10" s="405"/>
      <c r="BS10" s="341"/>
      <c r="BT10" s="405"/>
      <c r="BU10" s="405"/>
      <c r="BV10" s="405"/>
      <c r="BW10" s="405"/>
      <c r="BX10" s="341"/>
      <c r="BY10" s="405"/>
      <c r="BZ10" s="443" t="s">
        <v>34</v>
      </c>
      <c r="CA10" s="405"/>
      <c r="CB10" s="405"/>
      <c r="CC10" s="341"/>
      <c r="CD10" s="405"/>
      <c r="CE10" s="405"/>
      <c r="CF10" s="405"/>
      <c r="CG10" s="405"/>
      <c r="CH10" s="341"/>
      <c r="CI10" s="405"/>
      <c r="CJ10" s="405"/>
      <c r="CK10" s="405"/>
      <c r="CL10" s="405"/>
      <c r="CM10" s="341"/>
      <c r="CN10" s="405"/>
      <c r="CO10" s="405"/>
      <c r="CP10" s="405"/>
      <c r="CQ10" s="405"/>
      <c r="CR10" s="341"/>
      <c r="CS10" s="405"/>
      <c r="CT10" s="405"/>
      <c r="CU10" s="405"/>
      <c r="CV10" s="405"/>
      <c r="CW10" s="341"/>
      <c r="CX10" s="405"/>
      <c r="CY10" s="405"/>
      <c r="CZ10" s="405"/>
      <c r="DA10" s="405"/>
      <c r="DB10" s="341"/>
      <c r="DC10" s="405"/>
      <c r="DD10" s="405"/>
      <c r="DE10" s="405"/>
      <c r="DF10" s="405"/>
      <c r="DG10" s="341"/>
      <c r="DH10" s="405"/>
      <c r="DI10" s="405"/>
      <c r="DJ10" s="405"/>
      <c r="DK10" s="405"/>
      <c r="DL10" s="341"/>
      <c r="DM10" s="405"/>
      <c r="DN10" s="405"/>
      <c r="DO10" s="405"/>
      <c r="DP10" s="405"/>
      <c r="DQ10" s="341"/>
      <c r="DR10" s="405"/>
      <c r="DS10" s="405"/>
      <c r="DT10" s="405"/>
      <c r="DU10" s="405"/>
      <c r="DV10" s="341"/>
      <c r="DW10" s="405"/>
      <c r="DX10" s="405"/>
      <c r="DY10" s="405"/>
      <c r="DZ10" s="405"/>
      <c r="EA10" s="341"/>
      <c r="EB10" s="405"/>
      <c r="EC10" s="405"/>
      <c r="ED10" s="405"/>
      <c r="EE10" s="405"/>
      <c r="EF10" s="341"/>
      <c r="EG10" s="405"/>
      <c r="EH10" s="405"/>
      <c r="EI10" s="405"/>
      <c r="EJ10" s="405"/>
      <c r="EK10" s="341"/>
      <c r="EL10" s="405"/>
      <c r="EM10" s="405"/>
      <c r="EN10" s="405"/>
      <c r="EO10" s="237"/>
      <c r="EP10" s="244"/>
    </row>
    <row r="11" spans="3:150" x14ac:dyDescent="0.2">
      <c r="C11" s="244"/>
      <c r="E11" s="139"/>
      <c r="F11" s="82"/>
      <c r="K11" s="82"/>
      <c r="P11" s="82"/>
      <c r="U11" s="82"/>
      <c r="Z11" s="82"/>
      <c r="AE11" s="82"/>
      <c r="AJ11" s="82"/>
      <c r="AO11" s="82"/>
      <c r="AT11" s="82"/>
      <c r="AY11" s="82"/>
      <c r="BD11" s="82"/>
      <c r="BI11" s="82"/>
      <c r="BN11" s="82"/>
      <c r="BS11" s="82"/>
      <c r="BX11" s="82"/>
      <c r="CC11" s="82"/>
      <c r="CH11" s="82"/>
      <c r="CM11" s="82"/>
      <c r="CR11" s="82"/>
      <c r="CW11" s="82"/>
      <c r="DB11" s="82"/>
      <c r="DG11" s="82"/>
      <c r="DL11" s="82"/>
      <c r="DQ11" s="82"/>
      <c r="DV11" s="82"/>
      <c r="EA11" s="82"/>
      <c r="EF11" s="82"/>
      <c r="EK11" s="82"/>
      <c r="EP11" s="244"/>
    </row>
    <row r="12" spans="3:150" x14ac:dyDescent="0.2">
      <c r="C12" s="244"/>
      <c r="E12" s="139"/>
      <c r="F12" s="82"/>
      <c r="K12" s="82"/>
      <c r="P12" s="82"/>
      <c r="U12" s="82"/>
      <c r="Z12" s="82"/>
      <c r="AE12" s="82"/>
      <c r="AJ12" s="82"/>
      <c r="AO12" s="82"/>
      <c r="AT12" s="82"/>
      <c r="AY12" s="82"/>
      <c r="BD12" s="82"/>
      <c r="BI12" s="82"/>
      <c r="BN12" s="82"/>
      <c r="BS12" s="82"/>
      <c r="BX12" s="82"/>
      <c r="CC12" s="82"/>
      <c r="CH12" s="82"/>
      <c r="CM12" s="82"/>
      <c r="CR12" s="82"/>
      <c r="CW12" s="82"/>
      <c r="DB12" s="82"/>
      <c r="DG12" s="82"/>
      <c r="DL12" s="82"/>
      <c r="DQ12" s="82"/>
      <c r="DV12" s="82"/>
      <c r="EA12" s="82"/>
      <c r="EF12" s="82"/>
      <c r="EK12" s="82"/>
      <c r="EP12" s="244"/>
    </row>
    <row r="13" spans="3:150" s="451" customFormat="1" x14ac:dyDescent="0.2">
      <c r="C13" s="484" t="s">
        <v>29</v>
      </c>
      <c r="E13" s="314"/>
      <c r="F13" s="138"/>
      <c r="H13" s="451">
        <f>+H14+H21</f>
        <v>97183520</v>
      </c>
      <c r="K13" s="138"/>
      <c r="M13" s="416">
        <f>+M14+M21</f>
        <v>37582688</v>
      </c>
      <c r="P13" s="138"/>
      <c r="R13" s="416">
        <f>+R14+R21</f>
        <v>16125619</v>
      </c>
      <c r="U13" s="138"/>
      <c r="W13" s="416">
        <f>+W14+W21</f>
        <v>11567828</v>
      </c>
      <c r="Z13" s="138"/>
      <c r="AB13" s="416">
        <f>+AB14+AB21</f>
        <v>26289577</v>
      </c>
      <c r="AE13" s="138"/>
      <c r="AG13" s="416">
        <f>+AG14+AG21</f>
        <v>-5974831</v>
      </c>
      <c r="AJ13" s="138"/>
      <c r="AL13" s="416">
        <f>+AL14+AL21</f>
        <v>1315362</v>
      </c>
      <c r="AO13" s="138"/>
      <c r="AQ13" s="416">
        <f>+AQ14+AQ21</f>
        <v>31098565</v>
      </c>
      <c r="AT13" s="138"/>
      <c r="AV13" s="416">
        <f>+AV14+AV21</f>
        <v>295423</v>
      </c>
      <c r="AY13" s="138"/>
      <c r="BA13" s="416">
        <f>+BA14+BA21</f>
        <v>-33015782</v>
      </c>
      <c r="BD13" s="138"/>
      <c r="BF13" s="416">
        <f>+BF14+BF21</f>
        <v>15701292</v>
      </c>
      <c r="BI13" s="138"/>
      <c r="BK13" s="416">
        <f>+BK14+BK21</f>
        <v>-13560314</v>
      </c>
      <c r="BL13" s="416"/>
      <c r="BM13" s="416"/>
      <c r="BN13" s="468"/>
      <c r="BO13" s="416"/>
      <c r="BP13" s="416">
        <f>+BP14+BP21</f>
        <v>7899997</v>
      </c>
      <c r="BS13" s="138"/>
      <c r="BU13" s="451">
        <f>+BU14+BU21</f>
        <v>95325424</v>
      </c>
      <c r="BX13" s="138"/>
      <c r="BZ13" s="265">
        <f>+BZ14+BZ21</f>
        <v>36077502</v>
      </c>
      <c r="CC13" s="138"/>
      <c r="CE13" s="416">
        <f>+CE14+CE21</f>
        <v>32089095</v>
      </c>
      <c r="CH13" s="138"/>
      <c r="CJ13" s="416">
        <f>+CJ14+CJ21</f>
        <v>12375928</v>
      </c>
      <c r="CM13" s="138"/>
      <c r="CO13" s="416">
        <f>+CO14+CO21</f>
        <v>21645154</v>
      </c>
      <c r="CR13" s="138"/>
      <c r="CT13" s="416">
        <f>+CT14+CT21</f>
        <v>4387554</v>
      </c>
      <c r="CW13" s="138"/>
      <c r="CY13" s="416">
        <f>+CY14+CY21</f>
        <v>10613091</v>
      </c>
      <c r="DB13" s="138"/>
      <c r="DD13" s="416">
        <f>+DD14+DD21</f>
        <v>-17323880</v>
      </c>
      <c r="DG13" s="138"/>
      <c r="DI13" s="416">
        <f>+DI14+DI21</f>
        <v>7778423</v>
      </c>
      <c r="DL13" s="138"/>
      <c r="DN13" s="416">
        <f>+DN14+DN21</f>
        <v>6126860</v>
      </c>
      <c r="DQ13" s="138"/>
      <c r="DS13" s="416">
        <f>+DS14+DS21</f>
        <v>-16508019</v>
      </c>
      <c r="DV13" s="138"/>
      <c r="DX13" s="416">
        <f>+DX14+DX21</f>
        <v>13250851</v>
      </c>
      <c r="EA13" s="138"/>
      <c r="EC13" s="416">
        <f>+EC14+EC21</f>
        <v>-2500139</v>
      </c>
      <c r="ED13" s="416"/>
      <c r="EE13" s="416"/>
      <c r="EF13" s="468"/>
      <c r="EG13" s="416"/>
      <c r="EH13" s="416">
        <f>+EH14+EH21</f>
        <v>-35857416</v>
      </c>
      <c r="EK13" s="138"/>
      <c r="EM13" s="451">
        <f>+EM14+EM21</f>
        <v>36077502</v>
      </c>
      <c r="EP13" s="484"/>
      <c r="ET13" s="451">
        <f>EM13-BZ13</f>
        <v>0</v>
      </c>
    </row>
    <row r="14" spans="3:150" x14ac:dyDescent="0.2">
      <c r="C14" s="244" t="s">
        <v>293</v>
      </c>
      <c r="E14" s="139"/>
      <c r="F14" s="82"/>
      <c r="G14" s="112"/>
      <c r="H14" s="457">
        <f>SUM(H15:H19)</f>
        <v>124538520</v>
      </c>
      <c r="I14" s="297"/>
      <c r="K14" s="82"/>
      <c r="L14" s="112"/>
      <c r="M14" s="194">
        <f>SUM(M15:M19)</f>
        <v>3561000</v>
      </c>
      <c r="N14" s="297"/>
      <c r="P14" s="82"/>
      <c r="Q14" s="112"/>
      <c r="R14" s="194">
        <f>SUM(R15:R19)</f>
        <v>10247350</v>
      </c>
      <c r="S14" s="297"/>
      <c r="U14" s="82"/>
      <c r="V14" s="112"/>
      <c r="W14" s="194">
        <f>SUM(W15:W19)</f>
        <v>11808200</v>
      </c>
      <c r="X14" s="297"/>
      <c r="Z14" s="82"/>
      <c r="AA14" s="112"/>
      <c r="AB14" s="194">
        <f>SUM(AB15:AB19)</f>
        <v>16584620</v>
      </c>
      <c r="AC14" s="297"/>
      <c r="AE14" s="82"/>
      <c r="AF14" s="112"/>
      <c r="AG14" s="194">
        <f>SUM(AG15:AG19)</f>
        <v>12547400</v>
      </c>
      <c r="AH14" s="297"/>
      <c r="AJ14" s="82"/>
      <c r="AK14" s="112"/>
      <c r="AL14" s="194">
        <f>SUM(AL15:AL19)</f>
        <v>17988450</v>
      </c>
      <c r="AM14" s="297"/>
      <c r="AO14" s="82"/>
      <c r="AP14" s="112"/>
      <c r="AQ14" s="194">
        <f>SUM(AQ15:AQ19)</f>
        <v>12270800</v>
      </c>
      <c r="AR14" s="297"/>
      <c r="AT14" s="82"/>
      <c r="AU14" s="112"/>
      <c r="AV14" s="194">
        <f>SUM(AV15:AV19)</f>
        <v>9515730</v>
      </c>
      <c r="AW14" s="297"/>
      <c r="AY14" s="82"/>
      <c r="AZ14" s="112"/>
      <c r="BA14" s="194">
        <f>SUM(BA15:BA19)</f>
        <v>517060</v>
      </c>
      <c r="BB14" s="297"/>
      <c r="BD14" s="82"/>
      <c r="BE14" s="112"/>
      <c r="BF14" s="194">
        <f>SUM(BF15:BF19)</f>
        <v>8378430</v>
      </c>
      <c r="BG14" s="297"/>
      <c r="BI14" s="82"/>
      <c r="BJ14" s="112"/>
      <c r="BK14" s="194">
        <f>SUM(BK15:BK19)</f>
        <v>9552390</v>
      </c>
      <c r="BL14" s="297"/>
      <c r="BN14" s="82"/>
      <c r="BO14" s="112"/>
      <c r="BP14" s="351">
        <f>SUM(BP15:BP19)</f>
        <v>9638830</v>
      </c>
      <c r="BQ14" s="297"/>
      <c r="BS14" s="82"/>
      <c r="BT14" s="112"/>
      <c r="BU14" s="457">
        <f>SUM(BU15:BU19)</f>
        <v>122610260</v>
      </c>
      <c r="BV14" s="297"/>
      <c r="BX14" s="82"/>
      <c r="BY14" s="112"/>
      <c r="BZ14" s="246">
        <f>SUM(BZ15:BZ19)</f>
        <v>26000430</v>
      </c>
      <c r="CA14" s="297"/>
      <c r="CC14" s="82"/>
      <c r="CD14" s="112"/>
      <c r="CE14" s="194">
        <f>SUM(CE15:CE19)</f>
        <v>5045000</v>
      </c>
      <c r="CF14" s="297"/>
      <c r="CH14" s="82"/>
      <c r="CI14" s="112"/>
      <c r="CJ14" s="194">
        <f>SUM(CJ15:CJ19)</f>
        <v>14852000</v>
      </c>
      <c r="CK14" s="297"/>
      <c r="CM14" s="82"/>
      <c r="CN14" s="112"/>
      <c r="CO14" s="194">
        <f>SUM(CO15:CO19)</f>
        <v>12705000</v>
      </c>
      <c r="CP14" s="297"/>
      <c r="CR14" s="82"/>
      <c r="CS14" s="112"/>
      <c r="CT14" s="194">
        <f>SUM(CT15:CT19)</f>
        <v>4164510</v>
      </c>
      <c r="CU14" s="297"/>
      <c r="CW14" s="82"/>
      <c r="CX14" s="112"/>
      <c r="CY14" s="194">
        <f>SUM(CY15:CY19)</f>
        <v>6693000</v>
      </c>
      <c r="CZ14" s="297"/>
      <c r="DB14" s="82"/>
      <c r="DC14" s="112"/>
      <c r="DD14" s="194">
        <f>SUM(DD15:DD19)</f>
        <v>7998300</v>
      </c>
      <c r="DE14" s="297"/>
      <c r="DG14" s="82"/>
      <c r="DH14" s="112"/>
      <c r="DI14" s="194">
        <f>SUM(DI15:DI19)</f>
        <v>3752730</v>
      </c>
      <c r="DJ14" s="297"/>
      <c r="DL14" s="82"/>
      <c r="DM14" s="112"/>
      <c r="DN14" s="194">
        <f>SUM(DN15:DN19)</f>
        <v>1301000</v>
      </c>
      <c r="DO14" s="297"/>
      <c r="DQ14" s="82"/>
      <c r="DR14" s="112"/>
      <c r="DS14" s="194">
        <f>SUM(DS15:DS19)</f>
        <v>-6212410</v>
      </c>
      <c r="DT14" s="297"/>
      <c r="DV14" s="82"/>
      <c r="DW14" s="112"/>
      <c r="DX14" s="194">
        <f>SUM(DX15:DX19)</f>
        <v>-8057160</v>
      </c>
      <c r="DY14" s="297"/>
      <c r="EA14" s="82"/>
      <c r="EB14" s="112"/>
      <c r="EC14" s="194">
        <f>SUM(EC15:EC19)</f>
        <v>-9474050</v>
      </c>
      <c r="ED14" s="297"/>
      <c r="EF14" s="82"/>
      <c r="EG14" s="112"/>
      <c r="EH14" s="351">
        <f>SUM(EH15:EH19)</f>
        <v>-6767490</v>
      </c>
      <c r="EI14" s="297"/>
      <c r="EK14" s="82"/>
      <c r="EL14" s="112"/>
      <c r="EM14" s="457">
        <f>SUM(EM15:EM19)</f>
        <v>26000430</v>
      </c>
      <c r="EN14" s="297"/>
      <c r="EP14" s="244"/>
      <c r="ES14" s="451"/>
      <c r="ET14" s="451">
        <f>EM14-BZ14</f>
        <v>0</v>
      </c>
    </row>
    <row r="15" spans="3:150" hidden="1" x14ac:dyDescent="0.2">
      <c r="C15" s="193" t="s">
        <v>294</v>
      </c>
      <c r="D15" s="350"/>
      <c r="E15" s="139"/>
      <c r="F15" s="82"/>
      <c r="G15" s="82"/>
      <c r="H15" s="323">
        <v>0</v>
      </c>
      <c r="I15" s="375"/>
      <c r="K15" s="82"/>
      <c r="L15" s="82"/>
      <c r="M15" s="423">
        <v>0</v>
      </c>
      <c r="N15" s="375"/>
      <c r="P15" s="82"/>
      <c r="Q15" s="82"/>
      <c r="R15" s="423">
        <v>0</v>
      </c>
      <c r="S15" s="375"/>
      <c r="U15" s="82"/>
      <c r="V15" s="82"/>
      <c r="W15" s="423">
        <v>0</v>
      </c>
      <c r="X15" s="375"/>
      <c r="Z15" s="82"/>
      <c r="AA15" s="82"/>
      <c r="AB15" s="423">
        <v>0</v>
      </c>
      <c r="AC15" s="375"/>
      <c r="AE15" s="82"/>
      <c r="AF15" s="82"/>
      <c r="AG15" s="423">
        <v>0</v>
      </c>
      <c r="AH15" s="375"/>
      <c r="AJ15" s="82"/>
      <c r="AK15" s="82"/>
      <c r="AL15" s="423">
        <v>0</v>
      </c>
      <c r="AM15" s="375"/>
      <c r="AO15" s="82"/>
      <c r="AP15" s="82"/>
      <c r="AQ15" s="423">
        <v>0</v>
      </c>
      <c r="AR15" s="375"/>
      <c r="AT15" s="82"/>
      <c r="AU15" s="82"/>
      <c r="AV15" s="423">
        <v>0</v>
      </c>
      <c r="AW15" s="375"/>
      <c r="AY15" s="82"/>
      <c r="AZ15" s="82"/>
      <c r="BA15" s="423">
        <v>0</v>
      </c>
      <c r="BB15" s="375"/>
      <c r="BD15" s="82"/>
      <c r="BE15" s="82"/>
      <c r="BF15" s="423">
        <v>0</v>
      </c>
      <c r="BG15" s="375"/>
      <c r="BI15" s="82"/>
      <c r="BJ15" s="82"/>
      <c r="BK15" s="423">
        <v>0</v>
      </c>
      <c r="BL15" s="375"/>
      <c r="BN15" s="82"/>
      <c r="BO15" s="82"/>
      <c r="BP15" s="423">
        <v>0</v>
      </c>
      <c r="BQ15" s="375"/>
      <c r="BS15" s="82"/>
      <c r="BT15" s="82"/>
      <c r="BU15" s="423">
        <f>SUM(M15:BP15)</f>
        <v>0</v>
      </c>
      <c r="BV15" s="375"/>
      <c r="BX15" s="82"/>
      <c r="BY15" s="82"/>
      <c r="BZ15" s="323">
        <v>0</v>
      </c>
      <c r="CA15" s="375"/>
      <c r="CC15" s="82"/>
      <c r="CD15" s="82"/>
      <c r="CE15" s="423">
        <v>0</v>
      </c>
      <c r="CF15" s="375"/>
      <c r="CH15" s="82"/>
      <c r="CI15" s="82"/>
      <c r="CJ15" s="423">
        <v>0</v>
      </c>
      <c r="CK15" s="375"/>
      <c r="CM15" s="82"/>
      <c r="CN15" s="82"/>
      <c r="CO15" s="423">
        <v>0</v>
      </c>
      <c r="CP15" s="375"/>
      <c r="CR15" s="82"/>
      <c r="CS15" s="82"/>
      <c r="CT15" s="423">
        <v>0</v>
      </c>
      <c r="CU15" s="375"/>
      <c r="CW15" s="82"/>
      <c r="CX15" s="82"/>
      <c r="CY15" s="423">
        <v>0</v>
      </c>
      <c r="CZ15" s="375"/>
      <c r="DB15" s="82"/>
      <c r="DC15" s="82"/>
      <c r="DD15" s="423">
        <v>0</v>
      </c>
      <c r="DE15" s="375"/>
      <c r="DG15" s="82"/>
      <c r="DH15" s="82"/>
      <c r="DI15" s="423">
        <v>0</v>
      </c>
      <c r="DJ15" s="375"/>
      <c r="DL15" s="82"/>
      <c r="DM15" s="82"/>
      <c r="DN15" s="423">
        <v>0</v>
      </c>
      <c r="DO15" s="375"/>
      <c r="DQ15" s="82"/>
      <c r="DR15" s="82"/>
      <c r="DS15" s="423">
        <v>0</v>
      </c>
      <c r="DT15" s="375"/>
      <c r="DV15" s="82"/>
      <c r="DW15" s="82"/>
      <c r="DX15" s="423">
        <v>0</v>
      </c>
      <c r="DY15" s="375"/>
      <c r="EA15" s="82"/>
      <c r="EB15" s="82"/>
      <c r="EC15" s="423">
        <v>0</v>
      </c>
      <c r="ED15" s="375"/>
      <c r="EF15" s="82"/>
      <c r="EG15" s="82"/>
      <c r="EH15" s="423">
        <v>0</v>
      </c>
      <c r="EI15" s="375"/>
      <c r="EK15" s="82"/>
      <c r="EL15" s="82"/>
      <c r="EM15" s="423">
        <f>SUM(CE15:DS15)</f>
        <v>0</v>
      </c>
      <c r="EN15" s="375"/>
      <c r="EP15" s="244"/>
      <c r="ES15" s="451"/>
      <c r="ET15" s="451">
        <f t="shared" ref="ET15:ET74" si="0">EM15-BZ15</f>
        <v>0</v>
      </c>
    </row>
    <row r="16" spans="3:150" x14ac:dyDescent="0.2">
      <c r="C16" s="193" t="s">
        <v>295</v>
      </c>
      <c r="D16" s="350"/>
      <c r="E16" s="139"/>
      <c r="F16" s="82"/>
      <c r="G16" s="82"/>
      <c r="H16" s="323">
        <v>7101850</v>
      </c>
      <c r="I16" s="375"/>
      <c r="K16" s="82"/>
      <c r="L16" s="82"/>
      <c r="M16" s="423">
        <v>1151700</v>
      </c>
      <c r="N16" s="375"/>
      <c r="P16" s="82"/>
      <c r="Q16" s="82"/>
      <c r="R16" s="423">
        <v>3396850</v>
      </c>
      <c r="S16" s="375"/>
      <c r="U16" s="82"/>
      <c r="V16" s="82"/>
      <c r="W16" s="423">
        <v>3277100</v>
      </c>
      <c r="X16" s="375"/>
      <c r="Z16" s="82"/>
      <c r="AA16" s="82"/>
      <c r="AB16" s="423">
        <v>1390400</v>
      </c>
      <c r="AC16" s="375"/>
      <c r="AE16" s="82"/>
      <c r="AF16" s="82"/>
      <c r="AG16" s="423">
        <v>-727100</v>
      </c>
      <c r="AH16" s="375"/>
      <c r="AJ16" s="82"/>
      <c r="AK16" s="82"/>
      <c r="AL16" s="423">
        <v>-1077800</v>
      </c>
      <c r="AM16" s="375"/>
      <c r="AO16" s="82"/>
      <c r="AP16" s="82"/>
      <c r="AQ16" s="423">
        <v>187300</v>
      </c>
      <c r="AR16" s="375"/>
      <c r="AT16" s="82"/>
      <c r="AU16" s="82"/>
      <c r="AV16" s="423">
        <v>-426670</v>
      </c>
      <c r="AW16" s="375"/>
      <c r="AY16" s="82"/>
      <c r="AZ16" s="82"/>
      <c r="BA16" s="423">
        <v>-407000</v>
      </c>
      <c r="BB16" s="375"/>
      <c r="BD16" s="71"/>
      <c r="BE16" s="82"/>
      <c r="BF16" s="423">
        <v>-496600</v>
      </c>
      <c r="BG16" s="375"/>
      <c r="BI16" s="82"/>
      <c r="BJ16" s="82"/>
      <c r="BK16" s="423">
        <v>-27510</v>
      </c>
      <c r="BL16" s="375"/>
      <c r="BN16" s="82"/>
      <c r="BO16" s="82"/>
      <c r="BP16" s="71">
        <v>-1507320</v>
      </c>
      <c r="BQ16" s="375"/>
      <c r="BS16" s="82"/>
      <c r="BT16" s="82"/>
      <c r="BU16" s="423">
        <f>SUM(M16:BP16)</f>
        <v>4733350</v>
      </c>
      <c r="BV16" s="375"/>
      <c r="BX16" s="82"/>
      <c r="BY16" s="82"/>
      <c r="BZ16" s="323">
        <v>-6398450</v>
      </c>
      <c r="CA16" s="375"/>
      <c r="CC16" s="82"/>
      <c r="CD16" s="82"/>
      <c r="CE16" s="423">
        <v>1215940</v>
      </c>
      <c r="CF16" s="375"/>
      <c r="CH16" s="82"/>
      <c r="CI16" s="82"/>
      <c r="CJ16" s="423">
        <v>5467000</v>
      </c>
      <c r="CK16" s="375"/>
      <c r="CM16" s="82"/>
      <c r="CN16" s="82"/>
      <c r="CO16" s="423">
        <v>2901200</v>
      </c>
      <c r="CP16" s="375"/>
      <c r="CR16" s="82"/>
      <c r="CS16" s="82"/>
      <c r="CT16" s="423">
        <v>1840830</v>
      </c>
      <c r="CU16" s="375"/>
      <c r="CW16" s="82"/>
      <c r="CX16" s="82"/>
      <c r="CY16" s="423">
        <v>950000</v>
      </c>
      <c r="CZ16" s="375"/>
      <c r="DB16" s="82"/>
      <c r="DC16" s="82"/>
      <c r="DD16" s="423">
        <v>2698800</v>
      </c>
      <c r="DE16" s="375"/>
      <c r="DG16" s="82"/>
      <c r="DH16" s="82"/>
      <c r="DI16" s="423">
        <v>-3840070</v>
      </c>
      <c r="DJ16" s="375"/>
      <c r="DL16" s="82"/>
      <c r="DM16" s="82"/>
      <c r="DN16" s="423">
        <v>-786900</v>
      </c>
      <c r="DO16" s="375"/>
      <c r="DQ16" s="82"/>
      <c r="DR16" s="82"/>
      <c r="DS16" s="423">
        <v>-4877810</v>
      </c>
      <c r="DT16" s="375"/>
      <c r="DV16" s="71"/>
      <c r="DW16" s="82"/>
      <c r="DX16" s="423">
        <v>-4546100</v>
      </c>
      <c r="DY16" s="375"/>
      <c r="EA16" s="82"/>
      <c r="EB16" s="82"/>
      <c r="EC16" s="423">
        <v>-6099850</v>
      </c>
      <c r="ED16" s="375"/>
      <c r="EF16" s="82"/>
      <c r="EG16" s="82"/>
      <c r="EH16" s="71">
        <v>-1321490</v>
      </c>
      <c r="EI16" s="375"/>
      <c r="EK16" s="82"/>
      <c r="EL16" s="82"/>
      <c r="EM16" s="423">
        <f>SUM(CE16:EH16)</f>
        <v>-6398450</v>
      </c>
      <c r="EN16" s="375"/>
      <c r="EP16" s="244"/>
      <c r="ES16" s="451"/>
      <c r="ET16" s="451">
        <f t="shared" si="0"/>
        <v>0</v>
      </c>
    </row>
    <row r="17" spans="3:150" x14ac:dyDescent="0.2">
      <c r="C17" s="193" t="s">
        <v>296</v>
      </c>
      <c r="D17" s="350"/>
      <c r="E17" s="139"/>
      <c r="F17" s="82"/>
      <c r="G17" s="82"/>
      <c r="H17" s="219">
        <v>16026600</v>
      </c>
      <c r="I17" s="375"/>
      <c r="K17" s="82"/>
      <c r="L17" s="82"/>
      <c r="M17" s="71">
        <v>-102350</v>
      </c>
      <c r="N17" s="375"/>
      <c r="P17" s="82"/>
      <c r="Q17" s="82"/>
      <c r="R17" s="71">
        <v>4585900</v>
      </c>
      <c r="S17" s="375"/>
      <c r="U17" s="82"/>
      <c r="V17" s="82"/>
      <c r="W17" s="71">
        <v>5164300</v>
      </c>
      <c r="X17" s="375"/>
      <c r="Z17" s="82"/>
      <c r="AA17" s="82"/>
      <c r="AB17" s="71">
        <v>4295800</v>
      </c>
      <c r="AC17" s="375"/>
      <c r="AE17" s="82"/>
      <c r="AF17" s="82"/>
      <c r="AG17" s="71">
        <v>4060000</v>
      </c>
      <c r="AH17" s="375"/>
      <c r="AJ17" s="82"/>
      <c r="AK17" s="82"/>
      <c r="AL17" s="71">
        <v>4689950</v>
      </c>
      <c r="AM17" s="375"/>
      <c r="AO17" s="82"/>
      <c r="AP17" s="82"/>
      <c r="AQ17" s="71">
        <v>1089600</v>
      </c>
      <c r="AR17" s="375"/>
      <c r="AT17" s="82"/>
      <c r="AU17" s="82"/>
      <c r="AV17" s="71">
        <v>-648800</v>
      </c>
      <c r="AW17" s="375"/>
      <c r="AY17" s="82"/>
      <c r="AZ17" s="82"/>
      <c r="BA17" s="71">
        <v>-7467800</v>
      </c>
      <c r="BB17" s="375"/>
      <c r="BD17" s="82"/>
      <c r="BE17" s="82"/>
      <c r="BF17" s="71">
        <v>0</v>
      </c>
      <c r="BG17" s="375"/>
      <c r="BI17" s="82"/>
      <c r="BJ17" s="82"/>
      <c r="BK17" s="71" t="s">
        <v>297</v>
      </c>
      <c r="BL17" s="375"/>
      <c r="BN17" s="82"/>
      <c r="BO17" s="82"/>
      <c r="BP17" s="71">
        <v>-2054100</v>
      </c>
      <c r="BQ17" s="375"/>
      <c r="BS17" s="82"/>
      <c r="BT17" s="82"/>
      <c r="BU17" s="71">
        <f>SUM(M17:BP17)</f>
        <v>13612500</v>
      </c>
      <c r="BV17" s="375"/>
      <c r="BX17" s="82"/>
      <c r="BY17" s="82"/>
      <c r="BZ17" s="219">
        <v>-2450200</v>
      </c>
      <c r="CA17" s="375"/>
      <c r="CC17" s="82"/>
      <c r="CD17" s="82"/>
      <c r="CE17" s="71">
        <v>-934500</v>
      </c>
      <c r="CF17" s="375"/>
      <c r="CH17" s="82"/>
      <c r="CI17" s="82"/>
      <c r="CJ17" s="71">
        <v>862000</v>
      </c>
      <c r="CK17" s="375"/>
      <c r="CM17" s="82"/>
      <c r="CN17" s="82"/>
      <c r="CO17" s="71">
        <v>3843800</v>
      </c>
      <c r="CP17" s="375"/>
      <c r="CR17" s="82"/>
      <c r="CS17" s="82"/>
      <c r="CT17" s="71">
        <v>-2062500</v>
      </c>
      <c r="CU17" s="375"/>
      <c r="CW17" s="82"/>
      <c r="CX17" s="82"/>
      <c r="CY17" s="71">
        <v>725000</v>
      </c>
      <c r="CZ17" s="375"/>
      <c r="DB17" s="82"/>
      <c r="DC17" s="82"/>
      <c r="DD17" s="71">
        <v>2080000</v>
      </c>
      <c r="DE17" s="375"/>
      <c r="DG17" s="82"/>
      <c r="DH17" s="82"/>
      <c r="DI17" s="71">
        <v>1107900</v>
      </c>
      <c r="DJ17" s="375"/>
      <c r="DL17" s="82"/>
      <c r="DM17" s="82"/>
      <c r="DN17" s="71">
        <v>-2092100</v>
      </c>
      <c r="DO17" s="375"/>
      <c r="DQ17" s="82"/>
      <c r="DR17" s="82"/>
      <c r="DS17" s="71">
        <v>-2481300</v>
      </c>
      <c r="DT17" s="375"/>
      <c r="DV17" s="82"/>
      <c r="DW17" s="82"/>
      <c r="DX17" s="71">
        <v>-287500</v>
      </c>
      <c r="DY17" s="375"/>
      <c r="EA17" s="82"/>
      <c r="EB17" s="82"/>
      <c r="EC17" s="71">
        <v>-1005000</v>
      </c>
      <c r="ED17" s="375"/>
      <c r="EF17" s="82"/>
      <c r="EG17" s="82"/>
      <c r="EH17" s="71">
        <v>-2206000</v>
      </c>
      <c r="EI17" s="375"/>
      <c r="EK17" s="82"/>
      <c r="EL17" s="82"/>
      <c r="EM17" s="71">
        <f>SUM(CE17:EH17)</f>
        <v>-2450200</v>
      </c>
      <c r="EN17" s="375"/>
      <c r="EP17" s="244"/>
      <c r="ES17" s="451"/>
      <c r="ET17" s="451">
        <f>EM17-BZ17</f>
        <v>0</v>
      </c>
    </row>
    <row r="18" spans="3:150" x14ac:dyDescent="0.2">
      <c r="C18" s="193" t="s">
        <v>298</v>
      </c>
      <c r="D18" s="350"/>
      <c r="E18" s="139"/>
      <c r="F18" s="82"/>
      <c r="G18" s="82"/>
      <c r="H18" s="219">
        <v>44210500</v>
      </c>
      <c r="I18" s="375"/>
      <c r="K18" s="82"/>
      <c r="L18" s="82"/>
      <c r="M18" s="71">
        <v>830100</v>
      </c>
      <c r="N18" s="375"/>
      <c r="P18" s="82"/>
      <c r="Q18" s="82"/>
      <c r="R18" s="71">
        <v>1373600</v>
      </c>
      <c r="S18" s="375"/>
      <c r="U18" s="82"/>
      <c r="V18" s="82"/>
      <c r="W18" s="71">
        <v>1756500</v>
      </c>
      <c r="X18" s="375"/>
      <c r="Z18" s="82"/>
      <c r="AA18" s="82"/>
      <c r="AB18" s="71">
        <v>4166600</v>
      </c>
      <c r="AC18" s="375"/>
      <c r="AE18" s="82"/>
      <c r="AF18" s="82"/>
      <c r="AG18" s="71">
        <v>4360000</v>
      </c>
      <c r="AH18" s="375"/>
      <c r="AJ18" s="82"/>
      <c r="AK18" s="82"/>
      <c r="AL18" s="71">
        <v>7501300</v>
      </c>
      <c r="AM18" s="375"/>
      <c r="AO18" s="82"/>
      <c r="AP18" s="82"/>
      <c r="AQ18" s="71">
        <v>6284700</v>
      </c>
      <c r="AR18" s="375"/>
      <c r="AT18" s="82"/>
      <c r="AU18" s="82"/>
      <c r="AV18" s="71">
        <v>5731200</v>
      </c>
      <c r="AW18" s="375"/>
      <c r="AY18" s="82"/>
      <c r="AZ18" s="82"/>
      <c r="BA18" s="71">
        <v>3549100</v>
      </c>
      <c r="BB18" s="375"/>
      <c r="BD18" s="82"/>
      <c r="BE18" s="82"/>
      <c r="BF18" s="71">
        <v>3400000</v>
      </c>
      <c r="BG18" s="375"/>
      <c r="BI18" s="82"/>
      <c r="BJ18" s="82"/>
      <c r="BK18" s="71">
        <v>2348590</v>
      </c>
      <c r="BL18" s="375"/>
      <c r="BN18" s="82"/>
      <c r="BO18" s="82"/>
      <c r="BP18" s="71">
        <v>3551800</v>
      </c>
      <c r="BQ18" s="375"/>
      <c r="BS18" s="82"/>
      <c r="BT18" s="82"/>
      <c r="BU18" s="71">
        <f>SUM(M18:BP18)</f>
        <v>44853490</v>
      </c>
      <c r="BV18" s="375"/>
      <c r="BX18" s="82"/>
      <c r="BY18" s="82"/>
      <c r="BZ18" s="219">
        <v>10789400</v>
      </c>
      <c r="CA18" s="375"/>
      <c r="CC18" s="82"/>
      <c r="CD18" s="82"/>
      <c r="CE18" s="71">
        <v>1893560</v>
      </c>
      <c r="CF18" s="375"/>
      <c r="CH18" s="82"/>
      <c r="CI18" s="82"/>
      <c r="CJ18" s="71">
        <v>3478000</v>
      </c>
      <c r="CK18" s="375"/>
      <c r="CM18" s="82"/>
      <c r="CN18" s="82"/>
      <c r="CO18" s="71">
        <v>2070000</v>
      </c>
      <c r="CP18" s="375"/>
      <c r="CR18" s="82"/>
      <c r="CS18" s="82"/>
      <c r="CT18" s="71">
        <v>1500</v>
      </c>
      <c r="CU18" s="375"/>
      <c r="CW18" s="82"/>
      <c r="CX18" s="82"/>
      <c r="CY18" s="71">
        <v>1752500</v>
      </c>
      <c r="CZ18" s="375"/>
      <c r="DB18" s="82"/>
      <c r="DC18" s="82"/>
      <c r="DD18" s="71">
        <v>1409500</v>
      </c>
      <c r="DE18" s="375"/>
      <c r="DG18" s="82"/>
      <c r="DH18" s="82"/>
      <c r="DI18" s="71">
        <v>3058400</v>
      </c>
      <c r="DJ18" s="375"/>
      <c r="DL18" s="82"/>
      <c r="DM18" s="82"/>
      <c r="DN18" s="71">
        <v>2220000</v>
      </c>
      <c r="DO18" s="375"/>
      <c r="DQ18" s="82"/>
      <c r="DR18" s="82"/>
      <c r="DS18" s="71">
        <v>748700</v>
      </c>
      <c r="DT18" s="375"/>
      <c r="DV18" s="82"/>
      <c r="DW18" s="82"/>
      <c r="DX18" s="71">
        <v>-2073560</v>
      </c>
      <c r="DY18" s="375"/>
      <c r="EA18" s="82"/>
      <c r="EB18" s="82"/>
      <c r="EC18" s="71">
        <v>-1449200</v>
      </c>
      <c r="ED18" s="375"/>
      <c r="EF18" s="82"/>
      <c r="EG18" s="82"/>
      <c r="EH18" s="71">
        <v>-2320000</v>
      </c>
      <c r="EI18" s="375"/>
      <c r="EK18" s="82"/>
      <c r="EL18" s="82"/>
      <c r="EM18" s="71">
        <f>SUM(CE18:EH18)</f>
        <v>10789400</v>
      </c>
      <c r="EN18" s="375"/>
      <c r="EP18" s="244"/>
      <c r="ES18" s="451"/>
      <c r="ET18" s="451">
        <f t="shared" si="0"/>
        <v>0</v>
      </c>
    </row>
    <row r="19" spans="3:150" x14ac:dyDescent="0.2">
      <c r="C19" s="193" t="s">
        <v>299</v>
      </c>
      <c r="D19" s="350"/>
      <c r="E19" s="139"/>
      <c r="F19" s="82"/>
      <c r="G19" s="82"/>
      <c r="H19" s="376">
        <v>57199570</v>
      </c>
      <c r="I19" s="375"/>
      <c r="K19" s="82"/>
      <c r="L19" s="82"/>
      <c r="M19" s="434">
        <v>1681550</v>
      </c>
      <c r="N19" s="375"/>
      <c r="P19" s="82"/>
      <c r="Q19" s="82"/>
      <c r="R19" s="434">
        <v>891000</v>
      </c>
      <c r="S19" s="375"/>
      <c r="U19" s="82"/>
      <c r="V19" s="82"/>
      <c r="W19" s="434">
        <v>1610300</v>
      </c>
      <c r="X19" s="375"/>
      <c r="Z19" s="82"/>
      <c r="AA19" s="82"/>
      <c r="AB19" s="434">
        <v>6731820</v>
      </c>
      <c r="AC19" s="375"/>
      <c r="AE19" s="82"/>
      <c r="AF19" s="82"/>
      <c r="AG19" s="434">
        <v>4854500</v>
      </c>
      <c r="AH19" s="375"/>
      <c r="AJ19" s="82"/>
      <c r="AK19" s="82"/>
      <c r="AL19" s="434">
        <v>6875000</v>
      </c>
      <c r="AM19" s="375"/>
      <c r="AO19" s="82"/>
      <c r="AP19" s="82"/>
      <c r="AQ19" s="434">
        <v>4709200</v>
      </c>
      <c r="AR19" s="375"/>
      <c r="AT19" s="82"/>
      <c r="AU19" s="82"/>
      <c r="AV19" s="434">
        <v>4860000</v>
      </c>
      <c r="AW19" s="375"/>
      <c r="AY19" s="82"/>
      <c r="AZ19" s="82"/>
      <c r="BA19" s="434">
        <v>4842760</v>
      </c>
      <c r="BB19" s="375"/>
      <c r="BD19" s="82"/>
      <c r="BE19" s="82"/>
      <c r="BF19" s="434">
        <v>5475030</v>
      </c>
      <c r="BG19" s="375"/>
      <c r="BI19" s="82"/>
      <c r="BJ19" s="82"/>
      <c r="BK19" s="434">
        <v>7231310</v>
      </c>
      <c r="BL19" s="375"/>
      <c r="BN19" s="82"/>
      <c r="BO19" s="82"/>
      <c r="BP19" s="434">
        <v>9648450</v>
      </c>
      <c r="BQ19" s="375"/>
      <c r="BS19" s="82"/>
      <c r="BT19" s="82"/>
      <c r="BU19" s="434">
        <f>SUM(M19:BP19)</f>
        <v>59410920</v>
      </c>
      <c r="BV19" s="375"/>
      <c r="BX19" s="82"/>
      <c r="BY19" s="82"/>
      <c r="BZ19" s="376">
        <v>24059680</v>
      </c>
      <c r="CA19" s="375"/>
      <c r="CC19" s="82"/>
      <c r="CD19" s="82"/>
      <c r="CE19" s="434">
        <v>2870000</v>
      </c>
      <c r="CF19" s="375"/>
      <c r="CH19" s="82"/>
      <c r="CI19" s="82"/>
      <c r="CJ19" s="434">
        <v>5045000</v>
      </c>
      <c r="CK19" s="375"/>
      <c r="CM19" s="82"/>
      <c r="CN19" s="82"/>
      <c r="CO19" s="434">
        <v>3890000</v>
      </c>
      <c r="CP19" s="375"/>
      <c r="CR19" s="82"/>
      <c r="CS19" s="82"/>
      <c r="CT19" s="434">
        <v>4384680</v>
      </c>
      <c r="CU19" s="375"/>
      <c r="CW19" s="82"/>
      <c r="CX19" s="82"/>
      <c r="CY19" s="434">
        <v>3265500</v>
      </c>
      <c r="CZ19" s="375"/>
      <c r="DB19" s="82"/>
      <c r="DC19" s="82"/>
      <c r="DD19" s="434">
        <v>1810000</v>
      </c>
      <c r="DE19" s="375"/>
      <c r="DG19" s="82"/>
      <c r="DH19" s="82"/>
      <c r="DI19" s="434">
        <v>3426500</v>
      </c>
      <c r="DJ19" s="375"/>
      <c r="DL19" s="82"/>
      <c r="DM19" s="82"/>
      <c r="DN19" s="434">
        <v>1960000</v>
      </c>
      <c r="DO19" s="375"/>
      <c r="DQ19" s="82"/>
      <c r="DR19" s="82"/>
      <c r="DS19" s="434">
        <v>398000</v>
      </c>
      <c r="DT19" s="375"/>
      <c r="DV19" s="82"/>
      <c r="DW19" s="82"/>
      <c r="DX19" s="434">
        <v>-1150000</v>
      </c>
      <c r="DY19" s="375"/>
      <c r="EA19" s="82"/>
      <c r="EB19" s="82"/>
      <c r="EC19" s="434">
        <v>-920000</v>
      </c>
      <c r="ED19" s="375"/>
      <c r="EF19" s="82"/>
      <c r="EG19" s="82"/>
      <c r="EH19" s="434">
        <v>-920000</v>
      </c>
      <c r="EI19" s="375"/>
      <c r="EK19" s="82"/>
      <c r="EL19" s="82"/>
      <c r="EM19" s="434">
        <f>SUM(CE19:EH19)</f>
        <v>24059680</v>
      </c>
      <c r="EN19" s="375"/>
      <c r="EP19" s="244"/>
      <c r="ES19" s="451"/>
      <c r="ET19" s="451">
        <f t="shared" si="0"/>
        <v>0</v>
      </c>
    </row>
    <row r="20" spans="3:150" x14ac:dyDescent="0.2">
      <c r="C20" s="244"/>
      <c r="E20" s="139"/>
      <c r="F20" s="82"/>
      <c r="G20" s="82"/>
      <c r="I20" s="375"/>
      <c r="K20" s="82"/>
      <c r="L20" s="82"/>
      <c r="N20" s="375"/>
      <c r="P20" s="82"/>
      <c r="Q20" s="82"/>
      <c r="S20" s="375"/>
      <c r="U20" s="82"/>
      <c r="V20" s="82"/>
      <c r="X20" s="375"/>
      <c r="Z20" s="82"/>
      <c r="AA20" s="82"/>
      <c r="AC20" s="375"/>
      <c r="AE20" s="82"/>
      <c r="AF20" s="82"/>
      <c r="AH20" s="375"/>
      <c r="AJ20" s="82"/>
      <c r="AK20" s="82"/>
      <c r="AM20" s="375"/>
      <c r="AO20" s="82"/>
      <c r="AP20" s="82"/>
      <c r="AR20" s="375"/>
      <c r="AT20" s="82"/>
      <c r="AU20" s="82"/>
      <c r="AW20" s="375"/>
      <c r="AY20" s="82"/>
      <c r="AZ20" s="82"/>
      <c r="BB20" s="375"/>
      <c r="BD20" s="82"/>
      <c r="BE20" s="82"/>
      <c r="BG20" s="375"/>
      <c r="BI20" s="82"/>
      <c r="BJ20" s="82"/>
      <c r="BL20" s="375"/>
      <c r="BN20" s="82"/>
      <c r="BO20" s="82"/>
      <c r="BQ20" s="375"/>
      <c r="BS20" s="82"/>
      <c r="BT20" s="82"/>
      <c r="BV20" s="375"/>
      <c r="BX20" s="82"/>
      <c r="BY20" s="82"/>
      <c r="BZ20" s="477"/>
      <c r="CA20" s="375"/>
      <c r="CC20" s="82"/>
      <c r="CD20" s="82"/>
      <c r="CF20" s="375"/>
      <c r="CH20" s="82"/>
      <c r="CI20" s="82"/>
      <c r="CK20" s="375"/>
      <c r="CM20" s="82"/>
      <c r="CN20" s="82"/>
      <c r="CP20" s="375"/>
      <c r="CR20" s="82"/>
      <c r="CS20" s="82"/>
      <c r="CU20" s="375"/>
      <c r="CW20" s="82"/>
      <c r="CX20" s="82"/>
      <c r="CZ20" s="375"/>
      <c r="DB20" s="82"/>
      <c r="DC20" s="82"/>
      <c r="DE20" s="375"/>
      <c r="DG20" s="82"/>
      <c r="DH20" s="82"/>
      <c r="DJ20" s="375"/>
      <c r="DL20" s="82"/>
      <c r="DM20" s="82"/>
      <c r="DO20" s="375"/>
      <c r="DQ20" s="82"/>
      <c r="DR20" s="82"/>
      <c r="DT20" s="375"/>
      <c r="DV20" s="82"/>
      <c r="DW20" s="82"/>
      <c r="DY20" s="375"/>
      <c r="EA20" s="82"/>
      <c r="EB20" s="82"/>
      <c r="ED20" s="375"/>
      <c r="EF20" s="82"/>
      <c r="EG20" s="82"/>
      <c r="EI20" s="375"/>
      <c r="EK20" s="82"/>
      <c r="EL20" s="82"/>
      <c r="EN20" s="375"/>
      <c r="EP20" s="244"/>
      <c r="ES20" s="451"/>
      <c r="ET20" s="451">
        <f t="shared" si="0"/>
        <v>0</v>
      </c>
    </row>
    <row r="21" spans="3:150" x14ac:dyDescent="0.2">
      <c r="C21" s="129" t="s">
        <v>300</v>
      </c>
      <c r="D21" s="350"/>
      <c r="E21" s="139"/>
      <c r="F21" s="82"/>
      <c r="G21" s="276"/>
      <c r="H21" s="175">
        <v>-27355000</v>
      </c>
      <c r="I21" s="158"/>
      <c r="K21" s="82"/>
      <c r="L21" s="276"/>
      <c r="M21" s="438">
        <v>34021688</v>
      </c>
      <c r="N21" s="158"/>
      <c r="P21" s="82"/>
      <c r="Q21" s="276"/>
      <c r="R21" s="438">
        <v>5878269</v>
      </c>
      <c r="S21" s="158"/>
      <c r="U21" s="82"/>
      <c r="V21" s="276"/>
      <c r="W21" s="438">
        <v>-240372</v>
      </c>
      <c r="X21" s="158"/>
      <c r="Z21" s="82"/>
      <c r="AA21" s="276"/>
      <c r="AB21" s="438">
        <v>9704957</v>
      </c>
      <c r="AC21" s="158"/>
      <c r="AE21" s="82"/>
      <c r="AF21" s="276"/>
      <c r="AG21" s="438">
        <v>-18522231</v>
      </c>
      <c r="AH21" s="158"/>
      <c r="AJ21" s="82"/>
      <c r="AK21" s="276"/>
      <c r="AL21" s="438">
        <v>-16673088</v>
      </c>
      <c r="AM21" s="158"/>
      <c r="AO21" s="82"/>
      <c r="AP21" s="276"/>
      <c r="AQ21" s="438">
        <v>18827765</v>
      </c>
      <c r="AR21" s="158"/>
      <c r="AT21" s="82"/>
      <c r="AU21" s="276"/>
      <c r="AV21" s="438">
        <v>-9220307</v>
      </c>
      <c r="AW21" s="158"/>
      <c r="AY21" s="82"/>
      <c r="AZ21" s="276"/>
      <c r="BA21" s="438">
        <v>-33532842</v>
      </c>
      <c r="BB21" s="158"/>
      <c r="BD21" s="82"/>
      <c r="BE21" s="276"/>
      <c r="BF21" s="438">
        <v>7322862</v>
      </c>
      <c r="BG21" s="158"/>
      <c r="BI21" s="82"/>
      <c r="BJ21" s="276"/>
      <c r="BK21" s="438">
        <v>-23112704</v>
      </c>
      <c r="BL21" s="158"/>
      <c r="BN21" s="82"/>
      <c r="BO21" s="276"/>
      <c r="BP21" s="438">
        <v>-1738833</v>
      </c>
      <c r="BQ21" s="158"/>
      <c r="BS21" s="82"/>
      <c r="BT21" s="276"/>
      <c r="BU21" s="438">
        <f>SUM(M21:BP21)</f>
        <v>-27284836</v>
      </c>
      <c r="BV21" s="158"/>
      <c r="BX21" s="82"/>
      <c r="BY21" s="276"/>
      <c r="BZ21" s="175">
        <v>10077072</v>
      </c>
      <c r="CA21" s="158"/>
      <c r="CC21" s="82"/>
      <c r="CD21" s="276"/>
      <c r="CE21" s="438">
        <v>27044095</v>
      </c>
      <c r="CF21" s="158"/>
      <c r="CH21" s="82"/>
      <c r="CI21" s="276"/>
      <c r="CJ21" s="438">
        <v>-2476072</v>
      </c>
      <c r="CK21" s="158"/>
      <c r="CM21" s="82"/>
      <c r="CN21" s="276"/>
      <c r="CO21" s="438">
        <v>8940154</v>
      </c>
      <c r="CP21" s="158"/>
      <c r="CR21" s="82"/>
      <c r="CS21" s="276"/>
      <c r="CT21" s="438">
        <v>223044</v>
      </c>
      <c r="CU21" s="158"/>
      <c r="CW21" s="82"/>
      <c r="CX21" s="276"/>
      <c r="CY21" s="438">
        <v>3920091</v>
      </c>
      <c r="CZ21" s="158"/>
      <c r="DB21" s="82"/>
      <c r="DC21" s="276"/>
      <c r="DD21" s="438">
        <v>-25322180</v>
      </c>
      <c r="DE21" s="158"/>
      <c r="DG21" s="82"/>
      <c r="DH21" s="276"/>
      <c r="DI21" s="438">
        <v>4025693</v>
      </c>
      <c r="DJ21" s="158"/>
      <c r="DL21" s="82"/>
      <c r="DM21" s="276"/>
      <c r="DN21" s="438">
        <v>4825860</v>
      </c>
      <c r="DO21" s="158"/>
      <c r="DQ21" s="82"/>
      <c r="DR21" s="276"/>
      <c r="DS21" s="438">
        <v>-10295609</v>
      </c>
      <c r="DT21" s="158"/>
      <c r="DV21" s="82"/>
      <c r="DW21" s="276"/>
      <c r="DX21" s="438">
        <v>21308011</v>
      </c>
      <c r="DY21" s="158"/>
      <c r="EA21" s="82"/>
      <c r="EB21" s="276"/>
      <c r="EC21" s="438">
        <v>6973911</v>
      </c>
      <c r="ED21" s="158"/>
      <c r="EF21" s="82"/>
      <c r="EG21" s="276"/>
      <c r="EH21" s="438">
        <v>-29089926</v>
      </c>
      <c r="EI21" s="158"/>
      <c r="EK21" s="82"/>
      <c r="EL21" s="276"/>
      <c r="EM21" s="438">
        <f>SUM(CE21:EH21)</f>
        <v>10077072</v>
      </c>
      <c r="EN21" s="158"/>
      <c r="EP21" s="244"/>
      <c r="ES21" s="451"/>
      <c r="ET21" s="451">
        <f>EM21-BZ21</f>
        <v>0</v>
      </c>
    </row>
    <row r="22" spans="3:150" x14ac:dyDescent="0.2">
      <c r="C22" s="244"/>
      <c r="E22" s="139"/>
      <c r="F22" s="122"/>
      <c r="G22" s="93"/>
      <c r="K22" s="82"/>
      <c r="P22" s="82"/>
      <c r="U22" s="82"/>
      <c r="Z22" s="82"/>
      <c r="AE22" s="82"/>
      <c r="AJ22" s="82"/>
      <c r="AO22" s="82"/>
      <c r="AT22" s="82"/>
      <c r="AY22" s="82"/>
      <c r="BD22" s="82"/>
      <c r="BI22" s="82"/>
      <c r="BN22" s="82"/>
      <c r="BS22" s="82"/>
      <c r="BX22" s="82"/>
      <c r="BZ22" s="477"/>
      <c r="CC22" s="82"/>
      <c r="CH22" s="82"/>
      <c r="CM22" s="82"/>
      <c r="CR22" s="82"/>
      <c r="CW22" s="82"/>
      <c r="DB22" s="82"/>
      <c r="DG22" s="82"/>
      <c r="DL22" s="82"/>
      <c r="DQ22" s="82"/>
      <c r="DV22" s="82"/>
      <c r="EA22" s="82"/>
      <c r="EF22" s="82"/>
      <c r="EK22" s="82"/>
      <c r="EP22" s="244"/>
      <c r="ES22" s="451"/>
      <c r="ET22" s="451">
        <f t="shared" si="0"/>
        <v>0</v>
      </c>
    </row>
    <row r="23" spans="3:150" s="451" customFormat="1" x14ac:dyDescent="0.2">
      <c r="C23" s="484" t="s">
        <v>30</v>
      </c>
      <c r="E23" s="314"/>
      <c r="F23" s="83"/>
      <c r="G23" s="283"/>
      <c r="H23" s="451">
        <f>H24+H30+H35+H39</f>
        <v>465992000</v>
      </c>
      <c r="K23" s="138"/>
      <c r="M23" s="451">
        <f>M24+M30+M35</f>
        <v>32850713</v>
      </c>
      <c r="P23" s="138"/>
      <c r="R23" s="451">
        <f>R24+R30+R35+R39</f>
        <v>40638036.743999995</v>
      </c>
      <c r="U23" s="138"/>
      <c r="W23" s="451">
        <f>W24+W30+W35+W39</f>
        <v>43402900</v>
      </c>
      <c r="Z23" s="138"/>
      <c r="AB23" s="451">
        <f>AB24+AB30+AB35+AB39</f>
        <v>60600922</v>
      </c>
      <c r="AE23" s="138"/>
      <c r="AG23" s="451">
        <f>AG24+AG30+AG35+AG39</f>
        <v>37229982</v>
      </c>
      <c r="AJ23" s="138"/>
      <c r="AL23" s="451">
        <f>AL24+AL30+AL35+AL39</f>
        <v>50427153</v>
      </c>
      <c r="AO23" s="138"/>
      <c r="AQ23" s="451">
        <f>AQ24+AQ30+AQ35+AQ39</f>
        <v>50571945</v>
      </c>
      <c r="AT23" s="138"/>
      <c r="AV23" s="451">
        <f>AV24+AV30+AV35+AV39</f>
        <v>39211461</v>
      </c>
      <c r="AY23" s="138"/>
      <c r="BA23" s="451">
        <f>BA24+BA30+BA35+BA39</f>
        <v>45711722</v>
      </c>
      <c r="BD23" s="138"/>
      <c r="BF23" s="451">
        <f>BF24+BF30+BF35+BF39</f>
        <v>34673258</v>
      </c>
      <c r="BI23" s="138"/>
      <c r="BK23" s="451">
        <f>BK24+BK30+BK35+BK39</f>
        <v>42446719</v>
      </c>
      <c r="BN23" s="138"/>
      <c r="BP23" s="451">
        <f>BP24+BP30+BP35+BP39</f>
        <v>-7569549</v>
      </c>
      <c r="BS23" s="138"/>
      <c r="BU23" s="451">
        <f>BU24+BU30+BU35+BU39</f>
        <v>470195262.74399996</v>
      </c>
      <c r="BX23" s="138"/>
      <c r="BZ23" s="265">
        <f>BZ24+BZ30+BZ35+BZ39</f>
        <v>286021581</v>
      </c>
      <c r="CC23" s="138"/>
      <c r="CE23" s="451">
        <f>CE24+CE30+CE35+CE39</f>
        <v>19134410</v>
      </c>
      <c r="CH23" s="138"/>
      <c r="CJ23" s="451">
        <f>CJ24+CJ30+CJ35+CJ39</f>
        <v>24383035</v>
      </c>
      <c r="CM23" s="138"/>
      <c r="CO23" s="451">
        <f>CO24+CO30+CO35+CO39</f>
        <v>19205091</v>
      </c>
      <c r="CR23" s="138"/>
      <c r="CT23" s="451">
        <f>CT24+CT30+CT35+CT39</f>
        <v>22800224</v>
      </c>
      <c r="CW23" s="138"/>
      <c r="CY23" s="451">
        <f>CY24+CY30+CY35+CY39</f>
        <v>28165310</v>
      </c>
      <c r="DB23" s="138"/>
      <c r="DD23" s="451">
        <f>DD24+DD30+DD35+DD39</f>
        <v>29107369</v>
      </c>
      <c r="DG23" s="138"/>
      <c r="DI23" s="451">
        <f>DI24+DI30+DI35+DI39</f>
        <v>30927020</v>
      </c>
      <c r="DL23" s="138"/>
      <c r="DN23" s="451">
        <f>DN24+DN30+DN35+DN39</f>
        <v>30718792</v>
      </c>
      <c r="DQ23" s="138"/>
      <c r="DS23" s="451">
        <f>DS24+DS30+DS35+DS39</f>
        <v>23853310</v>
      </c>
      <c r="DV23" s="138"/>
      <c r="DX23" s="451">
        <f>DX24+DX30+DX35+DX39</f>
        <v>3150815</v>
      </c>
      <c r="EA23" s="138"/>
      <c r="EC23" s="451">
        <f>EC24+EC30+EC35+EC39</f>
        <v>29159155</v>
      </c>
      <c r="EF23" s="138"/>
      <c r="EH23" s="451">
        <f>EH24+EH30+EH35+EH39</f>
        <v>25417050</v>
      </c>
      <c r="EK23" s="138"/>
      <c r="EM23" s="451">
        <f>EM24+EM30+EM35+EM39</f>
        <v>286021581</v>
      </c>
      <c r="EP23" s="484"/>
      <c r="ET23" s="451">
        <f>EM23-BZ23</f>
        <v>0</v>
      </c>
    </row>
    <row r="24" spans="3:150" x14ac:dyDescent="0.2">
      <c r="C24" s="244" t="s">
        <v>301</v>
      </c>
      <c r="E24" s="139"/>
      <c r="F24" s="122"/>
      <c r="G24" s="388"/>
      <c r="H24" s="457">
        <f>SUM(H25:H28)</f>
        <v>466034575</v>
      </c>
      <c r="I24" s="297"/>
      <c r="K24" s="82"/>
      <c r="L24" s="112"/>
      <c r="M24" s="457">
        <f>SUM(M25:M28)</f>
        <v>32850713</v>
      </c>
      <c r="N24" s="297"/>
      <c r="P24" s="82"/>
      <c r="Q24" s="112"/>
      <c r="R24" s="457">
        <f>SUM(R25:R28)</f>
        <v>40638036.743999995</v>
      </c>
      <c r="S24" s="297"/>
      <c r="U24" s="82"/>
      <c r="V24" s="112"/>
      <c r="W24" s="457">
        <f>SUM(W25:W28)</f>
        <v>43402900</v>
      </c>
      <c r="X24" s="297"/>
      <c r="Z24" s="82"/>
      <c r="AA24" s="112"/>
      <c r="AB24" s="457">
        <f>SUM(AB25:AB28)</f>
        <v>60600922</v>
      </c>
      <c r="AC24" s="297"/>
      <c r="AE24" s="82"/>
      <c r="AF24" s="112"/>
      <c r="AG24" s="457">
        <f>SUM(AG25:AG28)</f>
        <v>37229982</v>
      </c>
      <c r="AH24" s="297"/>
      <c r="AJ24" s="82"/>
      <c r="AK24" s="112"/>
      <c r="AL24" s="457">
        <f>SUM(AL25:AL28)</f>
        <v>50427153</v>
      </c>
      <c r="AM24" s="297"/>
      <c r="AO24" s="82"/>
      <c r="AP24" s="112"/>
      <c r="AQ24" s="457">
        <f>SUM(AQ25:AQ28)</f>
        <v>50571945</v>
      </c>
      <c r="AR24" s="297"/>
      <c r="AT24" s="82"/>
      <c r="AU24" s="112"/>
      <c r="AV24" s="457">
        <f>SUM(AV25:AV28)</f>
        <v>39125584</v>
      </c>
      <c r="AW24" s="297"/>
      <c r="AY24" s="82"/>
      <c r="AZ24" s="112"/>
      <c r="BA24" s="457">
        <f>SUM(BA25:BA28)</f>
        <v>45797599</v>
      </c>
      <c r="BB24" s="297"/>
      <c r="BD24" s="82"/>
      <c r="BE24" s="112"/>
      <c r="BF24" s="457">
        <f>SUM(BF25:BF28)</f>
        <v>34673258</v>
      </c>
      <c r="BG24" s="297"/>
      <c r="BI24" s="82"/>
      <c r="BJ24" s="112"/>
      <c r="BK24" s="457">
        <f>SUM(BK25:BK28)</f>
        <v>42405005</v>
      </c>
      <c r="BL24" s="297"/>
      <c r="BN24" s="82"/>
      <c r="BO24" s="112"/>
      <c r="BP24" s="457">
        <f>SUM(BP25:BP28)</f>
        <v>-7569549</v>
      </c>
      <c r="BQ24" s="297"/>
      <c r="BS24" s="82"/>
      <c r="BT24" s="112"/>
      <c r="BU24" s="457">
        <f>SUM(BU25:BU28)</f>
        <v>470153548.74399996</v>
      </c>
      <c r="BV24" s="297"/>
      <c r="BX24" s="82"/>
      <c r="BY24" s="112"/>
      <c r="BZ24" s="246">
        <f>SUM(BZ25:BZ28)</f>
        <v>286310871</v>
      </c>
      <c r="CA24" s="297"/>
      <c r="CC24" s="82"/>
      <c r="CD24" s="112"/>
      <c r="CE24" s="457">
        <f>SUM(CE25:CE28)</f>
        <v>19134410</v>
      </c>
      <c r="CF24" s="297"/>
      <c r="CH24" s="82"/>
      <c r="CI24" s="112"/>
      <c r="CJ24" s="457">
        <f>SUM(CJ25:CJ28)</f>
        <v>24672325</v>
      </c>
      <c r="CK24" s="297"/>
      <c r="CM24" s="82"/>
      <c r="CN24" s="112"/>
      <c r="CO24" s="457">
        <f>SUM(CO25:CO28)</f>
        <v>19205091</v>
      </c>
      <c r="CP24" s="297"/>
      <c r="CR24" s="82"/>
      <c r="CS24" s="112"/>
      <c r="CT24" s="457">
        <f>SUM(CT25:CT28)</f>
        <v>22800224</v>
      </c>
      <c r="CU24" s="297"/>
      <c r="CW24" s="82"/>
      <c r="CX24" s="112"/>
      <c r="CY24" s="457">
        <f>SUM(CY25:CY28)</f>
        <v>28165310</v>
      </c>
      <c r="CZ24" s="297"/>
      <c r="DB24" s="82"/>
      <c r="DC24" s="112"/>
      <c r="DD24" s="457">
        <f>SUM(DD25:DD28)</f>
        <v>29107369</v>
      </c>
      <c r="DE24" s="297"/>
      <c r="DG24" s="82"/>
      <c r="DH24" s="112"/>
      <c r="DI24" s="457">
        <f>SUM(DI25:DI28)</f>
        <v>30927020</v>
      </c>
      <c r="DJ24" s="297"/>
      <c r="DL24" s="82"/>
      <c r="DM24" s="112"/>
      <c r="DN24" s="457">
        <f>SUM(DN25:DN28)</f>
        <v>30718792</v>
      </c>
      <c r="DO24" s="297"/>
      <c r="DQ24" s="82"/>
      <c r="DR24" s="112"/>
      <c r="DS24" s="457">
        <f>SUM(DS25:DS28)</f>
        <v>23853310</v>
      </c>
      <c r="DT24" s="297"/>
      <c r="DV24" s="82"/>
      <c r="DW24" s="112"/>
      <c r="DX24" s="457">
        <f>SUM(DX25:DX28)</f>
        <v>3150815</v>
      </c>
      <c r="DY24" s="297"/>
      <c r="EA24" s="82"/>
      <c r="EB24" s="112"/>
      <c r="EC24" s="457">
        <f>SUM(EC25:EC28)</f>
        <v>29159155</v>
      </c>
      <c r="ED24" s="297"/>
      <c r="EF24" s="82"/>
      <c r="EG24" s="112"/>
      <c r="EH24" s="457">
        <f>SUM(EH25:EH28)</f>
        <v>25417050</v>
      </c>
      <c r="EI24" s="297"/>
      <c r="EK24" s="82"/>
      <c r="EL24" s="112"/>
      <c r="EM24" s="457">
        <f>SUM(EM25:EM28)</f>
        <v>286310871</v>
      </c>
      <c r="EN24" s="297"/>
      <c r="EP24" s="244"/>
      <c r="ES24" s="451"/>
      <c r="ET24" s="451">
        <f>EM24-BZ24</f>
        <v>0</v>
      </c>
    </row>
    <row r="25" spans="3:150" x14ac:dyDescent="0.2">
      <c r="C25" s="244" t="s">
        <v>302</v>
      </c>
      <c r="E25" s="336" t="s">
        <v>303</v>
      </c>
      <c r="F25" s="437"/>
      <c r="G25" s="437"/>
      <c r="H25" s="423">
        <f>[51]domlongtermissues!G13</f>
        <v>591023575</v>
      </c>
      <c r="I25" s="375"/>
      <c r="K25" s="82"/>
      <c r="L25" s="82"/>
      <c r="M25" s="423">
        <f>[51]domlongtermissues!L13</f>
        <v>38350619</v>
      </c>
      <c r="N25" s="375"/>
      <c r="P25" s="82"/>
      <c r="Q25" s="82"/>
      <c r="R25" s="423">
        <f>[51]domlongtermissues!Q13</f>
        <v>45031287.743999995</v>
      </c>
      <c r="S25" s="375"/>
      <c r="U25" s="82"/>
      <c r="V25" s="82"/>
      <c r="W25" s="423">
        <f>[51]domlongtermissues!V13</f>
        <v>49600848</v>
      </c>
      <c r="X25" s="375"/>
      <c r="Z25" s="82"/>
      <c r="AA25" s="82"/>
      <c r="AB25" s="423">
        <f>[51]domlongtermissues!AA13</f>
        <v>69933031</v>
      </c>
      <c r="AC25" s="375"/>
      <c r="AE25" s="82"/>
      <c r="AF25" s="82"/>
      <c r="AG25" s="423">
        <f>[51]domlongtermissues!AF13</f>
        <v>44319358</v>
      </c>
      <c r="AH25" s="375"/>
      <c r="AJ25" s="82"/>
      <c r="AK25" s="82"/>
      <c r="AL25" s="423">
        <f>[51]domlongtermissues!AK13</f>
        <v>61486843</v>
      </c>
      <c r="AM25" s="375"/>
      <c r="AO25" s="82"/>
      <c r="AP25" s="82"/>
      <c r="AQ25" s="423">
        <f>[51]domlongtermissues!AP13</f>
        <v>59931421</v>
      </c>
      <c r="AR25" s="375"/>
      <c r="AT25" s="82"/>
      <c r="AU25" s="82"/>
      <c r="AV25" s="423">
        <f>[51]domlongtermissues!AU13</f>
        <v>46634910</v>
      </c>
      <c r="AW25" s="375"/>
      <c r="AY25" s="82"/>
      <c r="AZ25" s="82"/>
      <c r="BA25" s="423">
        <f>[51]domlongtermissues!AZ13</f>
        <v>52191398</v>
      </c>
      <c r="BB25" s="375"/>
      <c r="BD25" s="82"/>
      <c r="BE25" s="82"/>
      <c r="BF25" s="423">
        <f>[51]domlongtermissues!BE13</f>
        <v>39060638</v>
      </c>
      <c r="BG25" s="375"/>
      <c r="BI25" s="82"/>
      <c r="BJ25" s="82"/>
      <c r="BK25" s="423">
        <f>[51]domlongtermissues!BJ13</f>
        <v>49399464</v>
      </c>
      <c r="BL25" s="375"/>
      <c r="BN25" s="82"/>
      <c r="BO25" s="82"/>
      <c r="BP25" s="423">
        <f>[51]domlongtermissues!BO13</f>
        <v>48828037</v>
      </c>
      <c r="BQ25" s="375"/>
      <c r="BS25" s="82"/>
      <c r="BT25" s="82"/>
      <c r="BU25" s="423">
        <f>[51]domlongtermissues!BT13</f>
        <v>604767854.74399996</v>
      </c>
      <c r="BV25" s="375"/>
      <c r="BX25" s="82"/>
      <c r="BY25" s="82"/>
      <c r="BZ25" s="323">
        <f>+[51]domlongtermissues!BY13</f>
        <v>335517549</v>
      </c>
      <c r="CA25" s="375"/>
      <c r="CC25" s="82"/>
      <c r="CD25" s="82"/>
      <c r="CE25" s="423">
        <f>[51]domlongtermissues!CD13</f>
        <v>20725876</v>
      </c>
      <c r="CF25" s="375"/>
      <c r="CH25" s="82"/>
      <c r="CI25" s="82"/>
      <c r="CJ25" s="423">
        <f>[51]domlongtermissues!CI13</f>
        <v>26579251</v>
      </c>
      <c r="CK25" s="375"/>
      <c r="CM25" s="82"/>
      <c r="CN25" s="82"/>
      <c r="CO25" s="423">
        <f>[51]domlongtermissues!CN13</f>
        <v>21124207</v>
      </c>
      <c r="CP25" s="375"/>
      <c r="CR25" s="82"/>
      <c r="CS25" s="82"/>
      <c r="CT25" s="423">
        <f>[51]domlongtermissues!CS13</f>
        <v>24760828</v>
      </c>
      <c r="CU25" s="375"/>
      <c r="CW25" s="82"/>
      <c r="CX25" s="82"/>
      <c r="CY25" s="423">
        <f>[51]domlongtermissues!CX13</f>
        <v>30904734</v>
      </c>
      <c r="CZ25" s="375"/>
      <c r="DB25" s="82"/>
      <c r="DC25" s="82"/>
      <c r="DD25" s="423">
        <f>[51]domlongtermissues!DC13</f>
        <v>32089447</v>
      </c>
      <c r="DE25" s="375"/>
      <c r="DG25" s="82"/>
      <c r="DH25" s="82"/>
      <c r="DI25" s="423">
        <f>[51]domlongtermissues!DH13</f>
        <v>33970885</v>
      </c>
      <c r="DJ25" s="375"/>
      <c r="DL25" s="82"/>
      <c r="DM25" s="82"/>
      <c r="DN25" s="423">
        <f>[51]domlongtermissues!DM13</f>
        <v>34588835</v>
      </c>
      <c r="DO25" s="375"/>
      <c r="DQ25" s="82"/>
      <c r="DR25" s="82"/>
      <c r="DS25" s="423">
        <f>[51]domlongtermissues!DR13</f>
        <v>26476333</v>
      </c>
      <c r="DT25" s="375"/>
      <c r="DV25" s="82"/>
      <c r="DW25" s="82"/>
      <c r="DX25" s="423">
        <f>[51]domlongtermissues!DW13</f>
        <v>21562772</v>
      </c>
      <c r="DY25" s="375"/>
      <c r="EA25" s="82"/>
      <c r="EB25" s="82"/>
      <c r="EC25" s="423">
        <f>[51]domlongtermissues!EB13</f>
        <v>32267535</v>
      </c>
      <c r="ED25" s="375"/>
      <c r="EF25" s="82"/>
      <c r="EG25" s="82"/>
      <c r="EH25" s="423">
        <f>[51]domlongtermissues!EG13</f>
        <v>30466846</v>
      </c>
      <c r="EI25" s="375"/>
      <c r="EK25" s="82"/>
      <c r="EL25" s="82"/>
      <c r="EM25" s="423">
        <f>[51]domlongtermissues!EL13</f>
        <v>335517549</v>
      </c>
      <c r="EN25" s="375"/>
      <c r="EP25" s="244"/>
      <c r="ES25" s="451"/>
      <c r="ET25" s="451">
        <f>EM25-BZ25</f>
        <v>0</v>
      </c>
    </row>
    <row r="26" spans="3:150" x14ac:dyDescent="0.2">
      <c r="C26" s="244" t="s">
        <v>304</v>
      </c>
      <c r="E26" s="336" t="s">
        <v>303</v>
      </c>
      <c r="F26" s="437"/>
      <c r="G26" s="437"/>
      <c r="H26" s="71">
        <f>-[51]domlongtermissues!G20</f>
        <v>-72524000</v>
      </c>
      <c r="I26" s="375"/>
      <c r="K26" s="82"/>
      <c r="L26" s="82"/>
      <c r="M26" s="71">
        <f>-[51]domlongtermissues!L20</f>
        <v>-4299769</v>
      </c>
      <c r="N26" s="375"/>
      <c r="P26" s="82"/>
      <c r="Q26" s="82"/>
      <c r="R26" s="71">
        <f>-[51]domlongtermissues!Q20</f>
        <v>-4058204</v>
      </c>
      <c r="S26" s="375"/>
      <c r="U26" s="82"/>
      <c r="V26" s="82"/>
      <c r="W26" s="71">
        <f>-[51]domlongtermissues!V20</f>
        <v>-6085389</v>
      </c>
      <c r="X26" s="375"/>
      <c r="Z26" s="82"/>
      <c r="AA26" s="82"/>
      <c r="AB26" s="71">
        <f>-[51]domlongtermissues!AA20</f>
        <v>-8992564</v>
      </c>
      <c r="AC26" s="375"/>
      <c r="AE26" s="82"/>
      <c r="AF26" s="82"/>
      <c r="AG26" s="71">
        <f>-[51]domlongtermissues!AF20</f>
        <v>-6877121</v>
      </c>
      <c r="AH26" s="375"/>
      <c r="AJ26" s="82"/>
      <c r="AK26" s="82"/>
      <c r="AL26" s="71">
        <f>-[51]domlongtermissues!AK20</f>
        <v>-10836667</v>
      </c>
      <c r="AM26" s="375"/>
      <c r="AO26" s="82"/>
      <c r="AP26" s="82"/>
      <c r="AQ26" s="71">
        <f>-[51]domlongtermissues!AP20</f>
        <v>-9026146</v>
      </c>
      <c r="AR26" s="375"/>
      <c r="AT26" s="82"/>
      <c r="AU26" s="82"/>
      <c r="AV26" s="71">
        <f>-[51]domlongtermissues!AU20</f>
        <v>-7195171</v>
      </c>
      <c r="AW26" s="375"/>
      <c r="AY26" s="82"/>
      <c r="AZ26" s="82"/>
      <c r="BA26" s="71">
        <f>-[51]domlongtermissues!AZ20</f>
        <v>-6333842</v>
      </c>
      <c r="BB26" s="375"/>
      <c r="BD26" s="82"/>
      <c r="BE26" s="82"/>
      <c r="BF26" s="71">
        <f>-[51]domlongtermissues!BE20</f>
        <v>-3989426</v>
      </c>
      <c r="BG26" s="375"/>
      <c r="BI26" s="82"/>
      <c r="BJ26" s="82"/>
      <c r="BK26" s="71">
        <f>-[51]domlongtermissues!BJ20</f>
        <v>-6713436</v>
      </c>
      <c r="BL26" s="375"/>
      <c r="BN26" s="82"/>
      <c r="BO26" s="82"/>
      <c r="BP26" s="71">
        <f>-[51]domlongtermissues!BO20</f>
        <v>-6983980</v>
      </c>
      <c r="BQ26" s="375"/>
      <c r="BS26" s="82"/>
      <c r="BT26" s="82"/>
      <c r="BU26" s="71">
        <f>-[51]domlongtermissues!BT20</f>
        <v>-81391715</v>
      </c>
      <c r="BV26" s="375"/>
      <c r="BX26" s="82"/>
      <c r="BY26" s="82"/>
      <c r="BZ26" s="219">
        <f>-[51]domlongtermissues!BY20</f>
        <v>-29779023</v>
      </c>
      <c r="CA26" s="375"/>
      <c r="CC26" s="82"/>
      <c r="CD26" s="82"/>
      <c r="CE26" s="71">
        <f>-[51]domlongtermissues!CD20</f>
        <v>-1256954</v>
      </c>
      <c r="CF26" s="375"/>
      <c r="CH26" s="82"/>
      <c r="CI26" s="82"/>
      <c r="CJ26" s="71">
        <f>-[51]domlongtermissues!CI20</f>
        <v>-1652532</v>
      </c>
      <c r="CK26" s="375"/>
      <c r="CM26" s="82"/>
      <c r="CN26" s="82"/>
      <c r="CO26" s="71">
        <f>-[51]domlongtermissues!CN20</f>
        <v>-1668026</v>
      </c>
      <c r="CP26" s="375"/>
      <c r="CR26" s="82"/>
      <c r="CS26" s="82"/>
      <c r="CT26" s="71">
        <f>-[51]domlongtermissues!CS20</f>
        <v>-1721005</v>
      </c>
      <c r="CU26" s="375"/>
      <c r="CW26" s="82"/>
      <c r="CX26" s="82"/>
      <c r="CY26" s="71">
        <f>-[51]domlongtermissues!CX20</f>
        <v>-2422421</v>
      </c>
      <c r="CZ26" s="375"/>
      <c r="DB26" s="82"/>
      <c r="DC26" s="82"/>
      <c r="DD26" s="71">
        <f>-[51]domlongtermissues!DC20</f>
        <v>-2517677</v>
      </c>
      <c r="DE26" s="375"/>
      <c r="DG26" s="82"/>
      <c r="DH26" s="82"/>
      <c r="DI26" s="71">
        <f>-[51]domlongtermissues!DH20</f>
        <v>-2852893</v>
      </c>
      <c r="DJ26" s="375"/>
      <c r="DL26" s="82"/>
      <c r="DM26" s="82"/>
      <c r="DN26" s="71">
        <f>-[51]domlongtermissues!DM20</f>
        <v>-3497342</v>
      </c>
      <c r="DO26" s="375"/>
      <c r="DQ26" s="82"/>
      <c r="DR26" s="82"/>
      <c r="DS26" s="71">
        <f>-[51]domlongtermissues!DR20</f>
        <v>-2287072</v>
      </c>
      <c r="DT26" s="375"/>
      <c r="DV26" s="82"/>
      <c r="DW26" s="82"/>
      <c r="DX26" s="71">
        <f>-[51]domlongtermissues!DW20</f>
        <v>-2282238</v>
      </c>
      <c r="DY26" s="375"/>
      <c r="EA26" s="82"/>
      <c r="EB26" s="82"/>
      <c r="EC26" s="71">
        <f>-[51]domlongtermissues!EB20</f>
        <v>-2868557</v>
      </c>
      <c r="ED26" s="375"/>
      <c r="EF26" s="82"/>
      <c r="EG26" s="82"/>
      <c r="EH26" s="71">
        <f>-[51]domlongtermissues!EG20</f>
        <v>-4752306</v>
      </c>
      <c r="EI26" s="375"/>
      <c r="EK26" s="82"/>
      <c r="EL26" s="82"/>
      <c r="EM26" s="71">
        <f>-[51]domlongtermissues!EL20</f>
        <v>-29779023</v>
      </c>
      <c r="EN26" s="375"/>
      <c r="EP26" s="244"/>
      <c r="ES26" s="451"/>
      <c r="ET26" s="451">
        <f>EM26-BZ26</f>
        <v>0</v>
      </c>
    </row>
    <row r="27" spans="3:150" x14ac:dyDescent="0.2">
      <c r="C27" s="244" t="s">
        <v>305</v>
      </c>
      <c r="E27" s="336" t="s">
        <v>306</v>
      </c>
      <c r="F27" s="437"/>
      <c r="G27" s="437"/>
      <c r="H27" s="434">
        <f>-[51]domredemp!G13</f>
        <v>-52465000</v>
      </c>
      <c r="I27" s="375"/>
      <c r="K27" s="82"/>
      <c r="L27" s="82"/>
      <c r="M27" s="71">
        <f>-[51]domredemp!L13</f>
        <v>-1200137</v>
      </c>
      <c r="N27" s="375"/>
      <c r="P27" s="82"/>
      <c r="Q27" s="82"/>
      <c r="R27" s="71">
        <f>-[51]domredemp!Q13</f>
        <v>-335047</v>
      </c>
      <c r="S27" s="375"/>
      <c r="U27" s="82"/>
      <c r="V27" s="82"/>
      <c r="W27" s="71">
        <f>-[51]domredemp!V13</f>
        <v>-112559</v>
      </c>
      <c r="X27" s="375"/>
      <c r="Z27" s="82"/>
      <c r="AA27" s="82"/>
      <c r="AB27" s="71">
        <f>-[51]domredemp!AA13</f>
        <v>-339545</v>
      </c>
      <c r="AC27" s="375"/>
      <c r="AE27" s="82"/>
      <c r="AF27" s="82"/>
      <c r="AG27" s="71">
        <f>-[51]domredemp!AF13</f>
        <v>-212255</v>
      </c>
      <c r="AH27" s="375"/>
      <c r="AJ27" s="82"/>
      <c r="AK27" s="82"/>
      <c r="AL27" s="71">
        <f>-[51]domredemp!AK13</f>
        <v>-223023</v>
      </c>
      <c r="AM27" s="375"/>
      <c r="AO27" s="82"/>
      <c r="AP27" s="82"/>
      <c r="AQ27" s="434">
        <f>-[51]domredemp!AP13</f>
        <v>-333330</v>
      </c>
      <c r="AR27" s="375"/>
      <c r="AT27" s="82"/>
      <c r="AU27" s="82"/>
      <c r="AV27" s="434">
        <f>-[51]domredemp!AU13</f>
        <v>-314155</v>
      </c>
      <c r="AW27" s="375"/>
      <c r="AY27" s="82"/>
      <c r="AZ27" s="82"/>
      <c r="BA27" s="434">
        <f>-[51]domredemp!AZ13</f>
        <v>-59957</v>
      </c>
      <c r="BB27" s="375"/>
      <c r="BD27" s="82"/>
      <c r="BE27" s="82"/>
      <c r="BF27" s="434">
        <f>-[51]domredemp!BE13</f>
        <v>-397954</v>
      </c>
      <c r="BG27" s="375"/>
      <c r="BI27" s="82"/>
      <c r="BJ27" s="82"/>
      <c r="BK27" s="434">
        <f>-[51]domredemp!BJ13</f>
        <v>-281023</v>
      </c>
      <c r="BL27" s="375"/>
      <c r="BN27" s="82"/>
      <c r="BO27" s="82"/>
      <c r="BP27" s="376">
        <f>-[51]domredemp!BO13</f>
        <v>-49413606</v>
      </c>
      <c r="BQ27" s="375"/>
      <c r="BS27" s="82"/>
      <c r="BT27" s="82"/>
      <c r="BU27" s="434">
        <f>-[51]domredemp!BT13</f>
        <v>-53222591</v>
      </c>
      <c r="BV27" s="375"/>
      <c r="BX27" s="82"/>
      <c r="BY27" s="82"/>
      <c r="BZ27" s="376">
        <f>-[51]domredemp!BY13</f>
        <v>-19427655</v>
      </c>
      <c r="CA27" s="375"/>
      <c r="CC27" s="82"/>
      <c r="CD27" s="82"/>
      <c r="CE27" s="71">
        <f>-[51]domredemp!CD13</f>
        <v>-334512</v>
      </c>
      <c r="CF27" s="375"/>
      <c r="CH27" s="82"/>
      <c r="CI27" s="82"/>
      <c r="CJ27" s="71">
        <f>-[51]domredemp!CI13</f>
        <v>-254394</v>
      </c>
      <c r="CK27" s="375"/>
      <c r="CM27" s="82"/>
      <c r="CN27" s="82"/>
      <c r="CO27" s="71">
        <f>-[51]domredemp!CN13</f>
        <v>-251090</v>
      </c>
      <c r="CP27" s="375"/>
      <c r="CR27" s="82"/>
      <c r="CS27" s="82"/>
      <c r="CT27" s="71">
        <f>-[51]domredemp!CS13</f>
        <v>-239599</v>
      </c>
      <c r="CU27" s="375"/>
      <c r="CW27" s="82"/>
      <c r="CX27" s="82"/>
      <c r="CY27" s="71">
        <f>-[51]domredemp!CX13</f>
        <v>-317003</v>
      </c>
      <c r="CZ27" s="375"/>
      <c r="DB27" s="82"/>
      <c r="DC27" s="82"/>
      <c r="DD27" s="71">
        <f>-[51]domredemp!DC13</f>
        <v>-464401</v>
      </c>
      <c r="DE27" s="375"/>
      <c r="DG27" s="82"/>
      <c r="DH27" s="82"/>
      <c r="DI27" s="71">
        <f>-[51]domredemp!DH13</f>
        <v>-190972</v>
      </c>
      <c r="DJ27" s="375"/>
      <c r="DL27" s="82"/>
      <c r="DM27" s="82"/>
      <c r="DN27" s="434">
        <f>-[51]domredemp!DM13</f>
        <v>-372701</v>
      </c>
      <c r="DO27" s="375"/>
      <c r="DQ27" s="82"/>
      <c r="DR27" s="82"/>
      <c r="DS27" s="376">
        <f>-[51]domredemp!DR13</f>
        <v>-335951</v>
      </c>
      <c r="DT27" s="375"/>
      <c r="DV27" s="82"/>
      <c r="DW27" s="82"/>
      <c r="DX27" s="434">
        <f>-[51]domredemp!DW13</f>
        <v>-16129719</v>
      </c>
      <c r="DY27" s="375"/>
      <c r="EA27" s="82"/>
      <c r="EB27" s="82"/>
      <c r="EC27" s="376">
        <f>-[51]domredemp!EB13</f>
        <v>-239823</v>
      </c>
      <c r="ED27" s="375"/>
      <c r="EF27" s="82"/>
      <c r="EG27" s="82"/>
      <c r="EH27" s="376">
        <f>-[51]domredemp!EG13</f>
        <v>-297490</v>
      </c>
      <c r="EI27" s="375"/>
      <c r="EK27" s="82"/>
      <c r="EL27" s="82"/>
      <c r="EM27" s="434">
        <f>-[51]domredemp!EL13</f>
        <v>-19427655</v>
      </c>
      <c r="EN27" s="375"/>
      <c r="EP27" s="244"/>
      <c r="ES27" s="451"/>
      <c r="ET27" s="451">
        <f t="shared" si="0"/>
        <v>0</v>
      </c>
    </row>
    <row r="28" spans="3:150" hidden="1" x14ac:dyDescent="0.2">
      <c r="C28" s="244" t="s">
        <v>307</v>
      </c>
      <c r="E28" s="336">
        <v>4.2</v>
      </c>
      <c r="F28" s="437"/>
      <c r="G28" s="437"/>
      <c r="H28" s="434">
        <f>-[51]domredemp!G16+[51]domredemp!G124</f>
        <v>0</v>
      </c>
      <c r="I28" s="375"/>
      <c r="K28" s="82"/>
      <c r="L28" s="82"/>
      <c r="M28" s="434">
        <f>-[51]domredemp!L16+[51]domredemp!L124</f>
        <v>0</v>
      </c>
      <c r="N28" s="375"/>
      <c r="P28" s="82"/>
      <c r="Q28" s="82"/>
      <c r="R28" s="434">
        <f>-[51]domredemp!Q16+[51]domredemp!Q124</f>
        <v>0</v>
      </c>
      <c r="S28" s="375"/>
      <c r="U28" s="82"/>
      <c r="V28" s="82"/>
      <c r="W28" s="434">
        <f>-[51]domredemp!V16+[51]domredemp!V124</f>
        <v>0</v>
      </c>
      <c r="X28" s="375"/>
      <c r="Z28" s="82"/>
      <c r="AA28" s="82"/>
      <c r="AB28" s="434">
        <f>-[51]domredemp!AA16+[51]domredemp!AA124</f>
        <v>0</v>
      </c>
      <c r="AC28" s="375"/>
      <c r="AE28" s="82"/>
      <c r="AF28" s="82"/>
      <c r="AG28" s="434">
        <f>-[51]domredemp!AF16+[51]domredemp!AF124</f>
        <v>0</v>
      </c>
      <c r="AH28" s="375"/>
      <c r="AJ28" s="82"/>
      <c r="AK28" s="82"/>
      <c r="AL28" s="434">
        <f>-[51]domredemp!AK16+[51]domredemp!AK124</f>
        <v>0</v>
      </c>
      <c r="AM28" s="375"/>
      <c r="AO28" s="82"/>
      <c r="AP28" s="82"/>
      <c r="AQ28" s="434">
        <f>-[51]domredemp!AP16+[51]domredemp!AP124</f>
        <v>0</v>
      </c>
      <c r="AR28" s="375"/>
      <c r="AT28" s="82"/>
      <c r="AU28" s="82"/>
      <c r="AV28" s="434">
        <f>-[51]domredemp!AU16+[51]domredemp!AU124</f>
        <v>0</v>
      </c>
      <c r="AW28" s="375"/>
      <c r="AY28" s="82"/>
      <c r="AZ28" s="82"/>
      <c r="BA28" s="434">
        <f>-[51]domredemp!AZ16+[51]domredemp!AZ124</f>
        <v>0</v>
      </c>
      <c r="BB28" s="375"/>
      <c r="BD28" s="82"/>
      <c r="BE28" s="82"/>
      <c r="BF28" s="434">
        <f>-[51]domredemp!BE16+[51]domredemp!BE124</f>
        <v>0</v>
      </c>
      <c r="BG28" s="375"/>
      <c r="BI28" s="82"/>
      <c r="BJ28" s="82"/>
      <c r="BK28" s="434">
        <f>-[51]domredemp!BJ16+[51]domredemp!BJ124</f>
        <v>0</v>
      </c>
      <c r="BL28" s="375"/>
      <c r="BN28" s="82"/>
      <c r="BO28" s="82"/>
      <c r="BP28" s="434">
        <f>-[51]domredemp!BO16+[51]domredemp!BO124</f>
        <v>0</v>
      </c>
      <c r="BQ28" s="375"/>
      <c r="BS28" s="82"/>
      <c r="BT28" s="82"/>
      <c r="BU28" s="434">
        <f>-[51]domredemp!BT16+[51]domredemp!BT124</f>
        <v>0</v>
      </c>
      <c r="BV28" s="375"/>
      <c r="BX28" s="82"/>
      <c r="BY28" s="82"/>
      <c r="BZ28" s="376">
        <v>0</v>
      </c>
      <c r="CA28" s="375"/>
      <c r="CC28" s="82"/>
      <c r="CD28" s="82"/>
      <c r="CE28" s="434">
        <f>-[51]domredemp!CD16+[51]domredemp!CD124</f>
        <v>0</v>
      </c>
      <c r="CF28" s="375"/>
      <c r="CH28" s="82"/>
      <c r="CI28" s="82"/>
      <c r="CJ28" s="434">
        <f>-[51]domredemp!CI16+[51]domredemp!CI124</f>
        <v>0</v>
      </c>
      <c r="CK28" s="375"/>
      <c r="CM28" s="82"/>
      <c r="CN28" s="82"/>
      <c r="CO28" s="434">
        <f>-[51]domredemp!CN16+[51]domredemp!CN124</f>
        <v>0</v>
      </c>
      <c r="CP28" s="375"/>
      <c r="CR28" s="82"/>
      <c r="CS28" s="82"/>
      <c r="CT28" s="434">
        <f>-[51]domredemp!CS16+[51]domredemp!CS124</f>
        <v>0</v>
      </c>
      <c r="CU28" s="375"/>
      <c r="CW28" s="82"/>
      <c r="CX28" s="82"/>
      <c r="CY28" s="434">
        <f>-[51]domredemp!CX16+[51]domredemp!CX124</f>
        <v>0</v>
      </c>
      <c r="CZ28" s="375"/>
      <c r="DB28" s="82"/>
      <c r="DC28" s="82"/>
      <c r="DD28" s="434">
        <f>-[51]domredemp!DC16+[51]domredemp!DC124</f>
        <v>0</v>
      </c>
      <c r="DE28" s="375"/>
      <c r="DG28" s="82"/>
      <c r="DH28" s="82"/>
      <c r="DI28" s="434">
        <f>-[51]domredemp!DH16+[51]domredemp!DH124</f>
        <v>0</v>
      </c>
      <c r="DJ28" s="375"/>
      <c r="DL28" s="82"/>
      <c r="DM28" s="82"/>
      <c r="DN28" s="434">
        <f>-[51]domredemp!DM16+[51]domredemp!DM124</f>
        <v>0</v>
      </c>
      <c r="DO28" s="375"/>
      <c r="DQ28" s="82"/>
      <c r="DR28" s="82"/>
      <c r="DS28" s="434">
        <f>-[51]domredemp!DR16+[51]domredemp!DR124</f>
        <v>0</v>
      </c>
      <c r="DT28" s="375"/>
      <c r="DV28" s="82"/>
      <c r="DW28" s="82"/>
      <c r="DX28" s="434">
        <f>-[51]domredemp!DW16+[51]domredemp!DW124</f>
        <v>0</v>
      </c>
      <c r="DY28" s="375"/>
      <c r="EA28" s="82"/>
      <c r="EB28" s="82"/>
      <c r="EC28" s="434">
        <f>-[51]domredemp!EB16+[51]domredemp!EB124</f>
        <v>0</v>
      </c>
      <c r="ED28" s="375"/>
      <c r="EF28" s="82"/>
      <c r="EG28" s="82"/>
      <c r="EH28" s="434">
        <f>-[51]domredemp!EG16+[51]domredemp!EG124</f>
        <v>0</v>
      </c>
      <c r="EI28" s="375"/>
      <c r="EK28" s="82"/>
      <c r="EL28" s="82"/>
      <c r="EM28" s="434">
        <f>-[51]domredemp!EL16+[51]domredemp!EL124</f>
        <v>0</v>
      </c>
      <c r="EN28" s="375"/>
      <c r="EP28" s="244"/>
      <c r="ES28" s="451"/>
      <c r="ET28" s="451">
        <f t="shared" si="0"/>
        <v>0</v>
      </c>
    </row>
    <row r="29" spans="3:150" x14ac:dyDescent="0.2">
      <c r="C29" s="244"/>
      <c r="E29" s="232"/>
      <c r="F29" s="134"/>
      <c r="G29" s="134"/>
      <c r="I29" s="375"/>
      <c r="K29" s="82"/>
      <c r="L29" s="82"/>
      <c r="N29" s="375"/>
      <c r="P29" s="82"/>
      <c r="Q29" s="82"/>
      <c r="R29" s="457"/>
      <c r="S29" s="375"/>
      <c r="U29" s="82"/>
      <c r="V29" s="82"/>
      <c r="W29" s="457"/>
      <c r="X29" s="375"/>
      <c r="Z29" s="82"/>
      <c r="AA29" s="82"/>
      <c r="AB29" s="457"/>
      <c r="AC29" s="375"/>
      <c r="AE29" s="82"/>
      <c r="AF29" s="82"/>
      <c r="AG29" s="457"/>
      <c r="AH29" s="375"/>
      <c r="AJ29" s="82"/>
      <c r="AK29" s="82"/>
      <c r="AM29" s="375"/>
      <c r="AO29" s="82"/>
      <c r="AP29" s="82"/>
      <c r="AR29" s="375"/>
      <c r="AT29" s="82"/>
      <c r="AU29" s="82"/>
      <c r="AW29" s="375"/>
      <c r="AY29" s="82"/>
      <c r="AZ29" s="82"/>
      <c r="BB29" s="375"/>
      <c r="BD29" s="82"/>
      <c r="BE29" s="82"/>
      <c r="BG29" s="375"/>
      <c r="BI29" s="82"/>
      <c r="BJ29" s="82"/>
      <c r="BL29" s="375"/>
      <c r="BN29" s="82"/>
      <c r="BO29" s="82"/>
      <c r="BQ29" s="375"/>
      <c r="BS29" s="82"/>
      <c r="BT29" s="82"/>
      <c r="BV29" s="375"/>
      <c r="BX29" s="82"/>
      <c r="BY29" s="82"/>
      <c r="BZ29" s="477"/>
      <c r="CA29" s="375"/>
      <c r="CC29" s="82"/>
      <c r="CD29" s="82"/>
      <c r="CF29" s="375"/>
      <c r="CH29" s="82"/>
      <c r="CI29" s="82"/>
      <c r="CK29" s="375"/>
      <c r="CM29" s="82"/>
      <c r="CN29" s="82"/>
      <c r="CO29" s="457"/>
      <c r="CP29" s="375"/>
      <c r="CR29" s="82"/>
      <c r="CS29" s="82"/>
      <c r="CT29" s="457"/>
      <c r="CU29" s="375"/>
      <c r="CW29" s="82"/>
      <c r="CX29" s="82"/>
      <c r="CY29" s="457"/>
      <c r="CZ29" s="375"/>
      <c r="DB29" s="82"/>
      <c r="DC29" s="82"/>
      <c r="DE29" s="375"/>
      <c r="DG29" s="82"/>
      <c r="DH29" s="82"/>
      <c r="DJ29" s="375"/>
      <c r="DL29" s="82"/>
      <c r="DM29" s="82"/>
      <c r="DO29" s="375"/>
      <c r="DQ29" s="82"/>
      <c r="DR29" s="82"/>
      <c r="DT29" s="375"/>
      <c r="DV29" s="82"/>
      <c r="DW29" s="82"/>
      <c r="DY29" s="375"/>
      <c r="EA29" s="82"/>
      <c r="EB29" s="82"/>
      <c r="ED29" s="375"/>
      <c r="EF29" s="82"/>
      <c r="EG29" s="82"/>
      <c r="EI29" s="375"/>
      <c r="EK29" s="82"/>
      <c r="EL29" s="82"/>
      <c r="EN29" s="375"/>
      <c r="EP29" s="244"/>
      <c r="ES29" s="451"/>
      <c r="ET29" s="451">
        <f t="shared" si="0"/>
        <v>0</v>
      </c>
    </row>
    <row r="30" spans="3:150" x14ac:dyDescent="0.2">
      <c r="C30" s="244" t="s">
        <v>308</v>
      </c>
      <c r="E30" s="232"/>
      <c r="F30" s="134"/>
      <c r="G30" s="134"/>
      <c r="H30" s="12">
        <f>SUM(H31:H33)</f>
        <v>-42575</v>
      </c>
      <c r="I30" s="375"/>
      <c r="K30" s="82"/>
      <c r="L30" s="82"/>
      <c r="M30" s="12">
        <f>SUM(M31:M33)</f>
        <v>0</v>
      </c>
      <c r="N30" s="375"/>
      <c r="P30" s="82"/>
      <c r="Q30" s="82"/>
      <c r="R30" s="12">
        <f>SUM(R31:R33)</f>
        <v>0</v>
      </c>
      <c r="S30" s="375"/>
      <c r="U30" s="82"/>
      <c r="V30" s="82"/>
      <c r="W30" s="12">
        <f>SUM(W31:W33)</f>
        <v>0</v>
      </c>
      <c r="X30" s="375"/>
      <c r="Z30" s="82"/>
      <c r="AA30" s="82"/>
      <c r="AB30" s="12">
        <f>SUM(AB31:AB33)</f>
        <v>0</v>
      </c>
      <c r="AC30" s="375"/>
      <c r="AE30" s="82"/>
      <c r="AF30" s="82"/>
      <c r="AG30" s="12">
        <f>SUM(AG31:AG33)</f>
        <v>0</v>
      </c>
      <c r="AH30" s="375"/>
      <c r="AJ30" s="82"/>
      <c r="AK30" s="82"/>
      <c r="AL30" s="12">
        <f>SUM(AL31:AL33)</f>
        <v>0</v>
      </c>
      <c r="AM30" s="375"/>
      <c r="AO30" s="82"/>
      <c r="AP30" s="82"/>
      <c r="AQ30" s="12">
        <f>SUM(AQ31:AQ33)</f>
        <v>0</v>
      </c>
      <c r="AR30" s="375"/>
      <c r="AT30" s="82"/>
      <c r="AU30" s="82"/>
      <c r="AV30" s="12">
        <f>SUM(AV31:AV33)</f>
        <v>0</v>
      </c>
      <c r="AW30" s="375"/>
      <c r="AY30" s="82"/>
      <c r="AZ30" s="82"/>
      <c r="BA30" s="12">
        <f>SUM(BA31:BA33)</f>
        <v>0</v>
      </c>
      <c r="BB30" s="375"/>
      <c r="BD30" s="82"/>
      <c r="BE30" s="82"/>
      <c r="BF30" s="12">
        <f>SUM(BF31:BF33)</f>
        <v>0</v>
      </c>
      <c r="BG30" s="375"/>
      <c r="BI30" s="82"/>
      <c r="BJ30" s="82"/>
      <c r="BK30" s="12">
        <f>SUM(BK31:BK33)</f>
        <v>41714</v>
      </c>
      <c r="BL30" s="375"/>
      <c r="BN30" s="82"/>
      <c r="BO30" s="82"/>
      <c r="BP30" s="12">
        <f>SUM(BP31:BP33)</f>
        <v>0</v>
      </c>
      <c r="BQ30" s="375"/>
      <c r="BS30" s="82"/>
      <c r="BT30" s="82"/>
      <c r="BU30" s="12">
        <f>SUM(BU31:BU33)</f>
        <v>41714</v>
      </c>
      <c r="BV30" s="375"/>
      <c r="BX30" s="82"/>
      <c r="BY30" s="82"/>
      <c r="BZ30" s="477">
        <f>SUM(BZ31:BZ33)</f>
        <v>-289290</v>
      </c>
      <c r="CA30" s="375"/>
      <c r="CC30" s="82"/>
      <c r="CD30" s="82"/>
      <c r="CE30" s="12">
        <f>SUM(CE31:CE33)</f>
        <v>0</v>
      </c>
      <c r="CF30" s="375"/>
      <c r="CH30" s="82"/>
      <c r="CI30" s="82"/>
      <c r="CJ30" s="12">
        <f>SUM(CJ31:CJ33)</f>
        <v>-289290</v>
      </c>
      <c r="CK30" s="375"/>
      <c r="CM30" s="82"/>
      <c r="CN30" s="82"/>
      <c r="CO30" s="12">
        <f>SUM(CO31:CO33)</f>
        <v>0</v>
      </c>
      <c r="CP30" s="375"/>
      <c r="CR30" s="82"/>
      <c r="CS30" s="82"/>
      <c r="CT30" s="12">
        <f>SUM(CT31:CT33)</f>
        <v>0</v>
      </c>
      <c r="CU30" s="375"/>
      <c r="CW30" s="82"/>
      <c r="CX30" s="82"/>
      <c r="CY30" s="12">
        <f>SUM(CY31:CY33)</f>
        <v>0</v>
      </c>
      <c r="CZ30" s="375"/>
      <c r="DB30" s="82"/>
      <c r="DC30" s="82"/>
      <c r="DD30" s="12">
        <f>SUM(DD31:DD33)</f>
        <v>0</v>
      </c>
      <c r="DE30" s="375"/>
      <c r="DG30" s="82"/>
      <c r="DH30" s="82"/>
      <c r="DI30" s="12">
        <f>SUM(DI31:DI33)</f>
        <v>0</v>
      </c>
      <c r="DJ30" s="375"/>
      <c r="DL30" s="82"/>
      <c r="DM30" s="82"/>
      <c r="DN30" s="12">
        <f>SUM(DN31:DN33)</f>
        <v>0</v>
      </c>
      <c r="DO30" s="375"/>
      <c r="DQ30" s="82"/>
      <c r="DR30" s="82"/>
      <c r="DS30" s="12">
        <f>SUM(DS31:DS33)</f>
        <v>0</v>
      </c>
      <c r="DT30" s="375"/>
      <c r="DV30" s="82"/>
      <c r="DW30" s="82"/>
      <c r="DX30" s="12">
        <f>SUM(DX31:DX33)</f>
        <v>0</v>
      </c>
      <c r="DY30" s="375"/>
      <c r="EA30" s="82"/>
      <c r="EB30" s="82"/>
      <c r="EC30" s="12">
        <f>SUM(EC31:EC33)</f>
        <v>0</v>
      </c>
      <c r="ED30" s="375"/>
      <c r="EF30" s="82"/>
      <c r="EG30" s="82"/>
      <c r="EH30" s="12">
        <f>SUM(EH31:EH33)</f>
        <v>0</v>
      </c>
      <c r="EI30" s="375"/>
      <c r="EK30" s="82"/>
      <c r="EL30" s="82"/>
      <c r="EM30" s="12">
        <f>SUM(EM31:EM33)</f>
        <v>-289290</v>
      </c>
      <c r="EN30" s="375"/>
      <c r="EP30" s="244"/>
      <c r="ES30" s="451"/>
      <c r="ET30" s="451">
        <f t="shared" si="0"/>
        <v>0</v>
      </c>
    </row>
    <row r="31" spans="3:150" x14ac:dyDescent="0.2">
      <c r="C31" s="244" t="s">
        <v>309</v>
      </c>
      <c r="E31" s="336" t="s">
        <v>303</v>
      </c>
      <c r="F31" s="437"/>
      <c r="G31" s="437"/>
      <c r="H31" s="423">
        <f>[51]domlongtermissues!G14</f>
        <v>5243353</v>
      </c>
      <c r="I31" s="375"/>
      <c r="K31" s="82"/>
      <c r="L31" s="82"/>
      <c r="M31" s="423">
        <f>[51]domlongtermissues!L14</f>
        <v>0</v>
      </c>
      <c r="N31" s="375"/>
      <c r="P31" s="82"/>
      <c r="Q31" s="82"/>
      <c r="R31" s="423">
        <f>[51]domlongtermissues!Q14</f>
        <v>0</v>
      </c>
      <c r="S31" s="375"/>
      <c r="U31" s="82"/>
      <c r="V31" s="82"/>
      <c r="W31" s="423">
        <f>[51]domlongtermissues!V14</f>
        <v>0</v>
      </c>
      <c r="X31" s="375"/>
      <c r="Z31" s="82"/>
      <c r="AA31" s="82"/>
      <c r="AB31" s="423">
        <f>[51]domlongtermissues!AA14</f>
        <v>0</v>
      </c>
      <c r="AC31" s="375"/>
      <c r="AE31" s="82"/>
      <c r="AF31" s="82"/>
      <c r="AG31" s="423">
        <f>[51]domlongtermissues!AF14</f>
        <v>0</v>
      </c>
      <c r="AH31" s="375"/>
      <c r="AJ31" s="82"/>
      <c r="AK31" s="82"/>
      <c r="AL31" s="423">
        <f>[51]domlongtermissues!AK14</f>
        <v>0</v>
      </c>
      <c r="AM31" s="375"/>
      <c r="AO31" s="82"/>
      <c r="AP31" s="82"/>
      <c r="AQ31" s="423">
        <f>[51]domlongtermissues!AP14</f>
        <v>0</v>
      </c>
      <c r="AR31" s="375"/>
      <c r="AT31" s="82"/>
      <c r="AU31" s="82"/>
      <c r="AV31" s="423">
        <f>[51]domlongtermissues!AU14</f>
        <v>0</v>
      </c>
      <c r="AW31" s="375"/>
      <c r="AY31" s="82"/>
      <c r="AZ31" s="82"/>
      <c r="BA31" s="423">
        <f>[51]domlongtermissues!AZ14</f>
        <v>0</v>
      </c>
      <c r="BB31" s="375"/>
      <c r="BD31" s="82"/>
      <c r="BE31" s="82"/>
      <c r="BF31" s="423">
        <f>[51]domlongtermissues!BE14</f>
        <v>0</v>
      </c>
      <c r="BG31" s="375"/>
      <c r="BI31" s="82"/>
      <c r="BJ31" s="82"/>
      <c r="BK31" s="423">
        <f>[51]domlongtermissues!BJ14</f>
        <v>7577210</v>
      </c>
      <c r="BL31" s="375"/>
      <c r="BN31" s="82"/>
      <c r="BO31" s="82"/>
      <c r="BP31" s="423">
        <f>[51]domlongtermissues!BO14</f>
        <v>0</v>
      </c>
      <c r="BQ31" s="375"/>
      <c r="BS31" s="82"/>
      <c r="BT31" s="82"/>
      <c r="BU31" s="423">
        <f>[51]domlongtermissues!BT14</f>
        <v>7577210</v>
      </c>
      <c r="BV31" s="375"/>
      <c r="BX31" s="82"/>
      <c r="BY31" s="82"/>
      <c r="BZ31" s="323">
        <f>+[51]domlongtermissues!BY14</f>
        <v>14152656</v>
      </c>
      <c r="CA31" s="375"/>
      <c r="CC31" s="82"/>
      <c r="CD31" s="82"/>
      <c r="CE31" s="423">
        <f>[51]domlongtermissues!CD14</f>
        <v>0</v>
      </c>
      <c r="CF31" s="375"/>
      <c r="CH31" s="82"/>
      <c r="CI31" s="82"/>
      <c r="CJ31" s="423">
        <f>[51]domlongtermissues!CI14</f>
        <v>14152656</v>
      </c>
      <c r="CK31" s="375"/>
      <c r="CM31" s="82"/>
      <c r="CN31" s="82"/>
      <c r="CO31" s="423">
        <f>[51]domlongtermissues!CN14</f>
        <v>0</v>
      </c>
      <c r="CP31" s="375"/>
      <c r="CR31" s="82"/>
      <c r="CS31" s="82"/>
      <c r="CT31" s="423">
        <f>[51]domlongtermissues!CS14</f>
        <v>0</v>
      </c>
      <c r="CU31" s="375"/>
      <c r="CW31" s="82"/>
      <c r="CX31" s="82"/>
      <c r="CY31" s="423">
        <f>[51]domlongtermissues!CX14</f>
        <v>0</v>
      </c>
      <c r="CZ31" s="375"/>
      <c r="DB31" s="82"/>
      <c r="DC31" s="82"/>
      <c r="DD31" s="423">
        <f>[51]domlongtermissues!DC14</f>
        <v>0</v>
      </c>
      <c r="DE31" s="375"/>
      <c r="DG31" s="82"/>
      <c r="DH31" s="82"/>
      <c r="DI31" s="423">
        <f>[51]domlongtermissues!DH14</f>
        <v>0</v>
      </c>
      <c r="DJ31" s="375"/>
      <c r="DL31" s="82"/>
      <c r="DM31" s="82"/>
      <c r="DN31" s="423">
        <f>[51]domlongtermissues!DM14</f>
        <v>0</v>
      </c>
      <c r="DO31" s="375"/>
      <c r="DQ31" s="82"/>
      <c r="DR31" s="82"/>
      <c r="DS31" s="423">
        <f>[51]domlongtermissues!DR14</f>
        <v>0</v>
      </c>
      <c r="DT31" s="375"/>
      <c r="DV31" s="82"/>
      <c r="DW31" s="82"/>
      <c r="DX31" s="423">
        <f>[51]domlongtermissues!DW14</f>
        <v>0</v>
      </c>
      <c r="DY31" s="375"/>
      <c r="EA31" s="82"/>
      <c r="EB31" s="82"/>
      <c r="EC31" s="423">
        <f>[51]domlongtermissues!EB14</f>
        <v>0</v>
      </c>
      <c r="ED31" s="375"/>
      <c r="EF31" s="82"/>
      <c r="EG31" s="82"/>
      <c r="EH31" s="423">
        <f>[51]domlongtermissues!EG14</f>
        <v>0</v>
      </c>
      <c r="EI31" s="375"/>
      <c r="EK31" s="82"/>
      <c r="EL31" s="82"/>
      <c r="EM31" s="423">
        <f>[51]domlongtermissues!EL14</f>
        <v>14152656</v>
      </c>
      <c r="EN31" s="375"/>
      <c r="EP31" s="244"/>
      <c r="ES31" s="451"/>
      <c r="ET31" s="451">
        <f t="shared" si="0"/>
        <v>0</v>
      </c>
    </row>
    <row r="32" spans="3:150" x14ac:dyDescent="0.2">
      <c r="C32" s="244" t="s">
        <v>310</v>
      </c>
      <c r="E32" s="336" t="s">
        <v>303</v>
      </c>
      <c r="F32" s="437"/>
      <c r="G32" s="437"/>
      <c r="H32" s="71">
        <f>-[51]domlongtermissues!G217</f>
        <v>-405928</v>
      </c>
      <c r="I32" s="375"/>
      <c r="K32" s="82"/>
      <c r="L32" s="82"/>
      <c r="M32" s="71">
        <f>-[51]domlongtermissues!L217</f>
        <v>0</v>
      </c>
      <c r="N32" s="375"/>
      <c r="P32" s="82"/>
      <c r="Q32" s="82"/>
      <c r="R32" s="71">
        <f>-[51]domlongtermissues!Q217</f>
        <v>0</v>
      </c>
      <c r="S32" s="375"/>
      <c r="U32" s="82"/>
      <c r="V32" s="82"/>
      <c r="W32" s="71">
        <f>-[51]domlongtermissues!V217</f>
        <v>0</v>
      </c>
      <c r="X32" s="375"/>
      <c r="Z32" s="82"/>
      <c r="AA32" s="82"/>
      <c r="AB32" s="71">
        <f>-[51]domlongtermissues!AA217</f>
        <v>0</v>
      </c>
      <c r="AC32" s="375"/>
      <c r="AE32" s="82"/>
      <c r="AF32" s="82"/>
      <c r="AG32" s="71">
        <f>-[51]domlongtermissues!AF217</f>
        <v>0</v>
      </c>
      <c r="AH32" s="375"/>
      <c r="AJ32" s="82"/>
      <c r="AK32" s="82"/>
      <c r="AL32" s="71">
        <f>-[51]domlongtermissues!AK217</f>
        <v>0</v>
      </c>
      <c r="AM32" s="375"/>
      <c r="AO32" s="82"/>
      <c r="AP32" s="82"/>
      <c r="AQ32" s="71">
        <f>-[51]domlongtermissues!AP217</f>
        <v>0</v>
      </c>
      <c r="AR32" s="375"/>
      <c r="AT32" s="82"/>
      <c r="AU32" s="82"/>
      <c r="AV32" s="71">
        <f>-[51]domlongtermissues!AU217</f>
        <v>0</v>
      </c>
      <c r="AW32" s="375"/>
      <c r="AY32" s="82"/>
      <c r="AZ32" s="82"/>
      <c r="BA32" s="71">
        <f>-[51]domlongtermissues!AZ217</f>
        <v>0</v>
      </c>
      <c r="BB32" s="375"/>
      <c r="BD32" s="82"/>
      <c r="BE32" s="82"/>
      <c r="BF32" s="71">
        <f>-[51]domlongtermissues!BE217</f>
        <v>0</v>
      </c>
      <c r="BG32" s="375"/>
      <c r="BI32" s="82"/>
      <c r="BJ32" s="82"/>
      <c r="BK32" s="71">
        <f>-[51]domlongtermissues!BJ217</f>
        <v>-730496</v>
      </c>
      <c r="BL32" s="375"/>
      <c r="BN32" s="82"/>
      <c r="BO32" s="82"/>
      <c r="BP32" s="71">
        <f>-[51]domlongtermissues!BO217</f>
        <v>0</v>
      </c>
      <c r="BQ32" s="375"/>
      <c r="BS32" s="82"/>
      <c r="BT32" s="82"/>
      <c r="BU32" s="71">
        <f>-[51]domlongtermissues!BT217</f>
        <v>-730496</v>
      </c>
      <c r="BV32" s="375"/>
      <c r="BX32" s="82"/>
      <c r="BY32" s="82"/>
      <c r="BZ32" s="219">
        <f>-[51]domlongtermissues!BY217</f>
        <v>-1646946</v>
      </c>
      <c r="CA32" s="375"/>
      <c r="CC32" s="82"/>
      <c r="CD32" s="82"/>
      <c r="CE32" s="71">
        <f>-[51]domlongtermissues!CD217</f>
        <v>0</v>
      </c>
      <c r="CF32" s="375"/>
      <c r="CH32" s="82"/>
      <c r="CI32" s="82"/>
      <c r="CJ32" s="71">
        <f>-[51]domlongtermissues!CI217</f>
        <v>-1646946</v>
      </c>
      <c r="CK32" s="375"/>
      <c r="CM32" s="82"/>
      <c r="CN32" s="82"/>
      <c r="CO32" s="71">
        <f>-[51]domlongtermissues!CN217</f>
        <v>0</v>
      </c>
      <c r="CP32" s="375"/>
      <c r="CR32" s="82"/>
      <c r="CS32" s="82"/>
      <c r="CT32" s="71">
        <f>-[51]domlongtermissues!CS217</f>
        <v>0</v>
      </c>
      <c r="CU32" s="375"/>
      <c r="CW32" s="82"/>
      <c r="CX32" s="82"/>
      <c r="CY32" s="71">
        <f>-[51]domlongtermissues!CX217</f>
        <v>0</v>
      </c>
      <c r="CZ32" s="375"/>
      <c r="DB32" s="82"/>
      <c r="DC32" s="82"/>
      <c r="DD32" s="71">
        <f>-[51]domlongtermissues!DC217</f>
        <v>0</v>
      </c>
      <c r="DE32" s="375"/>
      <c r="DG32" s="82"/>
      <c r="DH32" s="82"/>
      <c r="DI32" s="71">
        <f>-[51]domlongtermissues!DH217</f>
        <v>0</v>
      </c>
      <c r="DJ32" s="375"/>
      <c r="DL32" s="82"/>
      <c r="DM32" s="82"/>
      <c r="DN32" s="71">
        <f>-[51]domlongtermissues!DM217</f>
        <v>0</v>
      </c>
      <c r="DO32" s="375"/>
      <c r="DQ32" s="82"/>
      <c r="DR32" s="82"/>
      <c r="DS32" s="71">
        <f>-[51]domlongtermissues!DR217</f>
        <v>0</v>
      </c>
      <c r="DT32" s="375"/>
      <c r="DV32" s="82"/>
      <c r="DW32" s="82"/>
      <c r="DX32" s="71">
        <f>-[51]domlongtermissues!DW217</f>
        <v>0</v>
      </c>
      <c r="DY32" s="375"/>
      <c r="EA32" s="82"/>
      <c r="EB32" s="82"/>
      <c r="EC32" s="71">
        <f>-[51]domlongtermissues!EB217</f>
        <v>0</v>
      </c>
      <c r="ED32" s="375"/>
      <c r="EF32" s="82"/>
      <c r="EG32" s="82"/>
      <c r="EH32" s="71">
        <f>-[51]domlongtermissues!EG217</f>
        <v>0</v>
      </c>
      <c r="EI32" s="375"/>
      <c r="EK32" s="82"/>
      <c r="EL32" s="82"/>
      <c r="EM32" s="71">
        <f>-[51]domlongtermissues!EL217</f>
        <v>-1646946</v>
      </c>
      <c r="EN32" s="375"/>
      <c r="EP32" s="244"/>
      <c r="ES32" s="451"/>
      <c r="ET32" s="451">
        <f t="shared" si="0"/>
        <v>0</v>
      </c>
    </row>
    <row r="33" spans="3:150" x14ac:dyDescent="0.2">
      <c r="C33" s="244" t="s">
        <v>311</v>
      </c>
      <c r="E33" s="336" t="s">
        <v>306</v>
      </c>
      <c r="F33" s="437"/>
      <c r="G33" s="437"/>
      <c r="H33" s="434">
        <f>-[51]domredemp!G14+[51]domredemp!G32</f>
        <v>-4880000</v>
      </c>
      <c r="I33" s="375"/>
      <c r="K33" s="82"/>
      <c r="L33" s="82"/>
      <c r="M33" s="434">
        <f>-[51]domredemp!L14+[51]domredemp!L32</f>
        <v>0</v>
      </c>
      <c r="N33" s="375"/>
      <c r="P33" s="82"/>
      <c r="Q33" s="82"/>
      <c r="R33" s="434">
        <f>-[51]domredemp!Q14+[51]domredemp!Q32</f>
        <v>0</v>
      </c>
      <c r="S33" s="375"/>
      <c r="U33" s="82"/>
      <c r="V33" s="82"/>
      <c r="W33" s="434">
        <f>-[51]domredemp!V14+[51]domredemp!V32</f>
        <v>0</v>
      </c>
      <c r="X33" s="375"/>
      <c r="Z33" s="82"/>
      <c r="AA33" s="82"/>
      <c r="AB33" s="434">
        <f>-[51]domredemp!AA14+[51]domredemp!AA32</f>
        <v>0</v>
      </c>
      <c r="AC33" s="375"/>
      <c r="AE33" s="82"/>
      <c r="AF33" s="82"/>
      <c r="AG33" s="434">
        <f>-[51]domredemp!AF14+[51]domredemp!AF32</f>
        <v>0</v>
      </c>
      <c r="AH33" s="375"/>
      <c r="AJ33" s="82"/>
      <c r="AK33" s="82"/>
      <c r="AL33" s="434">
        <f>-[51]domredemp!AK14+[51]domredemp!AK32</f>
        <v>0</v>
      </c>
      <c r="AM33" s="375"/>
      <c r="AO33" s="82"/>
      <c r="AP33" s="82"/>
      <c r="AQ33" s="434">
        <f>-[51]domredemp!AP14+[51]domredemp!AP32</f>
        <v>0</v>
      </c>
      <c r="AR33" s="375"/>
      <c r="AT33" s="82"/>
      <c r="AU33" s="82"/>
      <c r="AV33" s="434">
        <f>-[51]domredemp!AU14+[51]domredemp!AU32</f>
        <v>0</v>
      </c>
      <c r="AW33" s="375"/>
      <c r="AY33" s="82"/>
      <c r="AZ33" s="82"/>
      <c r="BA33" s="434">
        <f>-[51]domredemp!AZ14+[51]domredemp!AZ32</f>
        <v>0</v>
      </c>
      <c r="BB33" s="375"/>
      <c r="BD33" s="82"/>
      <c r="BE33" s="82"/>
      <c r="BF33" s="434">
        <f>-[51]domredemp!BE14+[51]domredemp!BE32</f>
        <v>0</v>
      </c>
      <c r="BG33" s="375"/>
      <c r="BI33" s="82"/>
      <c r="BJ33" s="82"/>
      <c r="BK33" s="434">
        <f>-[51]domredemp!BJ14+[51]domredemp!BJ32</f>
        <v>-6805000</v>
      </c>
      <c r="BL33" s="375"/>
      <c r="BN33" s="82"/>
      <c r="BO33" s="82"/>
      <c r="BP33" s="434">
        <f>-[51]domredemp!BO14+[51]domredemp!BO32</f>
        <v>0</v>
      </c>
      <c r="BQ33" s="375"/>
      <c r="BS33" s="82"/>
      <c r="BT33" s="82"/>
      <c r="BU33" s="434">
        <f>-[51]domredemp!BT14+[51]domredemp!BT32</f>
        <v>-6805000</v>
      </c>
      <c r="BV33" s="375"/>
      <c r="BX33" s="82"/>
      <c r="BY33" s="82"/>
      <c r="BZ33" s="376">
        <f>-[51]domredemp!BY14+[51]domredemp!BY32</f>
        <v>-12795000</v>
      </c>
      <c r="CA33" s="375"/>
      <c r="CC33" s="82"/>
      <c r="CD33" s="82"/>
      <c r="CE33" s="434">
        <f>-[51]domredemp!CD14+[51]domredemp!CD32</f>
        <v>0</v>
      </c>
      <c r="CF33" s="375"/>
      <c r="CH33" s="82"/>
      <c r="CI33" s="82"/>
      <c r="CJ33" s="434">
        <f>-[51]domredemp!CI14+[51]domredemp!CI32</f>
        <v>-12795000</v>
      </c>
      <c r="CK33" s="375"/>
      <c r="CM33" s="82"/>
      <c r="CN33" s="82"/>
      <c r="CO33" s="434">
        <f>-[51]domredemp!CN14+[51]domredemp!CN32</f>
        <v>0</v>
      </c>
      <c r="CP33" s="375"/>
      <c r="CR33" s="82"/>
      <c r="CS33" s="82"/>
      <c r="CT33" s="434">
        <f>-[51]domredemp!CS14+[51]domredemp!CS32</f>
        <v>0</v>
      </c>
      <c r="CU33" s="375"/>
      <c r="CW33" s="82"/>
      <c r="CX33" s="82"/>
      <c r="CY33" s="434">
        <f>-[51]domredemp!CX14+[51]domredemp!CX32</f>
        <v>0</v>
      </c>
      <c r="CZ33" s="375"/>
      <c r="DB33" s="82"/>
      <c r="DC33" s="82"/>
      <c r="DD33" s="434">
        <f>-[51]domredemp!DC14+[51]domredemp!DC32</f>
        <v>0</v>
      </c>
      <c r="DE33" s="375"/>
      <c r="DG33" s="82"/>
      <c r="DH33" s="82"/>
      <c r="DI33" s="434">
        <f>-[51]domredemp!DH14+[51]domredemp!DH32</f>
        <v>0</v>
      </c>
      <c r="DJ33" s="375"/>
      <c r="DL33" s="82"/>
      <c r="DM33" s="82"/>
      <c r="DN33" s="434">
        <f>-[51]domredemp!DM14+[51]domredemp!DM32</f>
        <v>0</v>
      </c>
      <c r="DO33" s="375"/>
      <c r="DQ33" s="82"/>
      <c r="DR33" s="82"/>
      <c r="DS33" s="434">
        <f>-[51]domredemp!DR14+[51]domredemp!DR32</f>
        <v>0</v>
      </c>
      <c r="DT33" s="375"/>
      <c r="DV33" s="82"/>
      <c r="DW33" s="82"/>
      <c r="DX33" s="434">
        <f>-[51]domredemp!DW14+[51]domredemp!DW32</f>
        <v>0</v>
      </c>
      <c r="DY33" s="375"/>
      <c r="EA33" s="82"/>
      <c r="EB33" s="82"/>
      <c r="EC33" s="434">
        <f>-[51]domredemp!EB14+[51]domredemp!EB32</f>
        <v>0</v>
      </c>
      <c r="ED33" s="375"/>
      <c r="EF33" s="82"/>
      <c r="EG33" s="82"/>
      <c r="EH33" s="434">
        <f>-[51]domredemp!EG14+[51]domredemp!EG32</f>
        <v>0</v>
      </c>
      <c r="EI33" s="375"/>
      <c r="EK33" s="82"/>
      <c r="EL33" s="82"/>
      <c r="EM33" s="434">
        <f>-[51]domredemp!EL14+[51]domredemp!EL32</f>
        <v>-12795000</v>
      </c>
      <c r="EN33" s="375"/>
      <c r="EP33" s="244"/>
      <c r="ES33" s="451"/>
      <c r="ET33" s="451">
        <f t="shared" si="0"/>
        <v>0</v>
      </c>
    </row>
    <row r="34" spans="3:150" x14ac:dyDescent="0.2">
      <c r="C34" s="244"/>
      <c r="E34" s="336"/>
      <c r="F34" s="437"/>
      <c r="G34" s="437"/>
      <c r="I34" s="375"/>
      <c r="K34" s="82"/>
      <c r="L34" s="82"/>
      <c r="N34" s="375"/>
      <c r="P34" s="82"/>
      <c r="Q34" s="82"/>
      <c r="S34" s="375"/>
      <c r="U34" s="82"/>
      <c r="V34" s="82"/>
      <c r="X34" s="375"/>
      <c r="Z34" s="82"/>
      <c r="AA34" s="82"/>
      <c r="AC34" s="375"/>
      <c r="AE34" s="82"/>
      <c r="AF34" s="82"/>
      <c r="AH34" s="375"/>
      <c r="AJ34" s="82"/>
      <c r="AK34" s="82"/>
      <c r="AM34" s="375"/>
      <c r="AO34" s="82"/>
      <c r="AP34" s="82"/>
      <c r="AR34" s="375"/>
      <c r="AT34" s="82"/>
      <c r="AU34" s="82"/>
      <c r="AW34" s="375"/>
      <c r="AY34" s="82"/>
      <c r="AZ34" s="82"/>
      <c r="BB34" s="375"/>
      <c r="BD34" s="82"/>
      <c r="BE34" s="82"/>
      <c r="BG34" s="375"/>
      <c r="BI34" s="82"/>
      <c r="BJ34" s="82"/>
      <c r="BL34" s="375"/>
      <c r="BN34" s="82"/>
      <c r="BO34" s="82"/>
      <c r="BQ34" s="375"/>
      <c r="BS34" s="82"/>
      <c r="BT34" s="82"/>
      <c r="BV34" s="375"/>
      <c r="BX34" s="82"/>
      <c r="BY34" s="82"/>
      <c r="BZ34" s="477"/>
      <c r="CA34" s="375"/>
      <c r="CC34" s="82"/>
      <c r="CD34" s="82"/>
      <c r="CF34" s="375"/>
      <c r="CH34" s="82"/>
      <c r="CI34" s="82"/>
      <c r="CK34" s="375"/>
      <c r="CM34" s="82"/>
      <c r="CN34" s="82"/>
      <c r="CP34" s="375"/>
      <c r="CR34" s="82"/>
      <c r="CS34" s="82"/>
      <c r="CU34" s="375"/>
      <c r="CW34" s="82"/>
      <c r="CX34" s="82"/>
      <c r="CZ34" s="375"/>
      <c r="DB34" s="82"/>
      <c r="DC34" s="82"/>
      <c r="DE34" s="375"/>
      <c r="DG34" s="82"/>
      <c r="DH34" s="82"/>
      <c r="DJ34" s="375"/>
      <c r="DL34" s="82"/>
      <c r="DM34" s="82"/>
      <c r="DO34" s="375"/>
      <c r="DQ34" s="82"/>
      <c r="DR34" s="82"/>
      <c r="DT34" s="375"/>
      <c r="DV34" s="82"/>
      <c r="DW34" s="82"/>
      <c r="DY34" s="375"/>
      <c r="EA34" s="82"/>
      <c r="EB34" s="82"/>
      <c r="ED34" s="375"/>
      <c r="EF34" s="82"/>
      <c r="EG34" s="82"/>
      <c r="EI34" s="375"/>
      <c r="EK34" s="82"/>
      <c r="EL34" s="82"/>
      <c r="EN34" s="375"/>
      <c r="EP34" s="244"/>
      <c r="ES34" s="451"/>
      <c r="ET34" s="451">
        <f t="shared" si="0"/>
        <v>0</v>
      </c>
    </row>
    <row r="35" spans="3:150" x14ac:dyDescent="0.2">
      <c r="C35" s="244" t="s">
        <v>312</v>
      </c>
      <c r="E35" s="232"/>
      <c r="F35" s="134"/>
      <c r="G35" s="134"/>
      <c r="H35" s="12">
        <f>SUM(H36:H37)</f>
        <v>0</v>
      </c>
      <c r="I35" s="375"/>
      <c r="K35" s="82"/>
      <c r="L35" s="82"/>
      <c r="M35" s="12">
        <f>SUM(M36:M37)</f>
        <v>0</v>
      </c>
      <c r="N35" s="375"/>
      <c r="P35" s="82"/>
      <c r="Q35" s="82"/>
      <c r="R35" s="12">
        <f>SUM(R36:R37)</f>
        <v>0</v>
      </c>
      <c r="S35" s="375"/>
      <c r="U35" s="82"/>
      <c r="V35" s="82"/>
      <c r="W35" s="12">
        <f>SUM(W36:W37)</f>
        <v>0</v>
      </c>
      <c r="X35" s="375"/>
      <c r="Z35" s="82"/>
      <c r="AA35" s="82"/>
      <c r="AB35" s="12">
        <f>SUM(AB36:AB37)</f>
        <v>0</v>
      </c>
      <c r="AC35" s="375"/>
      <c r="AE35" s="82"/>
      <c r="AF35" s="82"/>
      <c r="AG35" s="12">
        <f>SUM(AG36:AG37)</f>
        <v>0</v>
      </c>
      <c r="AH35" s="375"/>
      <c r="AJ35" s="82"/>
      <c r="AK35" s="82"/>
      <c r="AL35" s="12">
        <f>SUM(AL36:AL37)</f>
        <v>0</v>
      </c>
      <c r="AM35" s="375"/>
      <c r="AO35" s="82"/>
      <c r="AP35" s="82"/>
      <c r="AQ35" s="12">
        <f>SUM(AQ36:AQ37)</f>
        <v>0</v>
      </c>
      <c r="AR35" s="375"/>
      <c r="AT35" s="82"/>
      <c r="AU35" s="82"/>
      <c r="AV35" s="12">
        <f>SUM(AV36:AV37)</f>
        <v>85877</v>
      </c>
      <c r="AW35" s="375"/>
      <c r="AY35" s="82"/>
      <c r="AZ35" s="82"/>
      <c r="BA35" s="12">
        <f>SUM(BA36:BA37)</f>
        <v>-85877</v>
      </c>
      <c r="BB35" s="375"/>
      <c r="BD35" s="82"/>
      <c r="BE35" s="82"/>
      <c r="BF35" s="12">
        <f>SUM(BF36:BF37)</f>
        <v>0</v>
      </c>
      <c r="BG35" s="375"/>
      <c r="BI35" s="82"/>
      <c r="BJ35" s="82"/>
      <c r="BK35" s="12">
        <f>SUM(BK36:BK37)</f>
        <v>0</v>
      </c>
      <c r="BL35" s="375"/>
      <c r="BN35" s="82"/>
      <c r="BO35" s="82"/>
      <c r="BP35" s="12">
        <f>SUM(BP36:BP37)</f>
        <v>0</v>
      </c>
      <c r="BQ35" s="375"/>
      <c r="BS35" s="82"/>
      <c r="BT35" s="82"/>
      <c r="BU35" s="12">
        <f>SUM(BU36:BU37)</f>
        <v>0</v>
      </c>
      <c r="BV35" s="375"/>
      <c r="BX35" s="82"/>
      <c r="BY35" s="82"/>
      <c r="BZ35" s="477">
        <f>SUM(BZ36:BZ37)</f>
        <v>0</v>
      </c>
      <c r="CA35" s="375"/>
      <c r="CC35" s="82"/>
      <c r="CD35" s="82"/>
      <c r="CE35" s="12">
        <f>SUM(CE36:CE37)</f>
        <v>0</v>
      </c>
      <c r="CF35" s="375"/>
      <c r="CH35" s="82"/>
      <c r="CI35" s="82"/>
      <c r="CJ35" s="12">
        <f>SUM(CJ36:CJ37)</f>
        <v>0</v>
      </c>
      <c r="CK35" s="375"/>
      <c r="CM35" s="82"/>
      <c r="CN35" s="82"/>
      <c r="CO35" s="12">
        <f>SUM(CO36:CO37)</f>
        <v>0</v>
      </c>
      <c r="CP35" s="375"/>
      <c r="CR35" s="82"/>
      <c r="CS35" s="82"/>
      <c r="CT35" s="12">
        <f>SUM(CT36:CT37)</f>
        <v>0</v>
      </c>
      <c r="CU35" s="375"/>
      <c r="CW35" s="82"/>
      <c r="CX35" s="82"/>
      <c r="CY35" s="12">
        <f>SUM(CY36:CY37)</f>
        <v>0</v>
      </c>
      <c r="CZ35" s="375"/>
      <c r="DB35" s="82"/>
      <c r="DC35" s="82"/>
      <c r="DD35" s="12">
        <f>SUM(DD36:DD37)</f>
        <v>0</v>
      </c>
      <c r="DE35" s="375"/>
      <c r="DG35" s="82"/>
      <c r="DH35" s="82"/>
      <c r="DI35" s="12">
        <f>SUM(DI36:DI37)</f>
        <v>0</v>
      </c>
      <c r="DJ35" s="375"/>
      <c r="DL35" s="82"/>
      <c r="DM35" s="82"/>
      <c r="DN35" s="12">
        <f>SUM(DN36:DN37)</f>
        <v>0</v>
      </c>
      <c r="DO35" s="375"/>
      <c r="DQ35" s="82"/>
      <c r="DR35" s="82"/>
      <c r="DS35" s="12">
        <f>SUM(DS36:DS37)</f>
        <v>0</v>
      </c>
      <c r="DT35" s="375"/>
      <c r="DV35" s="82"/>
      <c r="DW35" s="82"/>
      <c r="DX35" s="12">
        <f>SUM(DX36:DX37)</f>
        <v>0</v>
      </c>
      <c r="DY35" s="375"/>
      <c r="EA35" s="82"/>
      <c r="EB35" s="82"/>
      <c r="EC35" s="12">
        <f>SUM(EC36:EC37)</f>
        <v>0</v>
      </c>
      <c r="ED35" s="375"/>
      <c r="EF35" s="82"/>
      <c r="EG35" s="82"/>
      <c r="EH35" s="12">
        <f>SUM(EH36:EH37)</f>
        <v>0</v>
      </c>
      <c r="EI35" s="375"/>
      <c r="EK35" s="82"/>
      <c r="EL35" s="82"/>
      <c r="EM35" s="12">
        <f>SUM(EM36:EM37)</f>
        <v>0</v>
      </c>
      <c r="EN35" s="375"/>
      <c r="EP35" s="244"/>
      <c r="ES35" s="451"/>
      <c r="ET35" s="451">
        <f t="shared" si="0"/>
        <v>0</v>
      </c>
    </row>
    <row r="36" spans="3:150" x14ac:dyDescent="0.2">
      <c r="C36" s="244" t="s">
        <v>313</v>
      </c>
      <c r="E36" s="336" t="s">
        <v>303</v>
      </c>
      <c r="F36" s="437"/>
      <c r="G36" s="437"/>
      <c r="H36" s="423">
        <f>[51]domlongtermissues!G15</f>
        <v>1028268</v>
      </c>
      <c r="I36" s="375"/>
      <c r="K36" s="82"/>
      <c r="L36" s="82"/>
      <c r="M36" s="423">
        <f>[51]domlongtermissues!L15</f>
        <v>487336</v>
      </c>
      <c r="N36" s="375"/>
      <c r="P36" s="82"/>
      <c r="Q36" s="82"/>
      <c r="R36" s="423">
        <f>[51]domlongtermissues!Q15</f>
        <v>29682</v>
      </c>
      <c r="S36" s="375"/>
      <c r="U36" s="82"/>
      <c r="V36" s="82"/>
      <c r="W36" s="423">
        <f>[51]domlongtermissues!V15</f>
        <v>28489</v>
      </c>
      <c r="X36" s="375"/>
      <c r="Z36" s="82"/>
      <c r="AA36" s="82"/>
      <c r="AB36" s="423">
        <f>[51]domlongtermissues!AA15</f>
        <v>0</v>
      </c>
      <c r="AC36" s="375"/>
      <c r="AE36" s="82"/>
      <c r="AF36" s="82"/>
      <c r="AG36" s="423">
        <f>[51]domlongtermissues!AF15</f>
        <v>41191</v>
      </c>
      <c r="AH36" s="375"/>
      <c r="AJ36" s="82"/>
      <c r="AK36" s="82"/>
      <c r="AL36" s="423">
        <f>[51]domlongtermissues!AK15</f>
        <v>18552</v>
      </c>
      <c r="AM36" s="375"/>
      <c r="AO36" s="82"/>
      <c r="AP36" s="82"/>
      <c r="AQ36" s="423">
        <f>[51]domlongtermissues!AP15</f>
        <v>0</v>
      </c>
      <c r="AR36" s="375"/>
      <c r="AT36" s="82"/>
      <c r="AU36" s="82"/>
      <c r="AV36" s="423">
        <f>[51]domlongtermissues!AU15</f>
        <v>85877</v>
      </c>
      <c r="AW36" s="375"/>
      <c r="AY36" s="82"/>
      <c r="AZ36" s="82"/>
      <c r="BA36" s="423">
        <f>[51]domlongtermissues!AZ15</f>
        <v>204461</v>
      </c>
      <c r="BB36" s="375"/>
      <c r="BD36" s="82"/>
      <c r="BE36" s="82"/>
      <c r="BF36" s="423">
        <f>[51]domlongtermissues!BE15</f>
        <v>132680</v>
      </c>
      <c r="BG36" s="375"/>
      <c r="BI36" s="82"/>
      <c r="BJ36" s="82"/>
      <c r="BK36" s="423">
        <f>[51]domlongtermissues!BJ15</f>
        <v>1279237</v>
      </c>
      <c r="BL36" s="375"/>
      <c r="BN36" s="82"/>
      <c r="BO36" s="82"/>
      <c r="BP36" s="423">
        <f>[51]domlongtermissues!BO15</f>
        <v>2584491</v>
      </c>
      <c r="BQ36" s="375"/>
      <c r="BS36" s="82"/>
      <c r="BT36" s="82"/>
      <c r="BU36" s="423">
        <f>[51]domlongtermissues!BT15</f>
        <v>4891996</v>
      </c>
      <c r="BV36" s="375"/>
      <c r="BX36" s="82"/>
      <c r="BY36" s="82"/>
      <c r="BZ36" s="323">
        <f>+[51]domlongtermissues!BY15</f>
        <v>4361282</v>
      </c>
      <c r="CA36" s="375"/>
      <c r="CC36" s="82"/>
      <c r="CD36" s="82"/>
      <c r="CE36" s="423">
        <f>[51]domlongtermissues!CD15</f>
        <v>3109689</v>
      </c>
      <c r="CF36" s="375"/>
      <c r="CH36" s="82"/>
      <c r="CI36" s="82"/>
      <c r="CJ36" s="423">
        <f>[51]domlongtermissues!CI15</f>
        <v>0</v>
      </c>
      <c r="CK36" s="375"/>
      <c r="CM36" s="82"/>
      <c r="CN36" s="82"/>
      <c r="CO36" s="423">
        <f>[51]domlongtermissues!CN15</f>
        <v>0</v>
      </c>
      <c r="CP36" s="375"/>
      <c r="CR36" s="82"/>
      <c r="CS36" s="82"/>
      <c r="CT36" s="423">
        <f>[51]domlongtermissues!CS15</f>
        <v>0</v>
      </c>
      <c r="CU36" s="375"/>
      <c r="CW36" s="82"/>
      <c r="CX36" s="82"/>
      <c r="CY36" s="423">
        <f>[51]domlongtermissues!CX15</f>
        <v>289217</v>
      </c>
      <c r="CZ36" s="375"/>
      <c r="DB36" s="82"/>
      <c r="DC36" s="82"/>
      <c r="DD36" s="423">
        <f>[51]domlongtermissues!DC15</f>
        <v>235010</v>
      </c>
      <c r="DE36" s="375"/>
      <c r="DG36" s="82"/>
      <c r="DH36" s="82"/>
      <c r="DI36" s="423">
        <f>[51]domlongtermissues!DH15</f>
        <v>0</v>
      </c>
      <c r="DJ36" s="375"/>
      <c r="DL36" s="82"/>
      <c r="DM36" s="82"/>
      <c r="DN36" s="423">
        <f>[51]domlongtermissues!DM15</f>
        <v>64127</v>
      </c>
      <c r="DO36" s="375"/>
      <c r="DQ36" s="82"/>
      <c r="DR36" s="82"/>
      <c r="DS36" s="423">
        <f>[51]domlongtermissues!DR15</f>
        <v>0</v>
      </c>
      <c r="DT36" s="375"/>
      <c r="DV36" s="82"/>
      <c r="DW36" s="82"/>
      <c r="DX36" s="423">
        <f>[51]domlongtermissues!DW15</f>
        <v>0</v>
      </c>
      <c r="DY36" s="375"/>
      <c r="EA36" s="82"/>
      <c r="EB36" s="82"/>
      <c r="EC36" s="423">
        <f>[51]domlongtermissues!EB15</f>
        <v>0</v>
      </c>
      <c r="ED36" s="375"/>
      <c r="EF36" s="82"/>
      <c r="EG36" s="82"/>
      <c r="EH36" s="423">
        <f>[51]domlongtermissues!EG15</f>
        <v>663239</v>
      </c>
      <c r="EI36" s="375"/>
      <c r="EK36" s="82"/>
      <c r="EL36" s="82"/>
      <c r="EM36" s="423">
        <f>[51]domlongtermissues!EL15</f>
        <v>4361282</v>
      </c>
      <c r="EN36" s="375"/>
      <c r="EP36" s="244"/>
      <c r="ES36" s="451"/>
      <c r="ET36" s="451">
        <f t="shared" si="0"/>
        <v>0</v>
      </c>
    </row>
    <row r="37" spans="3:150" x14ac:dyDescent="0.2">
      <c r="C37" s="244" t="s">
        <v>314</v>
      </c>
      <c r="E37" s="336" t="s">
        <v>306</v>
      </c>
      <c r="F37" s="437"/>
      <c r="G37" s="437"/>
      <c r="H37" s="434">
        <f>-[51]domredemp!G15</f>
        <v>-1028268</v>
      </c>
      <c r="I37" s="375"/>
      <c r="K37" s="82"/>
      <c r="L37" s="82"/>
      <c r="M37" s="434">
        <f>-[51]domredemp!L15</f>
        <v>-487336</v>
      </c>
      <c r="N37" s="375"/>
      <c r="P37" s="82"/>
      <c r="Q37" s="82"/>
      <c r="R37" s="434">
        <f>-[51]domredemp!Q15</f>
        <v>-29682</v>
      </c>
      <c r="S37" s="375"/>
      <c r="U37" s="82"/>
      <c r="V37" s="82"/>
      <c r="W37" s="434">
        <f>-[51]domredemp!V15</f>
        <v>-28489</v>
      </c>
      <c r="X37" s="375"/>
      <c r="Z37" s="82"/>
      <c r="AA37" s="82"/>
      <c r="AB37" s="434">
        <f>-[51]domredemp!AA15</f>
        <v>0</v>
      </c>
      <c r="AC37" s="375"/>
      <c r="AE37" s="82"/>
      <c r="AF37" s="82"/>
      <c r="AG37" s="434">
        <f>-[51]domredemp!AF15</f>
        <v>-41191</v>
      </c>
      <c r="AH37" s="375"/>
      <c r="AJ37" s="82"/>
      <c r="AK37" s="82"/>
      <c r="AL37" s="434">
        <f>-[51]domredemp!AK15</f>
        <v>-18552</v>
      </c>
      <c r="AM37" s="375"/>
      <c r="AO37" s="82"/>
      <c r="AP37" s="82"/>
      <c r="AQ37" s="434">
        <f>-[51]domredemp!AP15</f>
        <v>0</v>
      </c>
      <c r="AR37" s="375"/>
      <c r="AT37" s="82"/>
      <c r="AU37" s="82"/>
      <c r="AV37" s="434">
        <f>-[51]domredemp!AU15</f>
        <v>0</v>
      </c>
      <c r="AW37" s="375"/>
      <c r="AY37" s="82"/>
      <c r="AZ37" s="82"/>
      <c r="BA37" s="434">
        <f>-[51]domredemp!AZ15</f>
        <v>-290338</v>
      </c>
      <c r="BB37" s="375"/>
      <c r="BD37" s="82"/>
      <c r="BE37" s="82"/>
      <c r="BF37" s="434">
        <f>-[51]domredemp!BE15</f>
        <v>-132680</v>
      </c>
      <c r="BG37" s="375"/>
      <c r="BI37" s="82"/>
      <c r="BJ37" s="82"/>
      <c r="BK37" s="434">
        <f>-[51]domredemp!BJ15</f>
        <v>-1279237</v>
      </c>
      <c r="BL37" s="375"/>
      <c r="BN37" s="82"/>
      <c r="BO37" s="82"/>
      <c r="BP37" s="434">
        <f>-[51]domredemp!BO15</f>
        <v>-2584491</v>
      </c>
      <c r="BQ37" s="375"/>
      <c r="BS37" s="82"/>
      <c r="BT37" s="82"/>
      <c r="BU37" s="434">
        <f>-[51]domredemp!BT15</f>
        <v>-4891996</v>
      </c>
      <c r="BV37" s="375"/>
      <c r="BX37" s="82"/>
      <c r="BY37" s="82"/>
      <c r="BZ37" s="376">
        <f>-[51]domredemp!BY15</f>
        <v>-4361282</v>
      </c>
      <c r="CA37" s="375"/>
      <c r="CC37" s="82"/>
      <c r="CD37" s="82"/>
      <c r="CE37" s="434">
        <f>-[51]domredemp!CD15</f>
        <v>-3109689</v>
      </c>
      <c r="CF37" s="375"/>
      <c r="CH37" s="82"/>
      <c r="CI37" s="82"/>
      <c r="CJ37" s="434">
        <f>-[51]domredemp!CI15</f>
        <v>0</v>
      </c>
      <c r="CK37" s="375"/>
      <c r="CM37" s="82"/>
      <c r="CN37" s="82"/>
      <c r="CO37" s="434">
        <f>-[51]domredemp!CN15</f>
        <v>0</v>
      </c>
      <c r="CP37" s="375"/>
      <c r="CR37" s="82"/>
      <c r="CS37" s="82"/>
      <c r="CT37" s="434">
        <f>-[51]domredemp!CS15</f>
        <v>0</v>
      </c>
      <c r="CU37" s="375"/>
      <c r="CW37" s="82"/>
      <c r="CX37" s="82"/>
      <c r="CY37" s="434">
        <f>-[51]domredemp!CX15</f>
        <v>-289217</v>
      </c>
      <c r="CZ37" s="375"/>
      <c r="DB37" s="82"/>
      <c r="DC37" s="82"/>
      <c r="DD37" s="434">
        <f>-[51]domredemp!DC15</f>
        <v>-235010</v>
      </c>
      <c r="DE37" s="375"/>
      <c r="DG37" s="82"/>
      <c r="DH37" s="82"/>
      <c r="DI37" s="434">
        <f>-[51]domredemp!DH15</f>
        <v>0</v>
      </c>
      <c r="DJ37" s="375"/>
      <c r="DL37" s="82"/>
      <c r="DM37" s="82"/>
      <c r="DN37" s="434">
        <f>-[51]domredemp!DM15</f>
        <v>-64127</v>
      </c>
      <c r="DO37" s="375"/>
      <c r="DQ37" s="82"/>
      <c r="DR37" s="82"/>
      <c r="DS37" s="434">
        <f>-[51]domredemp!DR15</f>
        <v>0</v>
      </c>
      <c r="DT37" s="375"/>
      <c r="DV37" s="82"/>
      <c r="DW37" s="82"/>
      <c r="DX37" s="434">
        <f>-[51]domredemp!DW15</f>
        <v>0</v>
      </c>
      <c r="DY37" s="375"/>
      <c r="EA37" s="82"/>
      <c r="EB37" s="82"/>
      <c r="EC37" s="434">
        <f>-[51]domredemp!EB15</f>
        <v>0</v>
      </c>
      <c r="ED37" s="375"/>
      <c r="EF37" s="82"/>
      <c r="EG37" s="82"/>
      <c r="EH37" s="434">
        <f>-[51]domredemp!EG15</f>
        <v>-663239</v>
      </c>
      <c r="EI37" s="375"/>
      <c r="EK37" s="82"/>
      <c r="EL37" s="82"/>
      <c r="EM37" s="434">
        <f>-[51]domredemp!EL15</f>
        <v>-4361282</v>
      </c>
      <c r="EN37" s="375"/>
      <c r="EP37" s="244"/>
      <c r="ES37" s="451"/>
      <c r="ET37" s="451">
        <f t="shared" si="0"/>
        <v>0</v>
      </c>
    </row>
    <row r="38" spans="3:150" ht="12.75" hidden="1" customHeight="1" x14ac:dyDescent="0.2">
      <c r="C38" s="244"/>
      <c r="E38" s="336"/>
      <c r="F38" s="437"/>
      <c r="G38" s="437"/>
      <c r="I38" s="375"/>
      <c r="K38" s="82"/>
      <c r="L38" s="82"/>
      <c r="N38" s="375"/>
      <c r="P38" s="82"/>
      <c r="Q38" s="82"/>
      <c r="S38" s="375"/>
      <c r="U38" s="82"/>
      <c r="V38" s="82"/>
      <c r="X38" s="375"/>
      <c r="Z38" s="82"/>
      <c r="AA38" s="82"/>
      <c r="AC38" s="375"/>
      <c r="AE38" s="82"/>
      <c r="AF38" s="82"/>
      <c r="AH38" s="375"/>
      <c r="AJ38" s="82"/>
      <c r="AK38" s="82"/>
      <c r="AM38" s="375"/>
      <c r="AO38" s="82"/>
      <c r="AP38" s="82"/>
      <c r="AR38" s="375"/>
      <c r="AT38" s="82"/>
      <c r="AU38" s="82"/>
      <c r="AW38" s="375"/>
      <c r="AY38" s="82"/>
      <c r="AZ38" s="82"/>
      <c r="BB38" s="375"/>
      <c r="BD38" s="82"/>
      <c r="BE38" s="82"/>
      <c r="BG38" s="375"/>
      <c r="BI38" s="82"/>
      <c r="BJ38" s="82"/>
      <c r="BL38" s="375"/>
      <c r="BN38" s="82"/>
      <c r="BO38" s="82"/>
      <c r="BQ38" s="375"/>
      <c r="BS38" s="82"/>
      <c r="BT38" s="82"/>
      <c r="BV38" s="375"/>
      <c r="BX38" s="82"/>
      <c r="BY38" s="82"/>
      <c r="BZ38" s="477"/>
      <c r="CA38" s="375"/>
      <c r="CC38" s="82"/>
      <c r="CD38" s="82"/>
      <c r="CF38" s="375"/>
      <c r="CH38" s="82"/>
      <c r="CI38" s="82"/>
      <c r="CK38" s="375"/>
      <c r="CM38" s="82"/>
      <c r="CN38" s="82"/>
      <c r="CP38" s="375"/>
      <c r="CR38" s="82"/>
      <c r="CS38" s="82"/>
      <c r="CU38" s="375"/>
      <c r="CW38" s="82"/>
      <c r="CX38" s="82"/>
      <c r="CZ38" s="375"/>
      <c r="DB38" s="82"/>
      <c r="DC38" s="82"/>
      <c r="DE38" s="375"/>
      <c r="DG38" s="82"/>
      <c r="DH38" s="82"/>
      <c r="DJ38" s="375"/>
      <c r="DL38" s="82"/>
      <c r="DM38" s="82"/>
      <c r="DO38" s="375"/>
      <c r="DQ38" s="82"/>
      <c r="DR38" s="82"/>
      <c r="DT38" s="375"/>
      <c r="DV38" s="82"/>
      <c r="DW38" s="82"/>
      <c r="DY38" s="375"/>
      <c r="EA38" s="82"/>
      <c r="EB38" s="82"/>
      <c r="ED38" s="375"/>
      <c r="EF38" s="82"/>
      <c r="EG38" s="82"/>
      <c r="EI38" s="375"/>
      <c r="EK38" s="82"/>
      <c r="EL38" s="82"/>
      <c r="EN38" s="375"/>
      <c r="EP38" s="244"/>
      <c r="ES38" s="451"/>
      <c r="ET38" s="451">
        <f t="shared" si="0"/>
        <v>0</v>
      </c>
    </row>
    <row r="39" spans="3:150" ht="12.75" hidden="1" customHeight="1" x14ac:dyDescent="0.2">
      <c r="C39" s="244" t="s">
        <v>315</v>
      </c>
      <c r="D39" s="7" t="s">
        <v>73</v>
      </c>
      <c r="E39" s="232"/>
      <c r="F39" s="134"/>
      <c r="G39" s="134"/>
      <c r="H39" s="12">
        <v>0</v>
      </c>
      <c r="I39" s="375"/>
      <c r="K39" s="82"/>
      <c r="L39" s="82"/>
      <c r="M39" s="12">
        <f>SUM(M40:M40)</f>
        <v>0</v>
      </c>
      <c r="N39" s="375"/>
      <c r="P39" s="82"/>
      <c r="Q39" s="82"/>
      <c r="R39" s="12">
        <f>SUM(R40:R40)</f>
        <v>0</v>
      </c>
      <c r="S39" s="375"/>
      <c r="U39" s="82"/>
      <c r="V39" s="82"/>
      <c r="W39" s="12">
        <f>SUM(W40:W40)</f>
        <v>0</v>
      </c>
      <c r="X39" s="375"/>
      <c r="Z39" s="82"/>
      <c r="AA39" s="82"/>
      <c r="AB39" s="12">
        <f>SUM(AB40:AB40)</f>
        <v>0</v>
      </c>
      <c r="AC39" s="375"/>
      <c r="AE39" s="82"/>
      <c r="AF39" s="82"/>
      <c r="AG39" s="12">
        <f>SUM(AG40:AG40)</f>
        <v>0</v>
      </c>
      <c r="AH39" s="375"/>
      <c r="AJ39" s="82"/>
      <c r="AK39" s="82"/>
      <c r="AL39" s="12">
        <f>SUM(AL40:AL40)</f>
        <v>0</v>
      </c>
      <c r="AM39" s="375"/>
      <c r="AO39" s="82"/>
      <c r="AP39" s="82"/>
      <c r="AQ39" s="12">
        <f>SUM(AQ40:AQ40)</f>
        <v>0</v>
      </c>
      <c r="AR39" s="375"/>
      <c r="AT39" s="82"/>
      <c r="AU39" s="82"/>
      <c r="AV39" s="12">
        <f>SUM(AV40:AV40)</f>
        <v>0</v>
      </c>
      <c r="AW39" s="375"/>
      <c r="AY39" s="82"/>
      <c r="AZ39" s="82"/>
      <c r="BA39" s="12">
        <f>SUM(BA40:BA40)</f>
        <v>0</v>
      </c>
      <c r="BB39" s="375"/>
      <c r="BD39" s="82"/>
      <c r="BE39" s="82"/>
      <c r="BF39" s="12">
        <f>SUM(BF40:BF40)</f>
        <v>0</v>
      </c>
      <c r="BG39" s="375"/>
      <c r="BI39" s="82"/>
      <c r="BJ39" s="82"/>
      <c r="BK39" s="12">
        <f>SUM(BK40:BK40)</f>
        <v>0</v>
      </c>
      <c r="BL39" s="375"/>
      <c r="BN39" s="82"/>
      <c r="BO39" s="82"/>
      <c r="BP39" s="12">
        <f>SUM(BP40:BP40)</f>
        <v>0</v>
      </c>
      <c r="BQ39" s="375"/>
      <c r="BS39" s="82"/>
      <c r="BT39" s="82"/>
      <c r="BU39" s="12">
        <f>SUM(BU40:BU40)</f>
        <v>0</v>
      </c>
      <c r="BV39" s="375"/>
      <c r="BX39" s="82"/>
      <c r="BY39" s="82"/>
      <c r="BZ39" s="477">
        <v>0</v>
      </c>
      <c r="CA39" s="375"/>
      <c r="CC39" s="82"/>
      <c r="CD39" s="82"/>
      <c r="CE39" s="12">
        <f>SUM(CE40:CE40)</f>
        <v>0</v>
      </c>
      <c r="CF39" s="375"/>
      <c r="CH39" s="82"/>
      <c r="CI39" s="82"/>
      <c r="CJ39" s="12">
        <f>SUM(CJ40:CJ40)</f>
        <v>0</v>
      </c>
      <c r="CK39" s="375"/>
      <c r="CM39" s="82"/>
      <c r="CN39" s="82"/>
      <c r="CO39" s="12">
        <f>SUM(CO40:CO40)</f>
        <v>0</v>
      </c>
      <c r="CP39" s="375"/>
      <c r="CR39" s="82"/>
      <c r="CS39" s="82"/>
      <c r="CT39" s="12">
        <f>SUM(CT40:CT40)</f>
        <v>0</v>
      </c>
      <c r="CU39" s="375"/>
      <c r="CW39" s="82"/>
      <c r="CX39" s="82"/>
      <c r="CY39" s="12">
        <f>SUM(CY40:CY40)</f>
        <v>0</v>
      </c>
      <c r="CZ39" s="375"/>
      <c r="DB39" s="82"/>
      <c r="DC39" s="82"/>
      <c r="DD39" s="12">
        <f>SUM(DD40:DD40)</f>
        <v>0</v>
      </c>
      <c r="DE39" s="375"/>
      <c r="DG39" s="82"/>
      <c r="DH39" s="82"/>
      <c r="DI39" s="12">
        <f>SUM(DI40:DI40)</f>
        <v>0</v>
      </c>
      <c r="DJ39" s="375"/>
      <c r="DL39" s="82"/>
      <c r="DM39" s="82"/>
      <c r="DN39" s="12">
        <f>SUM(DN40:DN40)</f>
        <v>0</v>
      </c>
      <c r="DO39" s="375"/>
      <c r="DQ39" s="82"/>
      <c r="DR39" s="82"/>
      <c r="DS39" s="12">
        <f>SUM(DS40:DS40)</f>
        <v>0</v>
      </c>
      <c r="DT39" s="375"/>
      <c r="DV39" s="82"/>
      <c r="DW39" s="82"/>
      <c r="DX39" s="12">
        <f>SUM(DX40:DX40)</f>
        <v>0</v>
      </c>
      <c r="DY39" s="375"/>
      <c r="EA39" s="82"/>
      <c r="EB39" s="82"/>
      <c r="EC39" s="12">
        <f>SUM(EC40:EC40)</f>
        <v>0</v>
      </c>
      <c r="ED39" s="375"/>
      <c r="EF39" s="82"/>
      <c r="EG39" s="82"/>
      <c r="EH39" s="12">
        <f>SUM(EH40:EH40)</f>
        <v>0</v>
      </c>
      <c r="EI39" s="375"/>
      <c r="EK39" s="82"/>
      <c r="EL39" s="82"/>
      <c r="EM39" s="12">
        <f>SUM(EM40:EM40)</f>
        <v>0</v>
      </c>
      <c r="EN39" s="375"/>
      <c r="EP39" s="244"/>
      <c r="ES39" s="451"/>
      <c r="ET39" s="451">
        <f t="shared" si="0"/>
        <v>0</v>
      </c>
    </row>
    <row r="40" spans="3:150" ht="12.75" hidden="1" customHeight="1" x14ac:dyDescent="0.2">
      <c r="C40" s="244" t="s">
        <v>309</v>
      </c>
      <c r="E40" s="336" t="s">
        <v>303</v>
      </c>
      <c r="F40" s="437"/>
      <c r="G40" s="437"/>
      <c r="H40" s="412">
        <v>0</v>
      </c>
      <c r="I40" s="375"/>
      <c r="K40" s="82"/>
      <c r="L40" s="82"/>
      <c r="M40" s="412">
        <f>[51]domlongtermissues!L16</f>
        <v>0</v>
      </c>
      <c r="N40" s="375"/>
      <c r="P40" s="82"/>
      <c r="Q40" s="82"/>
      <c r="R40" s="412">
        <f>[51]domlongtermissues!Q16</f>
        <v>0</v>
      </c>
      <c r="S40" s="375"/>
      <c r="U40" s="82"/>
      <c r="V40" s="82"/>
      <c r="W40" s="412">
        <f>[51]domlongtermissues!V16</f>
        <v>0</v>
      </c>
      <c r="X40" s="375"/>
      <c r="Z40" s="82"/>
      <c r="AA40" s="82"/>
      <c r="AB40" s="412">
        <f>[51]domlongtermissues!AA16</f>
        <v>0</v>
      </c>
      <c r="AC40" s="375"/>
      <c r="AE40" s="82"/>
      <c r="AF40" s="82"/>
      <c r="AG40" s="412">
        <f>[51]domlongtermissues!AF16</f>
        <v>0</v>
      </c>
      <c r="AH40" s="375"/>
      <c r="AJ40" s="82"/>
      <c r="AK40" s="82"/>
      <c r="AL40" s="412">
        <f>[51]domlongtermissues!AK16</f>
        <v>0</v>
      </c>
      <c r="AM40" s="375"/>
      <c r="AO40" s="82"/>
      <c r="AP40" s="82"/>
      <c r="AQ40" s="412">
        <f>[51]domlongtermissues!AP16</f>
        <v>0</v>
      </c>
      <c r="AR40" s="375"/>
      <c r="AT40" s="82"/>
      <c r="AU40" s="82"/>
      <c r="AV40" s="412">
        <f>[51]domlongtermissues!AU16</f>
        <v>0</v>
      </c>
      <c r="AW40" s="375"/>
      <c r="AY40" s="82"/>
      <c r="AZ40" s="82"/>
      <c r="BA40" s="412">
        <f>[51]domlongtermissues!AZ16</f>
        <v>0</v>
      </c>
      <c r="BB40" s="375"/>
      <c r="BD40" s="82"/>
      <c r="BE40" s="82"/>
      <c r="BF40" s="412">
        <f>[51]domlongtermissues!BE16</f>
        <v>0</v>
      </c>
      <c r="BG40" s="375"/>
      <c r="BI40" s="82"/>
      <c r="BJ40" s="82"/>
      <c r="BK40" s="412">
        <f>[51]domlongtermissues!BJ16</f>
        <v>0</v>
      </c>
      <c r="BL40" s="375"/>
      <c r="BN40" s="82"/>
      <c r="BO40" s="82"/>
      <c r="BP40" s="12">
        <f>[51]domlongtermissues!BO16</f>
        <v>0</v>
      </c>
      <c r="BQ40" s="375"/>
      <c r="BS40" s="82"/>
      <c r="BT40" s="82"/>
      <c r="BU40" s="412">
        <f>[51]domlongtermissues!BT16</f>
        <v>0</v>
      </c>
      <c r="BV40" s="375"/>
      <c r="BX40" s="82"/>
      <c r="BY40" s="82"/>
      <c r="BZ40" s="208">
        <v>0</v>
      </c>
      <c r="CA40" s="375"/>
      <c r="CC40" s="82"/>
      <c r="CD40" s="82"/>
      <c r="CE40" s="412">
        <f>[51]domlongtermissues!CD16</f>
        <v>0</v>
      </c>
      <c r="CF40" s="375"/>
      <c r="CH40" s="82"/>
      <c r="CI40" s="82"/>
      <c r="CJ40" s="412">
        <f>[51]domlongtermissues!CI16</f>
        <v>0</v>
      </c>
      <c r="CK40" s="375"/>
      <c r="CM40" s="82"/>
      <c r="CN40" s="82"/>
      <c r="CO40" s="412">
        <f>[51]domlongtermissues!CN16</f>
        <v>0</v>
      </c>
      <c r="CP40" s="375"/>
      <c r="CR40" s="82"/>
      <c r="CS40" s="82"/>
      <c r="CT40" s="412">
        <f>[51]domlongtermissues!CS16</f>
        <v>0</v>
      </c>
      <c r="CU40" s="375"/>
      <c r="CW40" s="82"/>
      <c r="CX40" s="82"/>
      <c r="CY40" s="412">
        <f>[51]domlongtermissues!CX16</f>
        <v>0</v>
      </c>
      <c r="CZ40" s="375"/>
      <c r="DB40" s="82"/>
      <c r="DC40" s="82"/>
      <c r="DD40" s="412">
        <f>[51]domlongtermissues!DC16</f>
        <v>0</v>
      </c>
      <c r="DE40" s="375"/>
      <c r="DG40" s="82"/>
      <c r="DH40" s="82"/>
      <c r="DI40" s="412">
        <f>[51]domlongtermissues!DH16</f>
        <v>0</v>
      </c>
      <c r="DJ40" s="375"/>
      <c r="DL40" s="82"/>
      <c r="DM40" s="82"/>
      <c r="DN40" s="412">
        <f>[51]domlongtermissues!DM16</f>
        <v>0</v>
      </c>
      <c r="DO40" s="375"/>
      <c r="DQ40" s="82"/>
      <c r="DR40" s="82"/>
      <c r="DS40" s="412">
        <f>[51]domlongtermissues!DR16</f>
        <v>0</v>
      </c>
      <c r="DT40" s="375"/>
      <c r="DV40" s="82"/>
      <c r="DW40" s="82"/>
      <c r="DX40" s="412">
        <f>[51]domlongtermissues!DW16</f>
        <v>0</v>
      </c>
      <c r="DY40" s="375"/>
      <c r="EA40" s="82"/>
      <c r="EB40" s="82"/>
      <c r="EC40" s="412">
        <f>[51]domlongtermissues!EB16</f>
        <v>0</v>
      </c>
      <c r="ED40" s="375"/>
      <c r="EF40" s="82"/>
      <c r="EG40" s="82"/>
      <c r="EH40" s="412">
        <f>[51]domlongtermissues!EG16</f>
        <v>0</v>
      </c>
      <c r="EI40" s="375"/>
      <c r="EK40" s="82"/>
      <c r="EL40" s="82"/>
      <c r="EM40" s="412">
        <f>[51]domlongtermissues!EL16</f>
        <v>0</v>
      </c>
      <c r="EN40" s="375"/>
      <c r="EP40" s="244"/>
      <c r="ES40" s="451"/>
      <c r="ET40" s="451">
        <f t="shared" si="0"/>
        <v>0</v>
      </c>
    </row>
    <row r="41" spans="3:150" x14ac:dyDescent="0.2">
      <c r="C41" s="244"/>
      <c r="E41" s="232"/>
      <c r="F41" s="134"/>
      <c r="G41" s="464"/>
      <c r="H41" s="438"/>
      <c r="I41" s="158"/>
      <c r="K41" s="82"/>
      <c r="L41" s="276"/>
      <c r="M41" s="438"/>
      <c r="N41" s="158"/>
      <c r="P41" s="82"/>
      <c r="Q41" s="276"/>
      <c r="R41" s="438"/>
      <c r="S41" s="158"/>
      <c r="U41" s="82"/>
      <c r="V41" s="276"/>
      <c r="W41" s="438"/>
      <c r="X41" s="158"/>
      <c r="Z41" s="82"/>
      <c r="AA41" s="276"/>
      <c r="AB41" s="438"/>
      <c r="AC41" s="158"/>
      <c r="AE41" s="82"/>
      <c r="AF41" s="276"/>
      <c r="AG41" s="438"/>
      <c r="AH41" s="158"/>
      <c r="AJ41" s="82"/>
      <c r="AK41" s="276"/>
      <c r="AL41" s="438"/>
      <c r="AM41" s="158"/>
      <c r="AO41" s="82"/>
      <c r="AP41" s="276"/>
      <c r="AQ41" s="438"/>
      <c r="AR41" s="158"/>
      <c r="AT41" s="82"/>
      <c r="AU41" s="276"/>
      <c r="AV41" s="438"/>
      <c r="AW41" s="158"/>
      <c r="AY41" s="82"/>
      <c r="AZ41" s="276"/>
      <c r="BA41" s="438"/>
      <c r="BB41" s="158"/>
      <c r="BD41" s="82"/>
      <c r="BE41" s="276"/>
      <c r="BF41" s="438"/>
      <c r="BG41" s="158"/>
      <c r="BI41" s="82"/>
      <c r="BJ41" s="276"/>
      <c r="BK41" s="438"/>
      <c r="BL41" s="158"/>
      <c r="BN41" s="82"/>
      <c r="BO41" s="276"/>
      <c r="BP41" s="438"/>
      <c r="BQ41" s="158"/>
      <c r="BS41" s="82"/>
      <c r="BT41" s="276"/>
      <c r="BU41" s="438"/>
      <c r="BV41" s="158"/>
      <c r="BX41" s="82"/>
      <c r="BY41" s="276"/>
      <c r="BZ41" s="175"/>
      <c r="CA41" s="158"/>
      <c r="CC41" s="82"/>
      <c r="CD41" s="276"/>
      <c r="CE41" s="438"/>
      <c r="CF41" s="158"/>
      <c r="CH41" s="82"/>
      <c r="CI41" s="276"/>
      <c r="CJ41" s="438"/>
      <c r="CK41" s="158"/>
      <c r="CM41" s="82"/>
      <c r="CN41" s="276"/>
      <c r="CO41" s="438"/>
      <c r="CP41" s="158"/>
      <c r="CR41" s="82"/>
      <c r="CS41" s="276"/>
      <c r="CT41" s="438"/>
      <c r="CU41" s="158"/>
      <c r="CW41" s="82"/>
      <c r="CX41" s="276"/>
      <c r="CY41" s="438"/>
      <c r="CZ41" s="158"/>
      <c r="DB41" s="82"/>
      <c r="DC41" s="276"/>
      <c r="DD41" s="438"/>
      <c r="DE41" s="158"/>
      <c r="DG41" s="82"/>
      <c r="DH41" s="276"/>
      <c r="DI41" s="438"/>
      <c r="DJ41" s="158"/>
      <c r="DL41" s="82"/>
      <c r="DM41" s="276"/>
      <c r="DN41" s="438"/>
      <c r="DO41" s="158"/>
      <c r="DQ41" s="82"/>
      <c r="DR41" s="276"/>
      <c r="DS41" s="438"/>
      <c r="DT41" s="158"/>
      <c r="DV41" s="82"/>
      <c r="DW41" s="276"/>
      <c r="DX41" s="438"/>
      <c r="DY41" s="158"/>
      <c r="EA41" s="82"/>
      <c r="EB41" s="276"/>
      <c r="EC41" s="438"/>
      <c r="ED41" s="158"/>
      <c r="EF41" s="82"/>
      <c r="EG41" s="276"/>
      <c r="EH41" s="438"/>
      <c r="EI41" s="158"/>
      <c r="EK41" s="82"/>
      <c r="EL41" s="276"/>
      <c r="EM41" s="438"/>
      <c r="EN41" s="158"/>
      <c r="EP41" s="244"/>
      <c r="ES41" s="451"/>
      <c r="ET41" s="451">
        <f t="shared" si="0"/>
        <v>0</v>
      </c>
    </row>
    <row r="42" spans="3:150" hidden="1" x14ac:dyDescent="0.2">
      <c r="C42" s="244"/>
      <c r="E42" s="232"/>
      <c r="F42" s="134"/>
      <c r="G42" s="261"/>
      <c r="K42" s="82"/>
      <c r="P42" s="82"/>
      <c r="U42" s="82"/>
      <c r="Z42" s="82"/>
      <c r="AE42" s="82"/>
      <c r="AJ42" s="82"/>
      <c r="AO42" s="82"/>
      <c r="AT42" s="82"/>
      <c r="AY42" s="82"/>
      <c r="BD42" s="82"/>
      <c r="BI42" s="82"/>
      <c r="BN42" s="82"/>
      <c r="BS42" s="82"/>
      <c r="BX42" s="82"/>
      <c r="BZ42" s="477"/>
      <c r="CC42" s="82"/>
      <c r="CH42" s="82"/>
      <c r="CM42" s="82"/>
      <c r="CR42" s="82"/>
      <c r="CW42" s="82"/>
      <c r="DB42" s="82"/>
      <c r="DG42" s="82"/>
      <c r="DL42" s="82"/>
      <c r="DQ42" s="82"/>
      <c r="DV42" s="82"/>
      <c r="EA42" s="82"/>
      <c r="EF42" s="82"/>
      <c r="EK42" s="82"/>
      <c r="EP42" s="244"/>
      <c r="ES42" s="451"/>
      <c r="ET42" s="451">
        <f t="shared" si="0"/>
        <v>0</v>
      </c>
    </row>
    <row r="43" spans="3:150" x14ac:dyDescent="0.2">
      <c r="C43" s="244"/>
      <c r="E43" s="232"/>
      <c r="F43" s="134"/>
      <c r="G43" s="261"/>
      <c r="K43" s="82"/>
      <c r="P43" s="82"/>
      <c r="U43" s="82"/>
      <c r="Z43" s="82"/>
      <c r="AE43" s="82"/>
      <c r="AJ43" s="82"/>
      <c r="AO43" s="82"/>
      <c r="AT43" s="82"/>
      <c r="AY43" s="82"/>
      <c r="BD43" s="82"/>
      <c r="BI43" s="82"/>
      <c r="BN43" s="82"/>
      <c r="BS43" s="82"/>
      <c r="BX43" s="82"/>
      <c r="BZ43" s="477"/>
      <c r="CC43" s="82"/>
      <c r="CH43" s="82"/>
      <c r="CM43" s="82"/>
      <c r="CR43" s="82"/>
      <c r="CW43" s="82"/>
      <c r="DB43" s="82"/>
      <c r="DG43" s="82"/>
      <c r="DL43" s="82"/>
      <c r="DQ43" s="82"/>
      <c r="DV43" s="82"/>
      <c r="EA43" s="82"/>
      <c r="EF43" s="82"/>
      <c r="EK43" s="82"/>
      <c r="EP43" s="244"/>
      <c r="ES43" s="451"/>
      <c r="ET43" s="451">
        <f t="shared" si="0"/>
        <v>0</v>
      </c>
    </row>
    <row r="44" spans="3:150" s="451" customFormat="1" x14ac:dyDescent="0.2">
      <c r="C44" s="484" t="s">
        <v>316</v>
      </c>
      <c r="E44" s="336" t="s">
        <v>317</v>
      </c>
      <c r="F44" s="437"/>
      <c r="G44" s="107"/>
      <c r="H44" s="451">
        <f>+H45+H52+H59</f>
        <v>92653000</v>
      </c>
      <c r="K44" s="138"/>
      <c r="L44" s="107"/>
      <c r="M44" s="451">
        <f>+M45+M52+M59</f>
        <v>-777665</v>
      </c>
      <c r="P44" s="138"/>
      <c r="Q44" s="107"/>
      <c r="R44" s="451">
        <f>+R45+R52+R59</f>
        <v>-4931986</v>
      </c>
      <c r="U44" s="138"/>
      <c r="V44" s="107"/>
      <c r="W44" s="451">
        <f>+W45+W52+W59</f>
        <v>-8699700</v>
      </c>
      <c r="Z44" s="138"/>
      <c r="AA44" s="107"/>
      <c r="AB44" s="451">
        <f>+AB45+AB52+AB59</f>
        <v>86911584</v>
      </c>
      <c r="AE44" s="138"/>
      <c r="AF44" s="107"/>
      <c r="AG44" s="451">
        <f>+AG45+AG52+AG59</f>
        <v>0</v>
      </c>
      <c r="AJ44" s="138"/>
      <c r="AK44" s="107"/>
      <c r="AL44" s="451">
        <f>+AL45+AL52+AL59</f>
        <v>0</v>
      </c>
      <c r="AO44" s="138"/>
      <c r="AP44" s="107"/>
      <c r="AQ44" s="451">
        <f>+AQ45+AQ52+AQ59</f>
        <v>5008164</v>
      </c>
      <c r="AT44" s="138"/>
      <c r="AU44" s="107"/>
      <c r="AV44" s="451">
        <f>+AV45+AV52+AV59</f>
        <v>-6967</v>
      </c>
      <c r="AY44" s="138"/>
      <c r="AZ44" s="107"/>
      <c r="BA44" s="451">
        <f>+BA45+BA52+BA59</f>
        <v>0</v>
      </c>
      <c r="BD44" s="138"/>
      <c r="BE44" s="107"/>
      <c r="BF44" s="451">
        <f>+BF45+BF52+BF59</f>
        <v>0</v>
      </c>
      <c r="BI44" s="138"/>
      <c r="BJ44" s="107"/>
      <c r="BK44" s="451">
        <f>+BK45+BK52+BK59</f>
        <v>0</v>
      </c>
      <c r="BN44" s="138"/>
      <c r="BO44" s="107"/>
      <c r="BP44" s="451">
        <f>+BP45+BP52+BP59</f>
        <v>0</v>
      </c>
      <c r="BS44" s="138"/>
      <c r="BT44" s="107"/>
      <c r="BU44" s="451">
        <f>+BU45+BU52+BU59</f>
        <v>77503430</v>
      </c>
      <c r="BX44" s="138"/>
      <c r="BY44" s="107"/>
      <c r="BZ44" s="265">
        <f>+BZ45+BZ52+BZ59</f>
        <v>24823043</v>
      </c>
      <c r="CC44" s="138"/>
      <c r="CD44" s="107"/>
      <c r="CE44" s="451">
        <f>+CE45+CE52+CE59</f>
        <v>-628449</v>
      </c>
      <c r="CH44" s="138"/>
      <c r="CI44" s="107"/>
      <c r="CJ44" s="451">
        <f>+CJ45+CJ52+CJ59</f>
        <v>-25247385</v>
      </c>
      <c r="CM44" s="138"/>
      <c r="CN44" s="107"/>
      <c r="CO44" s="451">
        <f>+CO45+CO52+CO59</f>
        <v>0</v>
      </c>
      <c r="CR44" s="138"/>
      <c r="CS44" s="107"/>
      <c r="CT44" s="451">
        <f>+CT45+CT52+CT59</f>
        <v>0</v>
      </c>
      <c r="CW44" s="138"/>
      <c r="CX44" s="107"/>
      <c r="CY44" s="451">
        <f>+CY45+CY52+CY59</f>
        <v>0</v>
      </c>
      <c r="DB44" s="138"/>
      <c r="DC44" s="107"/>
      <c r="DD44" s="451">
        <f>+DD45+DD52+DD59</f>
        <v>76052000</v>
      </c>
      <c r="DG44" s="138"/>
      <c r="DH44" s="107"/>
      <c r="DI44" s="451">
        <f>+DI45+DI52+DI59</f>
        <v>-654491</v>
      </c>
      <c r="DL44" s="138"/>
      <c r="DM44" s="107"/>
      <c r="DN44" s="451">
        <f>+DN45+DN52+DN59</f>
        <v>-6365</v>
      </c>
      <c r="DQ44" s="138"/>
      <c r="DR44" s="107"/>
      <c r="DS44" s="451">
        <f>+DS45+DS52+DS59</f>
        <v>0</v>
      </c>
      <c r="DV44" s="138"/>
      <c r="DW44" s="107"/>
      <c r="DX44" s="451">
        <f>+DX45+DX52+DX59</f>
        <v>0</v>
      </c>
      <c r="EA44" s="138"/>
      <c r="EB44" s="107"/>
      <c r="EC44" s="451">
        <f>+EC45+EC52+EC59</f>
        <v>0</v>
      </c>
      <c r="EF44" s="138"/>
      <c r="EG44" s="107"/>
      <c r="EH44" s="451">
        <f>+EH45+EH52+EH59</f>
        <v>-24692267</v>
      </c>
      <c r="EK44" s="138"/>
      <c r="EL44" s="107"/>
      <c r="EM44" s="451">
        <f>+EM45+EM52+EM59</f>
        <v>24823043</v>
      </c>
      <c r="EP44" s="484"/>
      <c r="ET44" s="451">
        <f t="shared" si="0"/>
        <v>0</v>
      </c>
    </row>
    <row r="45" spans="3:150" x14ac:dyDescent="0.2">
      <c r="C45" s="244" t="s">
        <v>301</v>
      </c>
      <c r="E45" s="232"/>
      <c r="F45" s="134"/>
      <c r="G45" s="305"/>
      <c r="H45" s="457">
        <f>SUM(H46:H50)</f>
        <v>92653000</v>
      </c>
      <c r="I45" s="297"/>
      <c r="K45" s="82"/>
      <c r="L45" s="305"/>
      <c r="M45" s="457">
        <f>SUM(M46:M50)</f>
        <v>-777665</v>
      </c>
      <c r="N45" s="297"/>
      <c r="P45" s="82"/>
      <c r="Q45" s="305"/>
      <c r="R45" s="457">
        <f>SUM(R46:R50)</f>
        <v>-4931986</v>
      </c>
      <c r="S45" s="297"/>
      <c r="U45" s="82"/>
      <c r="V45" s="305"/>
      <c r="W45" s="457">
        <f>SUM(W46:W50)</f>
        <v>-8699700</v>
      </c>
      <c r="X45" s="297"/>
      <c r="Z45" s="82"/>
      <c r="AA45" s="305"/>
      <c r="AB45" s="457">
        <f>SUM(AB46:AB50)</f>
        <v>86911584</v>
      </c>
      <c r="AC45" s="297"/>
      <c r="AE45" s="82"/>
      <c r="AF45" s="305"/>
      <c r="AG45" s="457">
        <f>SUM(AG46:AG50)</f>
        <v>0</v>
      </c>
      <c r="AH45" s="297"/>
      <c r="AJ45" s="82"/>
      <c r="AK45" s="305"/>
      <c r="AL45" s="457">
        <f>SUM(AL46:AL50)</f>
        <v>0</v>
      </c>
      <c r="AM45" s="297"/>
      <c r="AO45" s="82"/>
      <c r="AP45" s="305"/>
      <c r="AQ45" s="457">
        <f>SUM(AQ46:AQ50)</f>
        <v>5008164</v>
      </c>
      <c r="AR45" s="297"/>
      <c r="AT45" s="82"/>
      <c r="AU45" s="305"/>
      <c r="AV45" s="457">
        <f>SUM(AV46:AV50)</f>
        <v>-6967</v>
      </c>
      <c r="AW45" s="297"/>
      <c r="AY45" s="82"/>
      <c r="AZ45" s="305"/>
      <c r="BA45" s="457">
        <f>SUM(BA46:BA50)</f>
        <v>0</v>
      </c>
      <c r="BB45" s="297"/>
      <c r="BD45" s="82"/>
      <c r="BE45" s="305"/>
      <c r="BF45" s="457">
        <f>SUM(BF46:BF50)</f>
        <v>0</v>
      </c>
      <c r="BG45" s="297"/>
      <c r="BI45" s="82"/>
      <c r="BJ45" s="305"/>
      <c r="BK45" s="457">
        <f>SUM(BK46:BK50)</f>
        <v>0</v>
      </c>
      <c r="BL45" s="297"/>
      <c r="BN45" s="82"/>
      <c r="BO45" s="305"/>
      <c r="BP45" s="457">
        <f>SUM(BP46:BP50)</f>
        <v>0</v>
      </c>
      <c r="BQ45" s="297"/>
      <c r="BS45" s="82"/>
      <c r="BT45" s="305"/>
      <c r="BU45" s="457">
        <f>SUM(BU46:BU50)</f>
        <v>77503430</v>
      </c>
      <c r="BV45" s="297"/>
      <c r="BX45" s="82"/>
      <c r="BY45" s="305"/>
      <c r="BZ45" s="246">
        <f>SUM(BZ46:BZ50)</f>
        <v>24823043</v>
      </c>
      <c r="CA45" s="297"/>
      <c r="CC45" s="82"/>
      <c r="CD45" s="305"/>
      <c r="CE45" s="457">
        <f>SUM(CE46:CE50)</f>
        <v>-628449</v>
      </c>
      <c r="CF45" s="297"/>
      <c r="CH45" s="82"/>
      <c r="CI45" s="305"/>
      <c r="CJ45" s="457">
        <f>SUM(CJ46:CJ50)</f>
        <v>-25247385</v>
      </c>
      <c r="CK45" s="297"/>
      <c r="CM45" s="82"/>
      <c r="CN45" s="305"/>
      <c r="CO45" s="457">
        <f>SUM(CO46:CO50)</f>
        <v>0</v>
      </c>
      <c r="CP45" s="297"/>
      <c r="CR45" s="82"/>
      <c r="CS45" s="305"/>
      <c r="CT45" s="457">
        <f>SUM(CT46:CT50)</f>
        <v>0</v>
      </c>
      <c r="CU45" s="297"/>
      <c r="CW45" s="82"/>
      <c r="CX45" s="305"/>
      <c r="CY45" s="457">
        <f>SUM(CY46:CY50)</f>
        <v>0</v>
      </c>
      <c r="CZ45" s="297"/>
      <c r="DB45" s="82"/>
      <c r="DC45" s="305"/>
      <c r="DD45" s="457">
        <f>SUM(DD46:DD50)</f>
        <v>76052000</v>
      </c>
      <c r="DE45" s="297"/>
      <c r="DG45" s="82"/>
      <c r="DH45" s="305"/>
      <c r="DI45" s="457">
        <f>SUM(DI46:DI50)</f>
        <v>-654491</v>
      </c>
      <c r="DJ45" s="297"/>
      <c r="DL45" s="82"/>
      <c r="DM45" s="305"/>
      <c r="DN45" s="457">
        <f>SUM(DN46:DN50)</f>
        <v>-6365</v>
      </c>
      <c r="DO45" s="297"/>
      <c r="DQ45" s="82"/>
      <c r="DR45" s="305"/>
      <c r="DS45" s="457">
        <f>SUM(DS46:DS50)</f>
        <v>0</v>
      </c>
      <c r="DT45" s="297"/>
      <c r="DV45" s="82"/>
      <c r="DW45" s="305"/>
      <c r="DX45" s="457">
        <f>SUM(DX46:DX50)</f>
        <v>0</v>
      </c>
      <c r="DY45" s="297"/>
      <c r="EA45" s="82"/>
      <c r="EB45" s="305"/>
      <c r="EC45" s="457">
        <f>SUM(EC46:EC50)</f>
        <v>0</v>
      </c>
      <c r="ED45" s="297"/>
      <c r="EF45" s="82"/>
      <c r="EG45" s="305"/>
      <c r="EH45" s="457">
        <f>SUM(EH46:EH50)</f>
        <v>-24692267</v>
      </c>
      <c r="EI45" s="297"/>
      <c r="EK45" s="82"/>
      <c r="EL45" s="305"/>
      <c r="EM45" s="457">
        <f>SUM(EM46:EM50)</f>
        <v>24823043</v>
      </c>
      <c r="EN45" s="297"/>
      <c r="EP45" s="244"/>
      <c r="ES45" s="451"/>
      <c r="ET45" s="451">
        <f>EM45-BZ45</f>
        <v>0</v>
      </c>
    </row>
    <row r="46" spans="3:150" x14ac:dyDescent="0.2">
      <c r="C46" s="244" t="s">
        <v>302</v>
      </c>
      <c r="E46" s="139"/>
      <c r="F46" s="122"/>
      <c r="G46" s="122"/>
      <c r="H46" s="423">
        <f>+[51]foreigndebt!G17</f>
        <v>107070000</v>
      </c>
      <c r="I46" s="375"/>
      <c r="K46" s="82"/>
      <c r="L46" s="122"/>
      <c r="M46" s="423">
        <f>+[51]foreigndebt!L17</f>
        <v>0</v>
      </c>
      <c r="N46" s="375"/>
      <c r="P46" s="82"/>
      <c r="Q46" s="122"/>
      <c r="R46" s="423">
        <f>+[51]foreigndebt!Q17</f>
        <v>0</v>
      </c>
      <c r="S46" s="375"/>
      <c r="U46" s="82"/>
      <c r="V46" s="122"/>
      <c r="W46" s="423">
        <f>+[51]foreigndebt!V17</f>
        <v>0</v>
      </c>
      <c r="X46" s="375"/>
      <c r="Z46" s="82"/>
      <c r="AA46" s="122"/>
      <c r="AB46" s="423">
        <f>+[51]foreigndebt!AA17</f>
        <v>86911584</v>
      </c>
      <c r="AC46" s="375"/>
      <c r="AE46" s="82"/>
      <c r="AF46" s="122"/>
      <c r="AG46" s="423">
        <f>+[51]foreigndebt!AF17</f>
        <v>0</v>
      </c>
      <c r="AH46" s="375"/>
      <c r="AJ46" s="82"/>
      <c r="AK46" s="122"/>
      <c r="AL46" s="423">
        <f>+[51]foreigndebt!AK17</f>
        <v>0</v>
      </c>
      <c r="AM46" s="375"/>
      <c r="AO46" s="82"/>
      <c r="AP46" s="122"/>
      <c r="AQ46" s="423">
        <f>+[51]foreigndebt!AP17</f>
        <v>5008164</v>
      </c>
      <c r="AR46" s="375"/>
      <c r="AT46" s="82"/>
      <c r="AU46" s="122"/>
      <c r="AV46" s="423">
        <f>+[51]foreigndebt!AU17</f>
        <v>0</v>
      </c>
      <c r="AW46" s="375"/>
      <c r="AY46" s="82"/>
      <c r="AZ46" s="122"/>
      <c r="BA46" s="423">
        <f>+[51]foreigndebt!AZ17</f>
        <v>0</v>
      </c>
      <c r="BB46" s="375"/>
      <c r="BD46" s="82"/>
      <c r="BE46" s="122"/>
      <c r="BF46" s="423">
        <f>+[51]foreigndebt!BE17</f>
        <v>0</v>
      </c>
      <c r="BG46" s="375"/>
      <c r="BI46" s="82"/>
      <c r="BJ46" s="122"/>
      <c r="BK46" s="423">
        <f>+[51]foreigndebt!BJ17</f>
        <v>0</v>
      </c>
      <c r="BL46" s="375"/>
      <c r="BN46" s="82"/>
      <c r="BO46" s="122"/>
      <c r="BP46" s="423">
        <f>+[51]foreigndebt!BO17</f>
        <v>0</v>
      </c>
      <c r="BQ46" s="375"/>
      <c r="BS46" s="82"/>
      <c r="BT46" s="122"/>
      <c r="BU46" s="423">
        <f>+[51]foreigndebt!BT17</f>
        <v>91919748</v>
      </c>
      <c r="BV46" s="375"/>
      <c r="BX46" s="82"/>
      <c r="BY46" s="122"/>
      <c r="BZ46" s="323">
        <f>[51]foreigndebt!BY13</f>
        <v>76052000</v>
      </c>
      <c r="CA46" s="375"/>
      <c r="CC46" s="82"/>
      <c r="CD46" s="122"/>
      <c r="CE46" s="423">
        <f>+[51]foreigndebt!CD17</f>
        <v>0</v>
      </c>
      <c r="CF46" s="375"/>
      <c r="CH46" s="82"/>
      <c r="CI46" s="122"/>
      <c r="CJ46" s="423">
        <f>+[51]foreigndebt!CI17</f>
        <v>0</v>
      </c>
      <c r="CK46" s="375"/>
      <c r="CM46" s="82"/>
      <c r="CN46" s="122"/>
      <c r="CO46" s="423">
        <f>+[51]foreigndebt!CN17</f>
        <v>0</v>
      </c>
      <c r="CP46" s="375"/>
      <c r="CR46" s="82"/>
      <c r="CS46" s="122"/>
      <c r="CT46" s="423">
        <f>+[51]foreigndebt!CS17</f>
        <v>0</v>
      </c>
      <c r="CU46" s="375"/>
      <c r="CW46" s="82"/>
      <c r="CX46" s="122"/>
      <c r="CY46" s="423">
        <f>+[51]foreigndebt!CX17</f>
        <v>0</v>
      </c>
      <c r="CZ46" s="375"/>
      <c r="DB46" s="82"/>
      <c r="DC46" s="122"/>
      <c r="DD46" s="423">
        <f>+[51]foreigndebt!DC17</f>
        <v>76052000</v>
      </c>
      <c r="DE46" s="375"/>
      <c r="DG46" s="82"/>
      <c r="DH46" s="122"/>
      <c r="DI46" s="423">
        <f>+[51]foreigndebt!DH17</f>
        <v>0</v>
      </c>
      <c r="DJ46" s="375"/>
      <c r="DL46" s="82"/>
      <c r="DM46" s="122"/>
      <c r="DN46" s="423">
        <f>+[51]foreigndebt!DM17</f>
        <v>0</v>
      </c>
      <c r="DO46" s="375"/>
      <c r="DQ46" s="82"/>
      <c r="DR46" s="122"/>
      <c r="DS46" s="423">
        <f>+[51]foreigndebt!DR17</f>
        <v>0</v>
      </c>
      <c r="DT46" s="375"/>
      <c r="DV46" s="82"/>
      <c r="DW46" s="122"/>
      <c r="DX46" s="423">
        <f>+[51]foreigndebt!DW17</f>
        <v>0</v>
      </c>
      <c r="DY46" s="375"/>
      <c r="EA46" s="82"/>
      <c r="EB46" s="122"/>
      <c r="EC46" s="423">
        <f>+[51]foreigndebt!EB17</f>
        <v>0</v>
      </c>
      <c r="ED46" s="375"/>
      <c r="EF46" s="82"/>
      <c r="EG46" s="122"/>
      <c r="EH46" s="423">
        <f>+[51]foreigndebt!EG17</f>
        <v>0</v>
      </c>
      <c r="EI46" s="375"/>
      <c r="EK46" s="82"/>
      <c r="EL46" s="122"/>
      <c r="EM46" s="423">
        <f>+[51]foreigndebt!EL17</f>
        <v>76052000</v>
      </c>
      <c r="EN46" s="375"/>
      <c r="EP46" s="244"/>
      <c r="ES46" s="451"/>
      <c r="ET46" s="451">
        <f t="shared" si="0"/>
        <v>0</v>
      </c>
    </row>
    <row r="47" spans="3:150" ht="12.75" hidden="1" customHeight="1" x14ac:dyDescent="0.2">
      <c r="C47" s="244" t="s">
        <v>304</v>
      </c>
      <c r="E47" s="139"/>
      <c r="F47" s="122"/>
      <c r="G47" s="122"/>
      <c r="H47" s="71">
        <f>-[51]foreigndebt!G19</f>
        <v>0</v>
      </c>
      <c r="I47" s="375"/>
      <c r="K47" s="82"/>
      <c r="L47" s="122"/>
      <c r="M47" s="71">
        <f>-[51]foreigndebt!L19</f>
        <v>0</v>
      </c>
      <c r="N47" s="375"/>
      <c r="P47" s="82"/>
      <c r="Q47" s="122"/>
      <c r="R47" s="71">
        <f>-[51]foreigndebt!Q19</f>
        <v>0</v>
      </c>
      <c r="S47" s="375"/>
      <c r="U47" s="82"/>
      <c r="V47" s="122"/>
      <c r="W47" s="71">
        <f>-[51]foreigndebt!V19</f>
        <v>0</v>
      </c>
      <c r="X47" s="375"/>
      <c r="Z47" s="82"/>
      <c r="AA47" s="122"/>
      <c r="AB47" s="71">
        <f>-[51]foreigndebt!AA19</f>
        <v>0</v>
      </c>
      <c r="AC47" s="375"/>
      <c r="AE47" s="82"/>
      <c r="AF47" s="122"/>
      <c r="AG47" s="71">
        <f>-[51]foreigndebt!AF19</f>
        <v>0</v>
      </c>
      <c r="AH47" s="375"/>
      <c r="AJ47" s="82"/>
      <c r="AK47" s="122"/>
      <c r="AL47" s="71">
        <f>-[51]foreigndebt!AK19</f>
        <v>0</v>
      </c>
      <c r="AM47" s="375"/>
      <c r="AO47" s="82"/>
      <c r="AP47" s="122"/>
      <c r="AQ47" s="71">
        <f>-[51]foreigndebt!AP19</f>
        <v>0</v>
      </c>
      <c r="AR47" s="375"/>
      <c r="AT47" s="82"/>
      <c r="AU47" s="122"/>
      <c r="AV47" s="71">
        <f>-[51]foreigndebt!AU19</f>
        <v>0</v>
      </c>
      <c r="AW47" s="375"/>
      <c r="AY47" s="82"/>
      <c r="AZ47" s="122"/>
      <c r="BA47" s="71">
        <f>-[51]foreigndebt!AZ19</f>
        <v>0</v>
      </c>
      <c r="BB47" s="375"/>
      <c r="BD47" s="82"/>
      <c r="BE47" s="122"/>
      <c r="BF47" s="71">
        <f>-[51]foreigndebt!BE19</f>
        <v>0</v>
      </c>
      <c r="BG47" s="375"/>
      <c r="BI47" s="82"/>
      <c r="BJ47" s="122"/>
      <c r="BK47" s="71">
        <f>-[51]foreigndebt!BJ19</f>
        <v>0</v>
      </c>
      <c r="BL47" s="375"/>
      <c r="BN47" s="82"/>
      <c r="BO47" s="122"/>
      <c r="BP47" s="71">
        <f>-[51]foreigndebt!BO19</f>
        <v>0</v>
      </c>
      <c r="BQ47" s="375"/>
      <c r="BS47" s="82"/>
      <c r="BT47" s="122"/>
      <c r="BU47" s="71">
        <f>-[51]foreigndebt!BT19</f>
        <v>0</v>
      </c>
      <c r="BV47" s="375"/>
      <c r="BX47" s="82"/>
      <c r="BY47" s="122"/>
      <c r="BZ47" s="219">
        <f>-[51]foreigndebt!BY19</f>
        <v>0</v>
      </c>
      <c r="CA47" s="375"/>
      <c r="CC47" s="82"/>
      <c r="CD47" s="122"/>
      <c r="CE47" s="71">
        <f>-[51]foreigndebt!CD19</f>
        <v>0</v>
      </c>
      <c r="CF47" s="375"/>
      <c r="CH47" s="82"/>
      <c r="CI47" s="122"/>
      <c r="CJ47" s="71">
        <f>-[51]foreigndebt!CI19</f>
        <v>0</v>
      </c>
      <c r="CK47" s="375"/>
      <c r="CM47" s="82"/>
      <c r="CN47" s="122"/>
      <c r="CO47" s="71">
        <f>-[51]foreigndebt!CN19</f>
        <v>0</v>
      </c>
      <c r="CP47" s="375"/>
      <c r="CR47" s="82"/>
      <c r="CS47" s="122"/>
      <c r="CT47" s="71">
        <f>-[51]foreigndebt!CS19</f>
        <v>0</v>
      </c>
      <c r="CU47" s="375"/>
      <c r="CW47" s="82"/>
      <c r="CX47" s="122"/>
      <c r="CY47" s="71">
        <f>-[51]foreigndebt!CX19</f>
        <v>0</v>
      </c>
      <c r="CZ47" s="375"/>
      <c r="DB47" s="82"/>
      <c r="DC47" s="122"/>
      <c r="DD47" s="71">
        <f>-[51]foreigndebt!DC19</f>
        <v>0</v>
      </c>
      <c r="DE47" s="375"/>
      <c r="DG47" s="82"/>
      <c r="DH47" s="122"/>
      <c r="DI47" s="71">
        <f>-[51]foreigndebt!DH19</f>
        <v>0</v>
      </c>
      <c r="DJ47" s="375"/>
      <c r="DL47" s="82"/>
      <c r="DM47" s="122"/>
      <c r="DN47" s="71">
        <f>-[51]foreigndebt!DM19</f>
        <v>0</v>
      </c>
      <c r="DO47" s="375"/>
      <c r="DQ47" s="82"/>
      <c r="DR47" s="122"/>
      <c r="DS47" s="71">
        <f>-[51]foreigndebt!DR19</f>
        <v>0</v>
      </c>
      <c r="DT47" s="375"/>
      <c r="DV47" s="82"/>
      <c r="DW47" s="122"/>
      <c r="DX47" s="71">
        <f>-[51]foreigndebt!DW19</f>
        <v>0</v>
      </c>
      <c r="DY47" s="375"/>
      <c r="EA47" s="82"/>
      <c r="EB47" s="122"/>
      <c r="EC47" s="71">
        <f>-[51]foreigndebt!EB19</f>
        <v>0</v>
      </c>
      <c r="ED47" s="375"/>
      <c r="EF47" s="82"/>
      <c r="EG47" s="122"/>
      <c r="EH47" s="71">
        <f>-[51]foreigndebt!EG19</f>
        <v>0</v>
      </c>
      <c r="EI47" s="375"/>
      <c r="EK47" s="82"/>
      <c r="EL47" s="122"/>
      <c r="EM47" s="71">
        <f>-[51]foreigndebt!EL19</f>
        <v>0</v>
      </c>
      <c r="EN47" s="375"/>
      <c r="EP47" s="244"/>
      <c r="ES47" s="451"/>
      <c r="ET47" s="451">
        <f t="shared" si="0"/>
        <v>0</v>
      </c>
    </row>
    <row r="48" spans="3:150" x14ac:dyDescent="0.2">
      <c r="C48" s="244" t="s">
        <v>305</v>
      </c>
      <c r="E48" s="139"/>
      <c r="F48" s="122"/>
      <c r="G48" s="122"/>
      <c r="H48" s="71"/>
      <c r="I48" s="375"/>
      <c r="K48" s="82"/>
      <c r="L48" s="122"/>
      <c r="M48" s="71"/>
      <c r="N48" s="375"/>
      <c r="P48" s="82"/>
      <c r="Q48" s="122"/>
      <c r="R48" s="71"/>
      <c r="S48" s="375"/>
      <c r="U48" s="82"/>
      <c r="V48" s="122"/>
      <c r="W48" s="71"/>
      <c r="X48" s="375"/>
      <c r="Z48" s="82"/>
      <c r="AA48" s="122"/>
      <c r="AB48" s="71"/>
      <c r="AC48" s="375"/>
      <c r="AE48" s="82"/>
      <c r="AF48" s="122"/>
      <c r="AG48" s="71"/>
      <c r="AH48" s="375"/>
      <c r="AJ48" s="82"/>
      <c r="AK48" s="122"/>
      <c r="AL48" s="71"/>
      <c r="AM48" s="375"/>
      <c r="AO48" s="82"/>
      <c r="AP48" s="122"/>
      <c r="AQ48" s="71"/>
      <c r="AR48" s="375"/>
      <c r="AT48" s="82"/>
      <c r="AU48" s="122"/>
      <c r="AV48" s="71"/>
      <c r="AW48" s="375"/>
      <c r="AY48" s="82"/>
      <c r="AZ48" s="122"/>
      <c r="BA48" s="71"/>
      <c r="BB48" s="375"/>
      <c r="BD48" s="82"/>
      <c r="BE48" s="122"/>
      <c r="BF48" s="71"/>
      <c r="BG48" s="375"/>
      <c r="BI48" s="82"/>
      <c r="BJ48" s="122"/>
      <c r="BK48" s="71"/>
      <c r="BL48" s="375"/>
      <c r="BN48" s="82"/>
      <c r="BO48" s="122"/>
      <c r="BP48" s="71"/>
      <c r="BQ48" s="375"/>
      <c r="BS48" s="82"/>
      <c r="BT48" s="122"/>
      <c r="BU48" s="71"/>
      <c r="BV48" s="375"/>
      <c r="BX48" s="82"/>
      <c r="BY48" s="122"/>
      <c r="BZ48" s="219"/>
      <c r="CA48" s="375"/>
      <c r="CC48" s="82"/>
      <c r="CD48" s="122"/>
      <c r="CE48" s="71"/>
      <c r="CF48" s="375"/>
      <c r="CH48" s="82"/>
      <c r="CI48" s="122"/>
      <c r="CJ48" s="71"/>
      <c r="CK48" s="375"/>
      <c r="CM48" s="82"/>
      <c r="CN48" s="122"/>
      <c r="CO48" s="71"/>
      <c r="CP48" s="375"/>
      <c r="CR48" s="82"/>
      <c r="CS48" s="122"/>
      <c r="CT48" s="71"/>
      <c r="CU48" s="375"/>
      <c r="CW48" s="82"/>
      <c r="CX48" s="122"/>
      <c r="CY48" s="71"/>
      <c r="CZ48" s="375"/>
      <c r="DB48" s="82"/>
      <c r="DC48" s="122"/>
      <c r="DD48" s="71"/>
      <c r="DE48" s="375"/>
      <c r="DG48" s="82"/>
      <c r="DH48" s="122"/>
      <c r="DI48" s="71"/>
      <c r="DJ48" s="375"/>
      <c r="DL48" s="82"/>
      <c r="DM48" s="122"/>
      <c r="DN48" s="71"/>
      <c r="DO48" s="375"/>
      <c r="DQ48" s="82"/>
      <c r="DR48" s="122"/>
      <c r="DS48" s="71"/>
      <c r="DT48" s="375"/>
      <c r="DV48" s="82"/>
      <c r="DW48" s="122"/>
      <c r="DX48" s="71"/>
      <c r="DY48" s="375"/>
      <c r="EA48" s="82"/>
      <c r="EB48" s="122"/>
      <c r="EC48" s="71"/>
      <c r="ED48" s="375"/>
      <c r="EF48" s="82"/>
      <c r="EG48" s="122"/>
      <c r="EH48" s="71"/>
      <c r="EI48" s="375"/>
      <c r="EK48" s="82"/>
      <c r="EL48" s="122"/>
      <c r="EM48" s="71"/>
      <c r="EN48" s="375"/>
      <c r="EP48" s="244"/>
      <c r="ES48" s="451"/>
      <c r="ET48" s="451">
        <f t="shared" si="0"/>
        <v>0</v>
      </c>
    </row>
    <row r="49" spans="3:150" x14ac:dyDescent="0.2">
      <c r="C49" s="193" t="s">
        <v>318</v>
      </c>
      <c r="E49" s="139"/>
      <c r="F49" s="122"/>
      <c r="G49" s="122"/>
      <c r="H49" s="71">
        <f>-[51]foreigndebt!G108</f>
        <v>-7961000</v>
      </c>
      <c r="I49" s="375"/>
      <c r="K49" s="82"/>
      <c r="L49" s="122"/>
      <c r="M49" s="71">
        <f>-[51]foreigndebt!L108</f>
        <v>-391647</v>
      </c>
      <c r="N49" s="375"/>
      <c r="P49" s="82"/>
      <c r="Q49" s="122"/>
      <c r="R49" s="71">
        <f>-[51]foreigndebt!Q108</f>
        <v>-1962723</v>
      </c>
      <c r="S49" s="375"/>
      <c r="U49" s="82"/>
      <c r="V49" s="122"/>
      <c r="W49" s="71">
        <f>-[51]foreigndebt!V108</f>
        <v>-5604275</v>
      </c>
      <c r="X49" s="375"/>
      <c r="Z49" s="82"/>
      <c r="AA49" s="122"/>
      <c r="AB49" s="71">
        <f>-[51]foreigndebt!AA108</f>
        <v>0</v>
      </c>
      <c r="AC49" s="375"/>
      <c r="AE49" s="82"/>
      <c r="AF49" s="122"/>
      <c r="AG49" s="71">
        <f>-[51]foreigndebt!AF108</f>
        <v>0</v>
      </c>
      <c r="AH49" s="375"/>
      <c r="AJ49" s="82"/>
      <c r="AK49" s="122"/>
      <c r="AL49" s="71">
        <f>-[51]foreigndebt!AK108</f>
        <v>0</v>
      </c>
      <c r="AM49" s="375"/>
      <c r="AO49" s="82"/>
      <c r="AP49" s="122"/>
      <c r="AQ49" s="71">
        <f>-[51]foreigndebt!AP108</f>
        <v>0</v>
      </c>
      <c r="AR49" s="375"/>
      <c r="AT49" s="82"/>
      <c r="AU49" s="122"/>
      <c r="AV49" s="71">
        <f>-[51]foreigndebt!AU108</f>
        <v>-1940</v>
      </c>
      <c r="AW49" s="375"/>
      <c r="AY49" s="82"/>
      <c r="AZ49" s="122"/>
      <c r="BA49" s="71">
        <f>-[51]foreigndebt!AZ108</f>
        <v>0</v>
      </c>
      <c r="BB49" s="375"/>
      <c r="BD49" s="82"/>
      <c r="BE49" s="122"/>
      <c r="BF49" s="71">
        <f>-[51]foreigndebt!BE108</f>
        <v>0</v>
      </c>
      <c r="BG49" s="375"/>
      <c r="BI49" s="82"/>
      <c r="BJ49" s="122"/>
      <c r="BK49" s="71">
        <f>-[51]foreigndebt!BJ108</f>
        <v>0</v>
      </c>
      <c r="BL49" s="375"/>
      <c r="BN49" s="82"/>
      <c r="BO49" s="122"/>
      <c r="BP49" s="71">
        <f>-[51]foreigndebt!BO108</f>
        <v>0</v>
      </c>
      <c r="BQ49" s="375"/>
      <c r="BS49" s="82"/>
      <c r="BT49" s="122"/>
      <c r="BU49" s="71">
        <f>-[51]foreigndebt!BT108</f>
        <v>-7960585</v>
      </c>
      <c r="BV49" s="375"/>
      <c r="BX49" s="82"/>
      <c r="BY49" s="122"/>
      <c r="BZ49" s="219">
        <f>-[51]foreigndebt!BY108</f>
        <v>-26952291</v>
      </c>
      <c r="CA49" s="375"/>
      <c r="CC49" s="82"/>
      <c r="CD49" s="122"/>
      <c r="CE49" s="71">
        <f>-[51]foreigndebt!CD108</f>
        <v>-391647</v>
      </c>
      <c r="CF49" s="375"/>
      <c r="CH49" s="82"/>
      <c r="CI49" s="122"/>
      <c r="CJ49" s="71">
        <f>-[51]foreigndebt!CI108</f>
        <v>-14120864</v>
      </c>
      <c r="CK49" s="375"/>
      <c r="CM49" s="82"/>
      <c r="CN49" s="122"/>
      <c r="CO49" s="71">
        <f>-[51]foreigndebt!CN108</f>
        <v>0</v>
      </c>
      <c r="CP49" s="375"/>
      <c r="CR49" s="82"/>
      <c r="CS49" s="122"/>
      <c r="CT49" s="71">
        <f>-[51]foreigndebt!CS108</f>
        <v>0</v>
      </c>
      <c r="CU49" s="375"/>
      <c r="CW49" s="82"/>
      <c r="CX49" s="122"/>
      <c r="CY49" s="71">
        <f>-[51]foreigndebt!CX108</f>
        <v>0</v>
      </c>
      <c r="CZ49" s="375"/>
      <c r="DB49" s="82"/>
      <c r="DC49" s="122"/>
      <c r="DD49" s="71">
        <f>-[51]foreigndebt!DC108</f>
        <v>0</v>
      </c>
      <c r="DE49" s="375"/>
      <c r="DG49" s="82"/>
      <c r="DH49" s="122"/>
      <c r="DI49" s="71">
        <f>-[51]foreigndebt!DH108</f>
        <v>-391647</v>
      </c>
      <c r="DJ49" s="375"/>
      <c r="DL49" s="82"/>
      <c r="DM49" s="122"/>
      <c r="DN49" s="71">
        <f>-[51]foreigndebt!DM108</f>
        <v>-1940</v>
      </c>
      <c r="DO49" s="375"/>
      <c r="DQ49" s="82"/>
      <c r="DR49" s="122"/>
      <c r="DS49" s="71">
        <f>-[51]foreigndebt!DR108</f>
        <v>0</v>
      </c>
      <c r="DT49" s="375"/>
      <c r="DV49" s="82"/>
      <c r="DW49" s="122"/>
      <c r="DX49" s="71">
        <f>-[51]foreigndebt!DW108</f>
        <v>0</v>
      </c>
      <c r="DY49" s="375"/>
      <c r="EA49" s="82"/>
      <c r="EB49" s="122"/>
      <c r="EC49" s="71">
        <f>-[51]foreigndebt!EB108</f>
        <v>0</v>
      </c>
      <c r="ED49" s="375"/>
      <c r="EF49" s="82"/>
      <c r="EG49" s="122"/>
      <c r="EH49" s="71">
        <f>-[51]foreigndebt!EG108</f>
        <v>-12046193</v>
      </c>
      <c r="EI49" s="375"/>
      <c r="EK49" s="82"/>
      <c r="EL49" s="122"/>
      <c r="EM49" s="71">
        <f>-[51]foreigndebt!EL108</f>
        <v>-26952291</v>
      </c>
      <c r="EN49" s="375"/>
      <c r="EP49" s="244"/>
      <c r="ES49" s="451"/>
      <c r="ET49" s="451">
        <f t="shared" si="0"/>
        <v>0</v>
      </c>
    </row>
    <row r="50" spans="3:150" x14ac:dyDescent="0.2">
      <c r="C50" s="193" t="s">
        <v>319</v>
      </c>
      <c r="E50" s="139"/>
      <c r="F50" s="122"/>
      <c r="G50" s="122"/>
      <c r="H50" s="434">
        <f>-[51]foreigndebt!G109</f>
        <v>-6456000</v>
      </c>
      <c r="I50" s="375"/>
      <c r="K50" s="82"/>
      <c r="L50" s="122"/>
      <c r="M50" s="434">
        <f>-[51]foreigndebt!L109</f>
        <v>-386018</v>
      </c>
      <c r="N50" s="375"/>
      <c r="P50" s="82"/>
      <c r="Q50" s="122"/>
      <c r="R50" s="434">
        <f>-[51]foreigndebt!Q109</f>
        <v>-2969263</v>
      </c>
      <c r="S50" s="375"/>
      <c r="U50" s="82"/>
      <c r="V50" s="122"/>
      <c r="W50" s="434">
        <f>-[51]foreigndebt!V109</f>
        <v>-3095425</v>
      </c>
      <c r="X50" s="375"/>
      <c r="Z50" s="82"/>
      <c r="AA50" s="122"/>
      <c r="AB50" s="434">
        <f>-[51]foreigndebt!AA109</f>
        <v>0</v>
      </c>
      <c r="AC50" s="375"/>
      <c r="AE50" s="82"/>
      <c r="AF50" s="122"/>
      <c r="AG50" s="434">
        <f>-[51]foreigndebt!AF109</f>
        <v>0</v>
      </c>
      <c r="AH50" s="375"/>
      <c r="AJ50" s="82"/>
      <c r="AK50" s="122"/>
      <c r="AL50" s="434">
        <f>-[51]foreigndebt!AK109</f>
        <v>0</v>
      </c>
      <c r="AM50" s="375"/>
      <c r="AO50" s="82"/>
      <c r="AP50" s="122"/>
      <c r="AQ50" s="434">
        <f>-[51]foreigndebt!AP109</f>
        <v>0</v>
      </c>
      <c r="AR50" s="375"/>
      <c r="AT50" s="82"/>
      <c r="AU50" s="122"/>
      <c r="AV50" s="434">
        <f>-[51]foreigndebt!AU109</f>
        <v>-5027</v>
      </c>
      <c r="AW50" s="375"/>
      <c r="AY50" s="82"/>
      <c r="AZ50" s="122"/>
      <c r="BA50" s="434">
        <f>-[51]foreigndebt!AZ109</f>
        <v>0</v>
      </c>
      <c r="BB50" s="375"/>
      <c r="BD50" s="82"/>
      <c r="BE50" s="122"/>
      <c r="BF50" s="434">
        <f>-[51]foreigndebt!BE109</f>
        <v>0</v>
      </c>
      <c r="BG50" s="375"/>
      <c r="BI50" s="82"/>
      <c r="BJ50" s="122"/>
      <c r="BK50" s="434">
        <f>-[51]foreigndebt!BJ109</f>
        <v>0</v>
      </c>
      <c r="BL50" s="375"/>
      <c r="BN50" s="82"/>
      <c r="BO50" s="122"/>
      <c r="BP50" s="434">
        <f>-[51]foreigndebt!BO109</f>
        <v>0</v>
      </c>
      <c r="BQ50" s="375"/>
      <c r="BS50" s="82"/>
      <c r="BT50" s="122"/>
      <c r="BU50" s="434">
        <f>-[51]foreigndebt!BT109</f>
        <v>-6455733</v>
      </c>
      <c r="BV50" s="375"/>
      <c r="BX50" s="82"/>
      <c r="BY50" s="122"/>
      <c r="BZ50" s="376">
        <f>-[51]foreigndebt!BY109</f>
        <v>-24276666</v>
      </c>
      <c r="CA50" s="375"/>
      <c r="CC50" s="82"/>
      <c r="CD50" s="122"/>
      <c r="CE50" s="434">
        <f>-[51]foreigndebt!CD109</f>
        <v>-236802</v>
      </c>
      <c r="CF50" s="375"/>
      <c r="CH50" s="82"/>
      <c r="CI50" s="122"/>
      <c r="CJ50" s="434">
        <f>-[51]foreigndebt!CI109</f>
        <v>-11126521</v>
      </c>
      <c r="CK50" s="375"/>
      <c r="CM50" s="82"/>
      <c r="CN50" s="122"/>
      <c r="CO50" s="434">
        <f>-[51]foreigndebt!CN109</f>
        <v>0</v>
      </c>
      <c r="CP50" s="375"/>
      <c r="CR50" s="82"/>
      <c r="CS50" s="122"/>
      <c r="CT50" s="434">
        <f>-[51]foreigndebt!CS109</f>
        <v>0</v>
      </c>
      <c r="CU50" s="375"/>
      <c r="CW50" s="82"/>
      <c r="CX50" s="122"/>
      <c r="CY50" s="434">
        <f>-[51]foreigndebt!CX109</f>
        <v>0</v>
      </c>
      <c r="CZ50" s="375"/>
      <c r="DB50" s="82"/>
      <c r="DC50" s="122"/>
      <c r="DD50" s="434">
        <f>-[51]foreigndebt!DC109</f>
        <v>0</v>
      </c>
      <c r="DE50" s="375"/>
      <c r="DG50" s="82"/>
      <c r="DH50" s="122"/>
      <c r="DI50" s="434">
        <f>-[51]foreigndebt!DH109</f>
        <v>-262844</v>
      </c>
      <c r="DJ50" s="375"/>
      <c r="DL50" s="82"/>
      <c r="DM50" s="122"/>
      <c r="DN50" s="434">
        <f>-[51]foreigndebt!DM109</f>
        <v>-4425</v>
      </c>
      <c r="DO50" s="375"/>
      <c r="DQ50" s="82"/>
      <c r="DR50" s="122"/>
      <c r="DS50" s="434">
        <f>-[51]foreigndebt!DR109</f>
        <v>0</v>
      </c>
      <c r="DT50" s="375"/>
      <c r="DV50" s="82"/>
      <c r="DW50" s="122"/>
      <c r="DX50" s="434">
        <f>-[51]foreigndebt!DW109</f>
        <v>0</v>
      </c>
      <c r="DY50" s="375"/>
      <c r="EA50" s="82"/>
      <c r="EB50" s="122"/>
      <c r="EC50" s="434">
        <f>-[51]foreigndebt!EB109</f>
        <v>0</v>
      </c>
      <c r="ED50" s="375"/>
      <c r="EF50" s="82"/>
      <c r="EG50" s="122"/>
      <c r="EH50" s="434">
        <f>-[51]foreigndebt!EG109</f>
        <v>-12646074</v>
      </c>
      <c r="EI50" s="375"/>
      <c r="EK50" s="82"/>
      <c r="EL50" s="122"/>
      <c r="EM50" s="434">
        <f>-[51]foreigndebt!EL109</f>
        <v>-24276666</v>
      </c>
      <c r="EN50" s="375"/>
      <c r="EP50" s="244"/>
      <c r="ES50" s="451"/>
      <c r="ET50" s="451">
        <f t="shared" si="0"/>
        <v>0</v>
      </c>
    </row>
    <row r="51" spans="3:150" ht="13.9" hidden="1" customHeight="1" x14ac:dyDescent="0.2">
      <c r="C51" s="244"/>
      <c r="E51" s="139"/>
      <c r="F51" s="122"/>
      <c r="G51" s="122"/>
      <c r="I51" s="375"/>
      <c r="K51" s="82"/>
      <c r="L51" s="122"/>
      <c r="N51" s="375"/>
      <c r="P51" s="82"/>
      <c r="Q51" s="122"/>
      <c r="S51" s="375"/>
      <c r="U51" s="82"/>
      <c r="V51" s="122"/>
      <c r="X51" s="375"/>
      <c r="Z51" s="82"/>
      <c r="AA51" s="122"/>
      <c r="AC51" s="375"/>
      <c r="AE51" s="82"/>
      <c r="AF51" s="122"/>
      <c r="AH51" s="375"/>
      <c r="AJ51" s="82"/>
      <c r="AK51" s="122"/>
      <c r="AM51" s="375"/>
      <c r="AO51" s="82"/>
      <c r="AP51" s="122"/>
      <c r="AR51" s="375"/>
      <c r="AT51" s="82"/>
      <c r="AU51" s="122"/>
      <c r="AW51" s="375"/>
      <c r="AY51" s="82"/>
      <c r="AZ51" s="122"/>
      <c r="BB51" s="375"/>
      <c r="BD51" s="82"/>
      <c r="BE51" s="122"/>
      <c r="BG51" s="375"/>
      <c r="BI51" s="82"/>
      <c r="BJ51" s="122"/>
      <c r="BL51" s="375"/>
      <c r="BN51" s="82"/>
      <c r="BO51" s="122"/>
      <c r="BQ51" s="375"/>
      <c r="BS51" s="82"/>
      <c r="BT51" s="122"/>
      <c r="BV51" s="375"/>
      <c r="BX51" s="82"/>
      <c r="BY51" s="122"/>
      <c r="BZ51" s="477"/>
      <c r="CA51" s="375"/>
      <c r="CC51" s="82"/>
      <c r="CD51" s="122"/>
      <c r="CF51" s="375"/>
      <c r="CH51" s="82"/>
      <c r="CI51" s="122"/>
      <c r="CK51" s="375"/>
      <c r="CM51" s="82"/>
      <c r="CN51" s="122"/>
      <c r="CP51" s="375"/>
      <c r="CR51" s="82"/>
      <c r="CS51" s="122"/>
      <c r="CU51" s="375"/>
      <c r="CW51" s="82"/>
      <c r="CX51" s="122"/>
      <c r="CZ51" s="375"/>
      <c r="DB51" s="82"/>
      <c r="DC51" s="122"/>
      <c r="DE51" s="375"/>
      <c r="DG51" s="82"/>
      <c r="DH51" s="122"/>
      <c r="DJ51" s="375"/>
      <c r="DL51" s="82"/>
      <c r="DM51" s="122"/>
      <c r="DO51" s="375"/>
      <c r="DQ51" s="82"/>
      <c r="DR51" s="122"/>
      <c r="DT51" s="375"/>
      <c r="DV51" s="82"/>
      <c r="DW51" s="122"/>
      <c r="DY51" s="375"/>
      <c r="EA51" s="82"/>
      <c r="EB51" s="122"/>
      <c r="ED51" s="375"/>
      <c r="EF51" s="82"/>
      <c r="EG51" s="122"/>
      <c r="EI51" s="375"/>
      <c r="EK51" s="82"/>
      <c r="EL51" s="122"/>
      <c r="EN51" s="375"/>
      <c r="EP51" s="244"/>
      <c r="ES51" s="451"/>
      <c r="ET51" s="451">
        <f t="shared" si="0"/>
        <v>0</v>
      </c>
    </row>
    <row r="52" spans="3:150" ht="13.9" hidden="1" customHeight="1" x14ac:dyDescent="0.2">
      <c r="C52" s="244" t="s">
        <v>308</v>
      </c>
      <c r="E52" s="139"/>
      <c r="F52" s="122"/>
      <c r="G52" s="122"/>
      <c r="H52" s="12">
        <f>SUM(H53:H57)</f>
        <v>0</v>
      </c>
      <c r="I52" s="375"/>
      <c r="K52" s="82"/>
      <c r="L52" s="122"/>
      <c r="M52" s="12">
        <f>SUM(M53:M57)</f>
        <v>0</v>
      </c>
      <c r="N52" s="375"/>
      <c r="P52" s="82"/>
      <c r="Q52" s="122"/>
      <c r="R52" s="12">
        <f>SUM(R53:R57)</f>
        <v>0</v>
      </c>
      <c r="S52" s="375"/>
      <c r="U52" s="82"/>
      <c r="V52" s="122"/>
      <c r="W52" s="12">
        <f>SUM(W53:W57)</f>
        <v>0</v>
      </c>
      <c r="X52" s="375"/>
      <c r="Z52" s="82"/>
      <c r="AA52" s="122"/>
      <c r="AB52" s="12">
        <f>SUM(AB53:AB57)</f>
        <v>0</v>
      </c>
      <c r="AC52" s="375"/>
      <c r="AE52" s="82"/>
      <c r="AF52" s="122"/>
      <c r="AG52" s="12">
        <f>SUM(AG53:AG57)</f>
        <v>0</v>
      </c>
      <c r="AH52" s="375"/>
      <c r="AJ52" s="82"/>
      <c r="AK52" s="122"/>
      <c r="AL52" s="12">
        <f>SUM(AL53:AL57)</f>
        <v>0</v>
      </c>
      <c r="AM52" s="375"/>
      <c r="AO52" s="82"/>
      <c r="AP52" s="122"/>
      <c r="AQ52" s="12">
        <f>SUM(AQ53:AQ57)</f>
        <v>0</v>
      </c>
      <c r="AR52" s="375"/>
      <c r="AT52" s="82"/>
      <c r="AU52" s="122"/>
      <c r="AV52" s="12">
        <f>SUM(AV53:AV57)</f>
        <v>0</v>
      </c>
      <c r="AW52" s="375"/>
      <c r="AY52" s="82"/>
      <c r="AZ52" s="122"/>
      <c r="BA52" s="12">
        <f>SUM(BA53:BA57)</f>
        <v>0</v>
      </c>
      <c r="BB52" s="375"/>
      <c r="BD52" s="82"/>
      <c r="BE52" s="122"/>
      <c r="BF52" s="12">
        <f>SUM(BF53:BF57)</f>
        <v>0</v>
      </c>
      <c r="BG52" s="375"/>
      <c r="BI52" s="82"/>
      <c r="BJ52" s="122"/>
      <c r="BK52" s="12">
        <f>SUM(BK53:BK57)</f>
        <v>0</v>
      </c>
      <c r="BL52" s="375"/>
      <c r="BN52" s="82"/>
      <c r="BO52" s="122"/>
      <c r="BP52" s="12">
        <f>SUM(BP53:BP57)</f>
        <v>0</v>
      </c>
      <c r="BQ52" s="375"/>
      <c r="BS52" s="82"/>
      <c r="BT52" s="122"/>
      <c r="BU52" s="12">
        <f>SUM(BU53:BU57)</f>
        <v>0</v>
      </c>
      <c r="BV52" s="375"/>
      <c r="BX52" s="82"/>
      <c r="BY52" s="122"/>
      <c r="BZ52" s="477">
        <f>SUM(BZ53:BZ57)</f>
        <v>0</v>
      </c>
      <c r="CA52" s="375"/>
      <c r="CC52" s="82"/>
      <c r="CD52" s="122"/>
      <c r="CE52" s="12">
        <f>SUM(CE53:CE57)</f>
        <v>0</v>
      </c>
      <c r="CF52" s="375"/>
      <c r="CH52" s="82"/>
      <c r="CI52" s="122"/>
      <c r="CJ52" s="12">
        <f>SUM(CJ53:CJ57)</f>
        <v>0</v>
      </c>
      <c r="CK52" s="375"/>
      <c r="CM52" s="82"/>
      <c r="CN52" s="122"/>
      <c r="CO52" s="12">
        <f>SUM(CO53:CO57)</f>
        <v>0</v>
      </c>
      <c r="CP52" s="375"/>
      <c r="CR52" s="82"/>
      <c r="CS52" s="122"/>
      <c r="CT52" s="12">
        <f>SUM(CT53:CT57)</f>
        <v>0</v>
      </c>
      <c r="CU52" s="375"/>
      <c r="CW52" s="82"/>
      <c r="CX52" s="122"/>
      <c r="CY52" s="12">
        <f>SUM(CY53:CY57)</f>
        <v>0</v>
      </c>
      <c r="CZ52" s="375"/>
      <c r="DB52" s="82"/>
      <c r="DC52" s="122"/>
      <c r="DD52" s="12">
        <f>SUM(DD53:DD57)</f>
        <v>0</v>
      </c>
      <c r="DE52" s="375"/>
      <c r="DG52" s="82"/>
      <c r="DH52" s="122"/>
      <c r="DI52" s="12">
        <f>SUM(DI53:DI57)</f>
        <v>0</v>
      </c>
      <c r="DJ52" s="375"/>
      <c r="DL52" s="82"/>
      <c r="DM52" s="122"/>
      <c r="DN52" s="12">
        <f>SUM(DN53:DN57)</f>
        <v>0</v>
      </c>
      <c r="DO52" s="375"/>
      <c r="DQ52" s="82"/>
      <c r="DR52" s="122"/>
      <c r="DS52" s="12">
        <f>SUM(DS53:DS57)</f>
        <v>0</v>
      </c>
      <c r="DT52" s="375"/>
      <c r="DV52" s="82"/>
      <c r="DW52" s="122"/>
      <c r="DX52" s="12">
        <f>SUM(DX53:DX57)</f>
        <v>0</v>
      </c>
      <c r="DY52" s="375"/>
      <c r="EA52" s="82"/>
      <c r="EB52" s="122"/>
      <c r="EC52" s="12">
        <f>SUM(EC53:EC57)</f>
        <v>0</v>
      </c>
      <c r="ED52" s="375"/>
      <c r="EF52" s="82"/>
      <c r="EG52" s="122"/>
      <c r="EH52" s="12">
        <f>SUM(EH53:EH57)</f>
        <v>0</v>
      </c>
      <c r="EI52" s="375"/>
      <c r="EK52" s="82"/>
      <c r="EL52" s="122"/>
      <c r="EM52" s="12">
        <f>SUM(EM53:EM57)</f>
        <v>0</v>
      </c>
      <c r="EN52" s="375"/>
      <c r="EP52" s="244"/>
      <c r="ES52" s="451"/>
      <c r="ET52" s="451">
        <f t="shared" si="0"/>
        <v>0</v>
      </c>
    </row>
    <row r="53" spans="3:150" ht="13.9" hidden="1" customHeight="1" x14ac:dyDescent="0.2">
      <c r="C53" s="244" t="s">
        <v>302</v>
      </c>
      <c r="E53" s="139"/>
      <c r="F53" s="122"/>
      <c r="G53" s="122"/>
      <c r="H53" s="423">
        <f>[51]foreigndebt!G62</f>
        <v>0</v>
      </c>
      <c r="I53" s="375"/>
      <c r="K53" s="82"/>
      <c r="L53" s="122"/>
      <c r="M53" s="423">
        <f>[51]foreigndebt!L62</f>
        <v>0</v>
      </c>
      <c r="N53" s="375"/>
      <c r="P53" s="82"/>
      <c r="Q53" s="122"/>
      <c r="R53" s="423">
        <f>[51]foreigndebt!Q62</f>
        <v>0</v>
      </c>
      <c r="S53" s="375"/>
      <c r="U53" s="82"/>
      <c r="V53" s="122"/>
      <c r="W53" s="423">
        <f>[51]foreigndebt!V62</f>
        <v>0</v>
      </c>
      <c r="X53" s="375"/>
      <c r="Z53" s="82"/>
      <c r="AA53" s="122"/>
      <c r="AB53" s="423">
        <f>[51]foreigndebt!AA62</f>
        <v>0</v>
      </c>
      <c r="AC53" s="375"/>
      <c r="AE53" s="82"/>
      <c r="AF53" s="122"/>
      <c r="AG53" s="423">
        <f>[51]foreigndebt!AF62</f>
        <v>0</v>
      </c>
      <c r="AH53" s="375"/>
      <c r="AJ53" s="82"/>
      <c r="AK53" s="122"/>
      <c r="AL53" s="423">
        <f>[51]foreigndebt!AK62</f>
        <v>0</v>
      </c>
      <c r="AM53" s="375"/>
      <c r="AO53" s="82"/>
      <c r="AP53" s="122"/>
      <c r="AQ53" s="423">
        <f>[51]foreigndebt!AP62</f>
        <v>0</v>
      </c>
      <c r="AR53" s="375"/>
      <c r="AT53" s="82"/>
      <c r="AU53" s="122"/>
      <c r="AV53" s="423">
        <f>[51]foreigndebt!AU62</f>
        <v>0</v>
      </c>
      <c r="AW53" s="375"/>
      <c r="AY53" s="82"/>
      <c r="AZ53" s="122"/>
      <c r="BA53" s="423">
        <f>[51]foreigndebt!AZ62</f>
        <v>0</v>
      </c>
      <c r="BB53" s="375"/>
      <c r="BD53" s="82"/>
      <c r="BE53" s="122"/>
      <c r="BF53" s="423">
        <f>[51]foreigndebt!BE62</f>
        <v>0</v>
      </c>
      <c r="BG53" s="375"/>
      <c r="BI53" s="82"/>
      <c r="BJ53" s="122"/>
      <c r="BK53" s="423">
        <f>[51]foreigndebt!BJ62</f>
        <v>0</v>
      </c>
      <c r="BL53" s="375"/>
      <c r="BN53" s="82"/>
      <c r="BO53" s="122"/>
      <c r="BP53" s="423">
        <f>[51]foreigndebt!BO62</f>
        <v>0</v>
      </c>
      <c r="BQ53" s="375"/>
      <c r="BS53" s="82"/>
      <c r="BT53" s="122"/>
      <c r="BU53" s="423">
        <f>[51]foreigndebt!BT62</f>
        <v>0</v>
      </c>
      <c r="BV53" s="375"/>
      <c r="BX53" s="82"/>
      <c r="BY53" s="122"/>
      <c r="BZ53" s="323">
        <f>[51]foreigndebt!BY63</f>
        <v>0</v>
      </c>
      <c r="CA53" s="375"/>
      <c r="CC53" s="82"/>
      <c r="CD53" s="122"/>
      <c r="CE53" s="423">
        <f>[51]foreigndebt!CD62</f>
        <v>0</v>
      </c>
      <c r="CF53" s="375"/>
      <c r="CH53" s="82"/>
      <c r="CI53" s="122"/>
      <c r="CJ53" s="423">
        <f>[51]foreigndebt!CI62</f>
        <v>0</v>
      </c>
      <c r="CK53" s="375"/>
      <c r="CM53" s="82"/>
      <c r="CN53" s="122"/>
      <c r="CO53" s="423">
        <f>[51]foreigndebt!CN62</f>
        <v>0</v>
      </c>
      <c r="CP53" s="375"/>
      <c r="CR53" s="82"/>
      <c r="CS53" s="122"/>
      <c r="CT53" s="423">
        <f>[51]foreigndebt!CS62</f>
        <v>0</v>
      </c>
      <c r="CU53" s="375"/>
      <c r="CW53" s="82"/>
      <c r="CX53" s="122"/>
      <c r="CY53" s="423">
        <f>[51]foreigndebt!CX62</f>
        <v>0</v>
      </c>
      <c r="CZ53" s="375"/>
      <c r="DB53" s="82"/>
      <c r="DC53" s="122"/>
      <c r="DD53" s="423">
        <f>[51]foreigndebt!DC62</f>
        <v>0</v>
      </c>
      <c r="DE53" s="375"/>
      <c r="DG53" s="82"/>
      <c r="DH53" s="122"/>
      <c r="DI53" s="423">
        <f>[51]foreigndebt!DH62</f>
        <v>0</v>
      </c>
      <c r="DJ53" s="375"/>
      <c r="DL53" s="82"/>
      <c r="DM53" s="122"/>
      <c r="DN53" s="423">
        <f>[51]foreigndebt!DM62</f>
        <v>0</v>
      </c>
      <c r="DO53" s="375"/>
      <c r="DQ53" s="82"/>
      <c r="DR53" s="122"/>
      <c r="DS53" s="423">
        <f>[51]foreigndebt!DR62</f>
        <v>0</v>
      </c>
      <c r="DT53" s="375"/>
      <c r="DV53" s="82"/>
      <c r="DW53" s="122"/>
      <c r="DX53" s="423">
        <f>[51]foreigndebt!DW62</f>
        <v>0</v>
      </c>
      <c r="DY53" s="375"/>
      <c r="EA53" s="82"/>
      <c r="EB53" s="122"/>
      <c r="EC53" s="423">
        <f>[51]foreigndebt!EB62</f>
        <v>0</v>
      </c>
      <c r="ED53" s="375"/>
      <c r="EF53" s="82"/>
      <c r="EG53" s="122"/>
      <c r="EH53" s="423">
        <f>[51]foreigndebt!EG62</f>
        <v>0</v>
      </c>
      <c r="EI53" s="375"/>
      <c r="EK53" s="82"/>
      <c r="EL53" s="122"/>
      <c r="EM53" s="423">
        <f>[51]foreigndebt!EL62</f>
        <v>0</v>
      </c>
      <c r="EN53" s="375"/>
      <c r="EP53" s="244"/>
      <c r="ES53" s="451"/>
      <c r="ET53" s="451">
        <f t="shared" si="0"/>
        <v>0</v>
      </c>
    </row>
    <row r="54" spans="3:150" ht="13.9" hidden="1" customHeight="1" x14ac:dyDescent="0.2">
      <c r="C54" s="244" t="s">
        <v>304</v>
      </c>
      <c r="E54" s="139"/>
      <c r="F54" s="122"/>
      <c r="G54" s="122"/>
      <c r="H54" s="71">
        <f>-[51]foreigndebt!G64</f>
        <v>0</v>
      </c>
      <c r="I54" s="375"/>
      <c r="K54" s="82"/>
      <c r="L54" s="122"/>
      <c r="M54" s="71">
        <f>-[51]foreigndebt!L64</f>
        <v>0</v>
      </c>
      <c r="N54" s="375"/>
      <c r="P54" s="82"/>
      <c r="Q54" s="122"/>
      <c r="R54" s="71">
        <f>-[51]foreigndebt!Q64</f>
        <v>0</v>
      </c>
      <c r="S54" s="375"/>
      <c r="U54" s="82"/>
      <c r="V54" s="122"/>
      <c r="W54" s="71">
        <f>-[51]foreigndebt!V64</f>
        <v>0</v>
      </c>
      <c r="X54" s="375"/>
      <c r="Z54" s="82"/>
      <c r="AA54" s="122"/>
      <c r="AB54" s="71">
        <f>-[51]foreigndebt!AA64</f>
        <v>0</v>
      </c>
      <c r="AC54" s="375"/>
      <c r="AE54" s="82"/>
      <c r="AF54" s="122"/>
      <c r="AG54" s="71">
        <f>-[51]foreigndebt!AF64</f>
        <v>0</v>
      </c>
      <c r="AH54" s="375"/>
      <c r="AJ54" s="82"/>
      <c r="AK54" s="122"/>
      <c r="AL54" s="71">
        <f>-[51]foreigndebt!AK64</f>
        <v>0</v>
      </c>
      <c r="AM54" s="375"/>
      <c r="AO54" s="82"/>
      <c r="AP54" s="122"/>
      <c r="AQ54" s="71">
        <f>-[51]foreigndebt!AP64</f>
        <v>0</v>
      </c>
      <c r="AR54" s="375"/>
      <c r="AT54" s="82"/>
      <c r="AU54" s="122"/>
      <c r="AV54" s="71">
        <f>-[51]foreigndebt!AU64</f>
        <v>0</v>
      </c>
      <c r="AW54" s="375"/>
      <c r="AY54" s="82"/>
      <c r="AZ54" s="122"/>
      <c r="BA54" s="71">
        <f>-[51]foreigndebt!AZ64</f>
        <v>0</v>
      </c>
      <c r="BB54" s="375"/>
      <c r="BD54" s="82"/>
      <c r="BE54" s="122"/>
      <c r="BF54" s="71">
        <f>-[51]foreigndebt!BE64</f>
        <v>0</v>
      </c>
      <c r="BG54" s="375"/>
      <c r="BI54" s="82"/>
      <c r="BJ54" s="122"/>
      <c r="BK54" s="71">
        <f>-[51]foreigndebt!BJ64</f>
        <v>0</v>
      </c>
      <c r="BL54" s="375"/>
      <c r="BN54" s="82"/>
      <c r="BO54" s="122"/>
      <c r="BP54" s="71">
        <f>-[51]foreigndebt!BO64</f>
        <v>0</v>
      </c>
      <c r="BQ54" s="375"/>
      <c r="BS54" s="82"/>
      <c r="BT54" s="122"/>
      <c r="BU54" s="71">
        <f>-[51]foreigndebt!BT64</f>
        <v>0</v>
      </c>
      <c r="BV54" s="375"/>
      <c r="BX54" s="82"/>
      <c r="BY54" s="122"/>
      <c r="BZ54" s="219">
        <v>0</v>
      </c>
      <c r="CA54" s="375"/>
      <c r="CC54" s="82"/>
      <c r="CD54" s="122"/>
      <c r="CE54" s="71">
        <f>-[51]foreigndebt!CD64</f>
        <v>0</v>
      </c>
      <c r="CF54" s="375"/>
      <c r="CH54" s="82"/>
      <c r="CI54" s="122"/>
      <c r="CJ54" s="71">
        <f>-[51]foreigndebt!CI64</f>
        <v>0</v>
      </c>
      <c r="CK54" s="375"/>
      <c r="CM54" s="82"/>
      <c r="CN54" s="122"/>
      <c r="CO54" s="71">
        <f>-[51]foreigndebt!CN64</f>
        <v>0</v>
      </c>
      <c r="CP54" s="375"/>
      <c r="CR54" s="82"/>
      <c r="CS54" s="122"/>
      <c r="CT54" s="71">
        <f>-[51]foreigndebt!CS64</f>
        <v>0</v>
      </c>
      <c r="CU54" s="375"/>
      <c r="CW54" s="82"/>
      <c r="CX54" s="122"/>
      <c r="CY54" s="71">
        <f>-[51]foreigndebt!CX64</f>
        <v>0</v>
      </c>
      <c r="CZ54" s="375"/>
      <c r="DB54" s="82"/>
      <c r="DC54" s="122"/>
      <c r="DD54" s="71">
        <f>-[51]foreigndebt!DC64</f>
        <v>0</v>
      </c>
      <c r="DE54" s="375"/>
      <c r="DG54" s="82"/>
      <c r="DH54" s="122"/>
      <c r="DI54" s="71">
        <f>-[51]foreigndebt!DH64</f>
        <v>0</v>
      </c>
      <c r="DJ54" s="375"/>
      <c r="DL54" s="82"/>
      <c r="DM54" s="122"/>
      <c r="DN54" s="71">
        <f>-[51]foreigndebt!DM64</f>
        <v>0</v>
      </c>
      <c r="DO54" s="375"/>
      <c r="DQ54" s="82"/>
      <c r="DR54" s="122"/>
      <c r="DS54" s="71">
        <f>-[51]foreigndebt!DR64</f>
        <v>0</v>
      </c>
      <c r="DT54" s="375"/>
      <c r="DV54" s="82"/>
      <c r="DW54" s="122"/>
      <c r="DX54" s="71">
        <f>-[51]foreigndebt!DW64</f>
        <v>0</v>
      </c>
      <c r="DY54" s="375"/>
      <c r="EA54" s="82"/>
      <c r="EB54" s="122"/>
      <c r="EC54" s="71">
        <f>-[51]foreigndebt!EB64</f>
        <v>0</v>
      </c>
      <c r="ED54" s="375"/>
      <c r="EF54" s="82"/>
      <c r="EG54" s="122"/>
      <c r="EH54" s="71">
        <f>-[51]foreigndebt!EG64</f>
        <v>0</v>
      </c>
      <c r="EI54" s="375"/>
      <c r="EK54" s="82"/>
      <c r="EL54" s="122"/>
      <c r="EM54" s="71">
        <f>-[51]foreigndebt!EL64</f>
        <v>0</v>
      </c>
      <c r="EN54" s="375"/>
      <c r="EP54" s="244"/>
      <c r="ES54" s="451"/>
      <c r="ET54" s="451">
        <f t="shared" si="0"/>
        <v>0</v>
      </c>
    </row>
    <row r="55" spans="3:150" ht="13.9" hidden="1" customHeight="1" x14ac:dyDescent="0.2">
      <c r="C55" s="244" t="s">
        <v>320</v>
      </c>
      <c r="E55" s="139"/>
      <c r="F55" s="122"/>
      <c r="G55" s="122"/>
      <c r="H55" s="71"/>
      <c r="I55" s="375"/>
      <c r="K55" s="82"/>
      <c r="L55" s="122"/>
      <c r="M55" s="71"/>
      <c r="N55" s="375"/>
      <c r="P55" s="82"/>
      <c r="Q55" s="122"/>
      <c r="R55" s="71"/>
      <c r="S55" s="375"/>
      <c r="U55" s="82"/>
      <c r="V55" s="122"/>
      <c r="W55" s="71"/>
      <c r="X55" s="375"/>
      <c r="Z55" s="82"/>
      <c r="AA55" s="122"/>
      <c r="AB55" s="71"/>
      <c r="AC55" s="375"/>
      <c r="AE55" s="82"/>
      <c r="AF55" s="122"/>
      <c r="AG55" s="71"/>
      <c r="AH55" s="375"/>
      <c r="AJ55" s="82"/>
      <c r="AK55" s="122"/>
      <c r="AL55" s="71"/>
      <c r="AM55" s="375"/>
      <c r="AO55" s="82"/>
      <c r="AP55" s="122"/>
      <c r="AQ55" s="71"/>
      <c r="AR55" s="375"/>
      <c r="AT55" s="82"/>
      <c r="AU55" s="122"/>
      <c r="AV55" s="71"/>
      <c r="AW55" s="375"/>
      <c r="AY55" s="82"/>
      <c r="AZ55" s="122"/>
      <c r="BA55" s="71"/>
      <c r="BB55" s="375"/>
      <c r="BD55" s="82"/>
      <c r="BE55" s="122"/>
      <c r="BF55" s="71"/>
      <c r="BG55" s="375"/>
      <c r="BI55" s="82"/>
      <c r="BJ55" s="122"/>
      <c r="BK55" s="71"/>
      <c r="BL55" s="375"/>
      <c r="BN55" s="82"/>
      <c r="BO55" s="122"/>
      <c r="BP55" s="71"/>
      <c r="BQ55" s="375"/>
      <c r="BS55" s="82"/>
      <c r="BT55" s="122"/>
      <c r="BU55" s="71"/>
      <c r="BV55" s="375"/>
      <c r="BX55" s="82"/>
      <c r="BY55" s="122"/>
      <c r="BZ55" s="219"/>
      <c r="CA55" s="375"/>
      <c r="CC55" s="82"/>
      <c r="CD55" s="122"/>
      <c r="CE55" s="71"/>
      <c r="CF55" s="375"/>
      <c r="CH55" s="82"/>
      <c r="CI55" s="122"/>
      <c r="CJ55" s="71"/>
      <c r="CK55" s="375"/>
      <c r="CM55" s="82"/>
      <c r="CN55" s="122"/>
      <c r="CO55" s="71"/>
      <c r="CP55" s="375"/>
      <c r="CR55" s="82"/>
      <c r="CS55" s="122"/>
      <c r="CT55" s="71"/>
      <c r="CU55" s="375"/>
      <c r="CW55" s="82"/>
      <c r="CX55" s="122"/>
      <c r="CY55" s="71"/>
      <c r="CZ55" s="375"/>
      <c r="DB55" s="82"/>
      <c r="DC55" s="122"/>
      <c r="DD55" s="71"/>
      <c r="DE55" s="375"/>
      <c r="DG55" s="82"/>
      <c r="DH55" s="122"/>
      <c r="DI55" s="71"/>
      <c r="DJ55" s="375"/>
      <c r="DL55" s="82"/>
      <c r="DM55" s="122"/>
      <c r="DN55" s="71"/>
      <c r="DO55" s="375"/>
      <c r="DQ55" s="82"/>
      <c r="DR55" s="122"/>
      <c r="DS55" s="71"/>
      <c r="DT55" s="375"/>
      <c r="DV55" s="82"/>
      <c r="DW55" s="122"/>
      <c r="DX55" s="71"/>
      <c r="DY55" s="375"/>
      <c r="EA55" s="82"/>
      <c r="EB55" s="122"/>
      <c r="EC55" s="71"/>
      <c r="ED55" s="375"/>
      <c r="EF55" s="82"/>
      <c r="EG55" s="122"/>
      <c r="EH55" s="71"/>
      <c r="EI55" s="375"/>
      <c r="EK55" s="82"/>
      <c r="EL55" s="122"/>
      <c r="EM55" s="71"/>
      <c r="EN55" s="375"/>
      <c r="EP55" s="244"/>
      <c r="ES55" s="451"/>
      <c r="ET55" s="451">
        <f t="shared" si="0"/>
        <v>0</v>
      </c>
    </row>
    <row r="56" spans="3:150" ht="13.9" hidden="1" customHeight="1" x14ac:dyDescent="0.2">
      <c r="C56" s="193" t="s">
        <v>321</v>
      </c>
      <c r="E56" s="139"/>
      <c r="F56" s="122"/>
      <c r="G56" s="122"/>
      <c r="H56" s="71">
        <f>-[51]foreigndebt!G156</f>
        <v>0</v>
      </c>
      <c r="I56" s="375"/>
      <c r="K56" s="82"/>
      <c r="L56" s="122"/>
      <c r="M56" s="71">
        <f>-[51]foreigndebt!L156</f>
        <v>0</v>
      </c>
      <c r="N56" s="375"/>
      <c r="P56" s="82"/>
      <c r="Q56" s="122"/>
      <c r="R56" s="71">
        <f>-[51]foreigndebt!Q156</f>
        <v>0</v>
      </c>
      <c r="S56" s="375"/>
      <c r="U56" s="82"/>
      <c r="V56" s="122"/>
      <c r="W56" s="71">
        <f>-[51]foreigndebt!V156</f>
        <v>0</v>
      </c>
      <c r="X56" s="375"/>
      <c r="Z56" s="82"/>
      <c r="AA56" s="122"/>
      <c r="AB56" s="71">
        <f>-[51]foreigndebt!AA156</f>
        <v>0</v>
      </c>
      <c r="AC56" s="375"/>
      <c r="AE56" s="82"/>
      <c r="AF56" s="122"/>
      <c r="AG56" s="71">
        <f>-[51]foreigndebt!AF156</f>
        <v>0</v>
      </c>
      <c r="AH56" s="375"/>
      <c r="AJ56" s="82"/>
      <c r="AK56" s="122"/>
      <c r="AL56" s="71">
        <f>-[51]foreigndebt!AK156</f>
        <v>0</v>
      </c>
      <c r="AM56" s="375"/>
      <c r="AO56" s="82"/>
      <c r="AP56" s="122"/>
      <c r="AQ56" s="71">
        <f>-[51]foreigndebt!AP156</f>
        <v>0</v>
      </c>
      <c r="AR56" s="375"/>
      <c r="AT56" s="82"/>
      <c r="AU56" s="122"/>
      <c r="AV56" s="71">
        <f>-[51]foreigndebt!AU156</f>
        <v>0</v>
      </c>
      <c r="AW56" s="375"/>
      <c r="AY56" s="82"/>
      <c r="AZ56" s="122"/>
      <c r="BA56" s="71">
        <f>-[51]foreigndebt!AZ156</f>
        <v>0</v>
      </c>
      <c r="BB56" s="375"/>
      <c r="BD56" s="82"/>
      <c r="BE56" s="122"/>
      <c r="BF56" s="71">
        <f>-[51]foreigndebt!BE156</f>
        <v>0</v>
      </c>
      <c r="BG56" s="375"/>
      <c r="BI56" s="82"/>
      <c r="BJ56" s="122"/>
      <c r="BK56" s="71">
        <f>-[51]foreigndebt!BJ156</f>
        <v>0</v>
      </c>
      <c r="BL56" s="375"/>
      <c r="BN56" s="82"/>
      <c r="BO56" s="122"/>
      <c r="BP56" s="71">
        <f>-[51]foreigndebt!BO156</f>
        <v>0</v>
      </c>
      <c r="BQ56" s="375"/>
      <c r="BS56" s="82"/>
      <c r="BT56" s="122"/>
      <c r="BU56" s="71">
        <f>-[51]foreigndebt!BT156</f>
        <v>0</v>
      </c>
      <c r="BV56" s="375"/>
      <c r="BX56" s="82"/>
      <c r="BY56" s="122"/>
      <c r="BZ56" s="219">
        <f>-[51]foreigndebt!BY156</f>
        <v>0</v>
      </c>
      <c r="CA56" s="375"/>
      <c r="CC56" s="82"/>
      <c r="CD56" s="122"/>
      <c r="CE56" s="71">
        <f>-[51]foreigndebt!CD156</f>
        <v>0</v>
      </c>
      <c r="CF56" s="375"/>
      <c r="CH56" s="82"/>
      <c r="CI56" s="122"/>
      <c r="CJ56" s="71">
        <f>-[51]foreigndebt!CI156</f>
        <v>0</v>
      </c>
      <c r="CK56" s="375"/>
      <c r="CM56" s="82"/>
      <c r="CN56" s="122"/>
      <c r="CO56" s="71">
        <f>-[51]foreigndebt!CN156</f>
        <v>0</v>
      </c>
      <c r="CP56" s="375"/>
      <c r="CR56" s="82"/>
      <c r="CS56" s="122"/>
      <c r="CT56" s="71">
        <f>-[51]foreigndebt!CS156</f>
        <v>0</v>
      </c>
      <c r="CU56" s="375"/>
      <c r="CW56" s="82"/>
      <c r="CX56" s="122"/>
      <c r="CY56" s="71">
        <f>-[51]foreigndebt!CX156</f>
        <v>0</v>
      </c>
      <c r="CZ56" s="375"/>
      <c r="DB56" s="82"/>
      <c r="DC56" s="122"/>
      <c r="DD56" s="71">
        <f>-[51]foreigndebt!DC156</f>
        <v>0</v>
      </c>
      <c r="DE56" s="375"/>
      <c r="DG56" s="82"/>
      <c r="DH56" s="122"/>
      <c r="DI56" s="71">
        <f>-[51]foreigndebt!DH156</f>
        <v>0</v>
      </c>
      <c r="DJ56" s="375"/>
      <c r="DL56" s="82"/>
      <c r="DM56" s="122"/>
      <c r="DN56" s="71">
        <f>-[51]foreigndebt!DM156</f>
        <v>0</v>
      </c>
      <c r="DO56" s="375"/>
      <c r="DQ56" s="82"/>
      <c r="DR56" s="122"/>
      <c r="DS56" s="71">
        <f>-[51]foreigndebt!DR156</f>
        <v>0</v>
      </c>
      <c r="DT56" s="375"/>
      <c r="DV56" s="82"/>
      <c r="DW56" s="122"/>
      <c r="DX56" s="71">
        <f>-[51]foreigndebt!DW156</f>
        <v>0</v>
      </c>
      <c r="DY56" s="375"/>
      <c r="EA56" s="82"/>
      <c r="EB56" s="122"/>
      <c r="EC56" s="71">
        <f>-[51]foreigndebt!EB156</f>
        <v>0</v>
      </c>
      <c r="ED56" s="375"/>
      <c r="EF56" s="82"/>
      <c r="EG56" s="122"/>
      <c r="EH56" s="71">
        <f>-[51]foreigndebt!EG156</f>
        <v>0</v>
      </c>
      <c r="EI56" s="375"/>
      <c r="EK56" s="82"/>
      <c r="EL56" s="122"/>
      <c r="EM56" s="71">
        <f>-[51]foreigndebt!EL156</f>
        <v>0</v>
      </c>
      <c r="EN56" s="375"/>
      <c r="EP56" s="244"/>
      <c r="ES56" s="451"/>
      <c r="ET56" s="451">
        <f t="shared" si="0"/>
        <v>0</v>
      </c>
    </row>
    <row r="57" spans="3:150" ht="13.9" hidden="1" customHeight="1" x14ac:dyDescent="0.2">
      <c r="C57" s="193" t="s">
        <v>322</v>
      </c>
      <c r="E57" s="139"/>
      <c r="F57" s="122"/>
      <c r="G57" s="122"/>
      <c r="H57" s="434">
        <f>-[51]foreigndebt!G157</f>
        <v>0</v>
      </c>
      <c r="I57" s="375"/>
      <c r="K57" s="82"/>
      <c r="L57" s="122"/>
      <c r="M57" s="434">
        <f>-[51]foreigndebt!L157</f>
        <v>0</v>
      </c>
      <c r="N57" s="375"/>
      <c r="P57" s="82"/>
      <c r="Q57" s="122"/>
      <c r="R57" s="434">
        <f>-[51]foreigndebt!Q157</f>
        <v>0</v>
      </c>
      <c r="S57" s="375"/>
      <c r="U57" s="82"/>
      <c r="V57" s="122"/>
      <c r="W57" s="434">
        <f>-[51]foreigndebt!V157</f>
        <v>0</v>
      </c>
      <c r="X57" s="375"/>
      <c r="Z57" s="82"/>
      <c r="AA57" s="122"/>
      <c r="AB57" s="434">
        <f>-[51]foreigndebt!AA157</f>
        <v>0</v>
      </c>
      <c r="AC57" s="375"/>
      <c r="AE57" s="82"/>
      <c r="AF57" s="122"/>
      <c r="AG57" s="434">
        <f>-[51]foreigndebt!AF157</f>
        <v>0</v>
      </c>
      <c r="AH57" s="375"/>
      <c r="AJ57" s="82"/>
      <c r="AK57" s="122"/>
      <c r="AL57" s="434">
        <f>-[51]foreigndebt!AK157</f>
        <v>0</v>
      </c>
      <c r="AM57" s="375"/>
      <c r="AO57" s="82"/>
      <c r="AP57" s="122"/>
      <c r="AQ57" s="434">
        <f>-[51]foreigndebt!AP157</f>
        <v>0</v>
      </c>
      <c r="AR57" s="375"/>
      <c r="AT57" s="82"/>
      <c r="AU57" s="122"/>
      <c r="AV57" s="434">
        <f>-[51]foreigndebt!AU157</f>
        <v>0</v>
      </c>
      <c r="AW57" s="375"/>
      <c r="AY57" s="82"/>
      <c r="AZ57" s="122"/>
      <c r="BA57" s="434">
        <f>-[51]foreigndebt!AZ157</f>
        <v>0</v>
      </c>
      <c r="BB57" s="375"/>
      <c r="BD57" s="82"/>
      <c r="BE57" s="122"/>
      <c r="BF57" s="434">
        <f>-[51]foreigndebt!BE157</f>
        <v>0</v>
      </c>
      <c r="BG57" s="375"/>
      <c r="BI57" s="82"/>
      <c r="BJ57" s="122"/>
      <c r="BK57" s="434">
        <f>-[51]foreigndebt!BJ157</f>
        <v>0</v>
      </c>
      <c r="BL57" s="375"/>
      <c r="BN57" s="82"/>
      <c r="BO57" s="122"/>
      <c r="BP57" s="434">
        <f>-[51]foreigndebt!BO157</f>
        <v>0</v>
      </c>
      <c r="BQ57" s="375"/>
      <c r="BS57" s="82"/>
      <c r="BT57" s="122"/>
      <c r="BU57" s="434">
        <f>-[51]foreigndebt!BT157</f>
        <v>0</v>
      </c>
      <c r="BV57" s="375"/>
      <c r="BX57" s="82"/>
      <c r="BY57" s="122"/>
      <c r="BZ57" s="376">
        <f>-[51]foreigndebt!BY157</f>
        <v>0</v>
      </c>
      <c r="CA57" s="375"/>
      <c r="CC57" s="82"/>
      <c r="CD57" s="122"/>
      <c r="CE57" s="434">
        <f>-[51]foreigndebt!CD157</f>
        <v>0</v>
      </c>
      <c r="CF57" s="375"/>
      <c r="CH57" s="82"/>
      <c r="CI57" s="122"/>
      <c r="CJ57" s="434">
        <f>-[51]foreigndebt!CI157</f>
        <v>0</v>
      </c>
      <c r="CK57" s="375"/>
      <c r="CM57" s="82"/>
      <c r="CN57" s="122"/>
      <c r="CO57" s="434">
        <f>-[51]foreigndebt!CN157</f>
        <v>0</v>
      </c>
      <c r="CP57" s="375"/>
      <c r="CR57" s="82"/>
      <c r="CS57" s="122"/>
      <c r="CT57" s="434">
        <f>-[51]foreigndebt!CS157</f>
        <v>0</v>
      </c>
      <c r="CU57" s="375"/>
      <c r="CW57" s="82"/>
      <c r="CX57" s="122"/>
      <c r="CY57" s="434">
        <f>-[51]foreigndebt!CX157</f>
        <v>0</v>
      </c>
      <c r="CZ57" s="375"/>
      <c r="DB57" s="82"/>
      <c r="DC57" s="122"/>
      <c r="DD57" s="434">
        <f>-[51]foreigndebt!DC157</f>
        <v>0</v>
      </c>
      <c r="DE57" s="375"/>
      <c r="DG57" s="82"/>
      <c r="DH57" s="122"/>
      <c r="DI57" s="434">
        <f>-[51]foreigndebt!DH157</f>
        <v>0</v>
      </c>
      <c r="DJ57" s="375"/>
      <c r="DL57" s="82"/>
      <c r="DM57" s="122"/>
      <c r="DN57" s="434">
        <f>-[51]foreigndebt!DM157</f>
        <v>0</v>
      </c>
      <c r="DO57" s="375"/>
      <c r="DQ57" s="82"/>
      <c r="DR57" s="122"/>
      <c r="DS57" s="434">
        <f>-[51]foreigndebt!DR157</f>
        <v>0</v>
      </c>
      <c r="DT57" s="375"/>
      <c r="DV57" s="82"/>
      <c r="DW57" s="122"/>
      <c r="DX57" s="434">
        <f>-[51]foreigndebt!DW157</f>
        <v>0</v>
      </c>
      <c r="DY57" s="375"/>
      <c r="EA57" s="82"/>
      <c r="EB57" s="122"/>
      <c r="EC57" s="434">
        <f>-[51]foreigndebt!EB157</f>
        <v>0</v>
      </c>
      <c r="ED57" s="375"/>
      <c r="EF57" s="82"/>
      <c r="EG57" s="122"/>
      <c r="EH57" s="434">
        <f>-[51]foreigndebt!EG157</f>
        <v>0</v>
      </c>
      <c r="EI57" s="375"/>
      <c r="EK57" s="82"/>
      <c r="EL57" s="122"/>
      <c r="EM57" s="434">
        <f>-[51]foreigndebt!EL157</f>
        <v>0</v>
      </c>
      <c r="EN57" s="375"/>
      <c r="EP57" s="244"/>
      <c r="ES57" s="451"/>
      <c r="ET57" s="451">
        <f t="shared" si="0"/>
        <v>0</v>
      </c>
    </row>
    <row r="58" spans="3:150" ht="13.9" hidden="1" customHeight="1" x14ac:dyDescent="0.2">
      <c r="C58" s="244"/>
      <c r="E58" s="139"/>
      <c r="F58" s="122"/>
      <c r="G58" s="122"/>
      <c r="I58" s="375"/>
      <c r="K58" s="82"/>
      <c r="L58" s="122"/>
      <c r="N58" s="375"/>
      <c r="P58" s="82"/>
      <c r="Q58" s="122"/>
      <c r="S58" s="375"/>
      <c r="U58" s="82"/>
      <c r="V58" s="122"/>
      <c r="X58" s="375"/>
      <c r="Z58" s="82"/>
      <c r="AA58" s="122"/>
      <c r="AC58" s="375"/>
      <c r="AE58" s="82"/>
      <c r="AF58" s="122"/>
      <c r="AH58" s="375"/>
      <c r="AJ58" s="82"/>
      <c r="AK58" s="122"/>
      <c r="AM58" s="375"/>
      <c r="AO58" s="82"/>
      <c r="AP58" s="122"/>
      <c r="AR58" s="375"/>
      <c r="AT58" s="82"/>
      <c r="AU58" s="122"/>
      <c r="AW58" s="375"/>
      <c r="AY58" s="82"/>
      <c r="AZ58" s="122"/>
      <c r="BB58" s="375"/>
      <c r="BD58" s="82"/>
      <c r="BE58" s="122"/>
      <c r="BG58" s="375"/>
      <c r="BI58" s="82"/>
      <c r="BJ58" s="122"/>
      <c r="BL58" s="375"/>
      <c r="BN58" s="82"/>
      <c r="BO58" s="122"/>
      <c r="BQ58" s="375"/>
      <c r="BS58" s="82"/>
      <c r="BT58" s="122"/>
      <c r="BV58" s="375"/>
      <c r="BX58" s="82"/>
      <c r="BY58" s="122"/>
      <c r="BZ58" s="477"/>
      <c r="CA58" s="375"/>
      <c r="CC58" s="82"/>
      <c r="CD58" s="122"/>
      <c r="CF58" s="375"/>
      <c r="CH58" s="82"/>
      <c r="CI58" s="122"/>
      <c r="CK58" s="375"/>
      <c r="CM58" s="82"/>
      <c r="CN58" s="122"/>
      <c r="CP58" s="375"/>
      <c r="CR58" s="82"/>
      <c r="CS58" s="122"/>
      <c r="CU58" s="375"/>
      <c r="CW58" s="82"/>
      <c r="CX58" s="122"/>
      <c r="CZ58" s="375"/>
      <c r="DB58" s="82"/>
      <c r="DC58" s="122"/>
      <c r="DE58" s="375"/>
      <c r="DG58" s="82"/>
      <c r="DH58" s="122"/>
      <c r="DJ58" s="375"/>
      <c r="DL58" s="82"/>
      <c r="DM58" s="122"/>
      <c r="DO58" s="375"/>
      <c r="DQ58" s="82"/>
      <c r="DR58" s="122"/>
      <c r="DT58" s="375"/>
      <c r="DV58" s="82"/>
      <c r="DW58" s="122"/>
      <c r="DY58" s="375"/>
      <c r="EA58" s="82"/>
      <c r="EB58" s="122"/>
      <c r="ED58" s="375"/>
      <c r="EF58" s="82"/>
      <c r="EG58" s="122"/>
      <c r="EI58" s="375"/>
      <c r="EK58" s="82"/>
      <c r="EL58" s="122"/>
      <c r="EN58" s="375"/>
      <c r="EP58" s="244"/>
      <c r="ES58" s="451"/>
      <c r="ET58" s="451">
        <f t="shared" si="0"/>
        <v>0</v>
      </c>
    </row>
    <row r="59" spans="3:150" ht="12.75" hidden="1" customHeight="1" x14ac:dyDescent="0.2">
      <c r="C59" s="244" t="s">
        <v>323</v>
      </c>
      <c r="E59" s="139"/>
      <c r="F59" s="122"/>
      <c r="G59" s="122"/>
      <c r="H59" s="12">
        <v>0</v>
      </c>
      <c r="I59" s="375"/>
      <c r="K59" s="82"/>
      <c r="L59" s="122"/>
      <c r="M59" s="12">
        <f>SUM(M60:M64)</f>
        <v>0</v>
      </c>
      <c r="N59" s="375"/>
      <c r="P59" s="82"/>
      <c r="Q59" s="122"/>
      <c r="R59" s="12">
        <f>SUM(R60:R64)</f>
        <v>0</v>
      </c>
      <c r="S59" s="375"/>
      <c r="U59" s="82"/>
      <c r="V59" s="122"/>
      <c r="W59" s="12">
        <f>SUM(W60:W64)</f>
        <v>0</v>
      </c>
      <c r="X59" s="375"/>
      <c r="Z59" s="82"/>
      <c r="AA59" s="122"/>
      <c r="AB59" s="12">
        <f>SUM(AB60:AB64)</f>
        <v>0</v>
      </c>
      <c r="AC59" s="375"/>
      <c r="AE59" s="82"/>
      <c r="AF59" s="122"/>
      <c r="AG59" s="12">
        <f>SUM(AG60:AG64)</f>
        <v>0</v>
      </c>
      <c r="AH59" s="375"/>
      <c r="AJ59" s="82"/>
      <c r="AK59" s="122"/>
      <c r="AL59" s="12">
        <f>SUM(AL60:AL64)</f>
        <v>0</v>
      </c>
      <c r="AM59" s="375"/>
      <c r="AO59" s="82"/>
      <c r="AP59" s="122"/>
      <c r="AQ59" s="12">
        <f>SUM(AQ60:AQ64)</f>
        <v>0</v>
      </c>
      <c r="AR59" s="375"/>
      <c r="AT59" s="82"/>
      <c r="AU59" s="122"/>
      <c r="AV59" s="12">
        <f>SUM(AV60:AV64)</f>
        <v>0</v>
      </c>
      <c r="AW59" s="375"/>
      <c r="AY59" s="82"/>
      <c r="AZ59" s="122"/>
      <c r="BA59" s="12">
        <f>SUM(BA60:BA64)</f>
        <v>0</v>
      </c>
      <c r="BB59" s="375"/>
      <c r="BD59" s="82"/>
      <c r="BE59" s="122"/>
      <c r="BF59" s="12">
        <f>SUM(BF60:BF64)</f>
        <v>0</v>
      </c>
      <c r="BG59" s="375"/>
      <c r="BI59" s="82"/>
      <c r="BJ59" s="122"/>
      <c r="BK59" s="12">
        <f>SUM(BK60:BK64)</f>
        <v>0</v>
      </c>
      <c r="BL59" s="375"/>
      <c r="BN59" s="82"/>
      <c r="BO59" s="122"/>
      <c r="BP59" s="12">
        <f>SUM(BP60:BP64)</f>
        <v>0</v>
      </c>
      <c r="BQ59" s="375"/>
      <c r="BS59" s="82"/>
      <c r="BT59" s="122"/>
      <c r="BU59" s="12">
        <f>SUM(BU60:BU64)</f>
        <v>0</v>
      </c>
      <c r="BV59" s="375"/>
      <c r="BX59" s="82"/>
      <c r="BY59" s="122"/>
      <c r="BZ59" s="477">
        <v>0</v>
      </c>
      <c r="CA59" s="375"/>
      <c r="CC59" s="82"/>
      <c r="CD59" s="122"/>
      <c r="CE59" s="12">
        <f>SUM(CE60:CE64)</f>
        <v>0</v>
      </c>
      <c r="CF59" s="375"/>
      <c r="CH59" s="82"/>
      <c r="CI59" s="122"/>
      <c r="CJ59" s="12">
        <f>SUM(CJ60:CJ64)</f>
        <v>0</v>
      </c>
      <c r="CK59" s="375"/>
      <c r="CM59" s="82"/>
      <c r="CN59" s="122"/>
      <c r="CO59" s="12">
        <f>SUM(CO60:CO64)</f>
        <v>0</v>
      </c>
      <c r="CP59" s="375"/>
      <c r="CR59" s="82"/>
      <c r="CS59" s="122"/>
      <c r="CT59" s="12">
        <f>SUM(CT60:CT64)</f>
        <v>0</v>
      </c>
      <c r="CU59" s="375"/>
      <c r="CW59" s="82"/>
      <c r="CX59" s="122"/>
      <c r="CY59" s="12">
        <f>SUM(CY60:CY64)</f>
        <v>0</v>
      </c>
      <c r="CZ59" s="375"/>
      <c r="DB59" s="82"/>
      <c r="DC59" s="122"/>
      <c r="DD59" s="12">
        <f>SUM(DD60:DD64)</f>
        <v>0</v>
      </c>
      <c r="DE59" s="375"/>
      <c r="DG59" s="82"/>
      <c r="DH59" s="122"/>
      <c r="DI59" s="12">
        <f>SUM(DI60:DI64)</f>
        <v>0</v>
      </c>
      <c r="DJ59" s="375"/>
      <c r="DL59" s="82"/>
      <c r="DM59" s="122"/>
      <c r="DN59" s="12">
        <f>SUM(DN60:DN64)</f>
        <v>0</v>
      </c>
      <c r="DO59" s="375"/>
      <c r="DQ59" s="82"/>
      <c r="DR59" s="122"/>
      <c r="DS59" s="12">
        <f>SUM(DS60:DS64)</f>
        <v>0</v>
      </c>
      <c r="DT59" s="375"/>
      <c r="DV59" s="82"/>
      <c r="DW59" s="122"/>
      <c r="DX59" s="12">
        <f>SUM(DX60:DX64)</f>
        <v>0</v>
      </c>
      <c r="DY59" s="375"/>
      <c r="EA59" s="82"/>
      <c r="EB59" s="122"/>
      <c r="EC59" s="12">
        <f>SUM(EC60:EC64)</f>
        <v>0</v>
      </c>
      <c r="ED59" s="375"/>
      <c r="EF59" s="82"/>
      <c r="EG59" s="122"/>
      <c r="EH59" s="12">
        <f>SUM(EH60:EH64)</f>
        <v>0</v>
      </c>
      <c r="EI59" s="375"/>
      <c r="EK59" s="82"/>
      <c r="EL59" s="122"/>
      <c r="EM59" s="12">
        <f>SUM(EM60:EM64)</f>
        <v>0</v>
      </c>
      <c r="EN59" s="375"/>
      <c r="EP59" s="244"/>
      <c r="ES59" s="451"/>
      <c r="ET59" s="451">
        <f t="shared" si="0"/>
        <v>0</v>
      </c>
    </row>
    <row r="60" spans="3:150" ht="13.9" hidden="1" customHeight="1" x14ac:dyDescent="0.2">
      <c r="C60" s="244" t="s">
        <v>302</v>
      </c>
      <c r="E60" s="139"/>
      <c r="F60" s="122"/>
      <c r="G60" s="122"/>
      <c r="H60" s="423">
        <v>0</v>
      </c>
      <c r="I60" s="375"/>
      <c r="K60" s="82"/>
      <c r="L60" s="122"/>
      <c r="M60" s="423">
        <f>[51]foreigndebt!L72</f>
        <v>0</v>
      </c>
      <c r="N60" s="375"/>
      <c r="P60" s="82"/>
      <c r="Q60" s="122"/>
      <c r="R60" s="423">
        <f>[51]foreigndebt!Q72</f>
        <v>0</v>
      </c>
      <c r="S60" s="375"/>
      <c r="U60" s="82"/>
      <c r="V60" s="122"/>
      <c r="W60" s="423">
        <f>[51]foreigndebt!V72</f>
        <v>0</v>
      </c>
      <c r="X60" s="375"/>
      <c r="Z60" s="82"/>
      <c r="AA60" s="122"/>
      <c r="AB60" s="423">
        <f>[51]foreigndebt!AA72</f>
        <v>0</v>
      </c>
      <c r="AC60" s="375"/>
      <c r="AE60" s="82"/>
      <c r="AF60" s="122"/>
      <c r="AG60" s="423">
        <f>[51]foreigndebt!AF72</f>
        <v>0</v>
      </c>
      <c r="AH60" s="375"/>
      <c r="AJ60" s="82"/>
      <c r="AK60" s="122"/>
      <c r="AL60" s="423">
        <f>[51]foreigndebt!AK72</f>
        <v>0</v>
      </c>
      <c r="AM60" s="375"/>
      <c r="AO60" s="82"/>
      <c r="AP60" s="122"/>
      <c r="AQ60" s="423">
        <f>[51]foreigndebt!AP72</f>
        <v>0</v>
      </c>
      <c r="AR60" s="375"/>
      <c r="AT60" s="82"/>
      <c r="AU60" s="122"/>
      <c r="AV60" s="423">
        <f>[51]foreigndebt!AU72</f>
        <v>0</v>
      </c>
      <c r="AW60" s="375"/>
      <c r="AY60" s="82"/>
      <c r="AZ60" s="122"/>
      <c r="BA60" s="423">
        <f>[51]foreigndebt!AZ72</f>
        <v>0</v>
      </c>
      <c r="BB60" s="375"/>
      <c r="BD60" s="82"/>
      <c r="BE60" s="122"/>
      <c r="BF60" s="423">
        <f>[51]foreigndebt!BE72</f>
        <v>0</v>
      </c>
      <c r="BG60" s="375"/>
      <c r="BI60" s="82"/>
      <c r="BJ60" s="122"/>
      <c r="BK60" s="423">
        <f>[51]foreigndebt!BJ72</f>
        <v>0</v>
      </c>
      <c r="BL60" s="375"/>
      <c r="BN60" s="82"/>
      <c r="BO60" s="122"/>
      <c r="BP60" s="423">
        <f>[51]foreigndebt!BO72</f>
        <v>0</v>
      </c>
      <c r="BQ60" s="375"/>
      <c r="BS60" s="82"/>
      <c r="BT60" s="122"/>
      <c r="BU60" s="423">
        <f>[51]foreigndebt!BT72</f>
        <v>0</v>
      </c>
      <c r="BV60" s="375"/>
      <c r="BX60" s="82"/>
      <c r="BY60" s="122"/>
      <c r="BZ60" s="323">
        <v>0</v>
      </c>
      <c r="CA60" s="375"/>
      <c r="CC60" s="82"/>
      <c r="CD60" s="122"/>
      <c r="CE60" s="423">
        <f>[51]foreigndebt!CD72</f>
        <v>0</v>
      </c>
      <c r="CF60" s="375"/>
      <c r="CH60" s="82"/>
      <c r="CI60" s="122"/>
      <c r="CJ60" s="423">
        <f>[51]foreigndebt!CI72</f>
        <v>0</v>
      </c>
      <c r="CK60" s="375"/>
      <c r="CM60" s="82"/>
      <c r="CN60" s="122"/>
      <c r="CO60" s="423">
        <f>[51]foreigndebt!CN72</f>
        <v>0</v>
      </c>
      <c r="CP60" s="375"/>
      <c r="CR60" s="82"/>
      <c r="CS60" s="122"/>
      <c r="CT60" s="423">
        <f>[51]foreigndebt!CS72</f>
        <v>0</v>
      </c>
      <c r="CU60" s="375"/>
      <c r="CW60" s="82"/>
      <c r="CX60" s="122"/>
      <c r="CY60" s="423">
        <f>[51]foreigndebt!CX72</f>
        <v>0</v>
      </c>
      <c r="CZ60" s="375"/>
      <c r="DB60" s="82"/>
      <c r="DC60" s="122"/>
      <c r="DD60" s="423">
        <f>[51]foreigndebt!DC72</f>
        <v>0</v>
      </c>
      <c r="DE60" s="375"/>
      <c r="DG60" s="82"/>
      <c r="DH60" s="122"/>
      <c r="DI60" s="423">
        <f>[51]foreigndebt!DH72</f>
        <v>0</v>
      </c>
      <c r="DJ60" s="375"/>
      <c r="DL60" s="82"/>
      <c r="DM60" s="122"/>
      <c r="DN60" s="423">
        <f>[51]foreigndebt!DM72</f>
        <v>0</v>
      </c>
      <c r="DO60" s="375"/>
      <c r="DQ60" s="82"/>
      <c r="DR60" s="122"/>
      <c r="DS60" s="423">
        <f>[51]foreigndebt!DR72</f>
        <v>0</v>
      </c>
      <c r="DT60" s="375"/>
      <c r="DV60" s="82"/>
      <c r="DW60" s="122"/>
      <c r="DX60" s="423">
        <f>[51]foreigndebt!DW72</f>
        <v>0</v>
      </c>
      <c r="DY60" s="375"/>
      <c r="EA60" s="82"/>
      <c r="EB60" s="122"/>
      <c r="EC60" s="423">
        <f>[51]foreigndebt!EB72</f>
        <v>0</v>
      </c>
      <c r="ED60" s="375"/>
      <c r="EF60" s="82"/>
      <c r="EG60" s="122"/>
      <c r="EH60" s="423">
        <f>[51]foreigndebt!EG72</f>
        <v>0</v>
      </c>
      <c r="EI60" s="375"/>
      <c r="EK60" s="82"/>
      <c r="EL60" s="122"/>
      <c r="EM60" s="423">
        <f>[51]foreigndebt!EL72</f>
        <v>0</v>
      </c>
      <c r="EN60" s="375"/>
      <c r="EP60" s="244"/>
      <c r="ES60" s="451"/>
      <c r="ET60" s="451">
        <f t="shared" si="0"/>
        <v>0</v>
      </c>
    </row>
    <row r="61" spans="3:150" ht="13.9" hidden="1" customHeight="1" x14ac:dyDescent="0.2">
      <c r="C61" s="244" t="s">
        <v>304</v>
      </c>
      <c r="E61" s="139"/>
      <c r="F61" s="122"/>
      <c r="G61" s="122"/>
      <c r="H61" s="71">
        <v>0</v>
      </c>
      <c r="I61" s="375"/>
      <c r="K61" s="82"/>
      <c r="L61" s="122"/>
      <c r="M61" s="71">
        <f>-[51]foreigndebt!L74</f>
        <v>0</v>
      </c>
      <c r="N61" s="375"/>
      <c r="P61" s="82"/>
      <c r="Q61" s="122"/>
      <c r="R61" s="71">
        <f>-[51]foreigndebt!Q74</f>
        <v>0</v>
      </c>
      <c r="S61" s="375"/>
      <c r="U61" s="82"/>
      <c r="V61" s="122"/>
      <c r="W61" s="71">
        <f>-[51]foreigndebt!V74</f>
        <v>0</v>
      </c>
      <c r="X61" s="375"/>
      <c r="Z61" s="82"/>
      <c r="AA61" s="122"/>
      <c r="AB61" s="71">
        <f>-[51]foreigndebt!AA74</f>
        <v>0</v>
      </c>
      <c r="AC61" s="375"/>
      <c r="AE61" s="82"/>
      <c r="AF61" s="122"/>
      <c r="AG61" s="71">
        <f>-[51]foreigndebt!AF74</f>
        <v>0</v>
      </c>
      <c r="AH61" s="375"/>
      <c r="AJ61" s="82"/>
      <c r="AK61" s="122"/>
      <c r="AL61" s="71">
        <f>-[51]foreigndebt!AK74</f>
        <v>0</v>
      </c>
      <c r="AM61" s="375"/>
      <c r="AO61" s="82"/>
      <c r="AP61" s="122"/>
      <c r="AQ61" s="71">
        <f>-[51]foreigndebt!AP74</f>
        <v>0</v>
      </c>
      <c r="AR61" s="375"/>
      <c r="AT61" s="82"/>
      <c r="AU61" s="122"/>
      <c r="AV61" s="71">
        <f>-[51]foreigndebt!AU74</f>
        <v>0</v>
      </c>
      <c r="AW61" s="375"/>
      <c r="AY61" s="82"/>
      <c r="AZ61" s="122"/>
      <c r="BA61" s="71">
        <f>-[51]foreigndebt!AZ74</f>
        <v>0</v>
      </c>
      <c r="BB61" s="375"/>
      <c r="BD61" s="82"/>
      <c r="BE61" s="122"/>
      <c r="BF61" s="71">
        <f>-[51]foreigndebt!BE74</f>
        <v>0</v>
      </c>
      <c r="BG61" s="375"/>
      <c r="BI61" s="82"/>
      <c r="BJ61" s="122"/>
      <c r="BK61" s="71">
        <f>-[51]foreigndebt!BJ74</f>
        <v>0</v>
      </c>
      <c r="BL61" s="375"/>
      <c r="BN61" s="82"/>
      <c r="BO61" s="122"/>
      <c r="BP61" s="71">
        <f>-[51]foreigndebt!BO74</f>
        <v>0</v>
      </c>
      <c r="BQ61" s="375"/>
      <c r="BS61" s="82"/>
      <c r="BT61" s="122"/>
      <c r="BU61" s="71">
        <f>-[51]foreigndebt!BT74</f>
        <v>0</v>
      </c>
      <c r="BV61" s="375"/>
      <c r="BX61" s="82"/>
      <c r="BY61" s="122"/>
      <c r="BZ61" s="219">
        <v>0</v>
      </c>
      <c r="CA61" s="375"/>
      <c r="CC61" s="82"/>
      <c r="CD61" s="122"/>
      <c r="CE61" s="71">
        <f>-[51]foreigndebt!CD74</f>
        <v>0</v>
      </c>
      <c r="CF61" s="375"/>
      <c r="CH61" s="82"/>
      <c r="CI61" s="122"/>
      <c r="CJ61" s="71">
        <f>-[51]foreigndebt!CI74</f>
        <v>0</v>
      </c>
      <c r="CK61" s="375"/>
      <c r="CM61" s="82"/>
      <c r="CN61" s="122"/>
      <c r="CO61" s="71">
        <f>-[51]foreigndebt!CN74</f>
        <v>0</v>
      </c>
      <c r="CP61" s="375"/>
      <c r="CR61" s="82"/>
      <c r="CS61" s="122"/>
      <c r="CT61" s="71">
        <f>-[51]foreigndebt!CS74</f>
        <v>0</v>
      </c>
      <c r="CU61" s="375"/>
      <c r="CW61" s="82"/>
      <c r="CX61" s="122"/>
      <c r="CY61" s="71">
        <f>-[51]foreigndebt!CX74</f>
        <v>0</v>
      </c>
      <c r="CZ61" s="375"/>
      <c r="DB61" s="82"/>
      <c r="DC61" s="122"/>
      <c r="DD61" s="71">
        <f>-[51]foreigndebt!DC74</f>
        <v>0</v>
      </c>
      <c r="DE61" s="375"/>
      <c r="DG61" s="82"/>
      <c r="DH61" s="122"/>
      <c r="DI61" s="71">
        <f>-[51]foreigndebt!DH74</f>
        <v>0</v>
      </c>
      <c r="DJ61" s="375"/>
      <c r="DL61" s="82"/>
      <c r="DM61" s="122"/>
      <c r="DN61" s="71">
        <f>-[51]foreigndebt!DM74</f>
        <v>0</v>
      </c>
      <c r="DO61" s="375"/>
      <c r="DQ61" s="82"/>
      <c r="DR61" s="122"/>
      <c r="DS61" s="71">
        <f>-[51]foreigndebt!DR74</f>
        <v>0</v>
      </c>
      <c r="DT61" s="375"/>
      <c r="DV61" s="82"/>
      <c r="DW61" s="122"/>
      <c r="DX61" s="71">
        <f>-[51]foreigndebt!DW74</f>
        <v>0</v>
      </c>
      <c r="DY61" s="375"/>
      <c r="EA61" s="82"/>
      <c r="EB61" s="122"/>
      <c r="EC61" s="71">
        <f>-[51]foreigndebt!EB74</f>
        <v>0</v>
      </c>
      <c r="ED61" s="375"/>
      <c r="EF61" s="82"/>
      <c r="EG61" s="122"/>
      <c r="EH61" s="71">
        <f>-[51]foreigndebt!EG74</f>
        <v>0</v>
      </c>
      <c r="EI61" s="375"/>
      <c r="EK61" s="82"/>
      <c r="EL61" s="122"/>
      <c r="EM61" s="71">
        <f>-[51]foreigndebt!EL74</f>
        <v>0</v>
      </c>
      <c r="EN61" s="375"/>
      <c r="EP61" s="244"/>
      <c r="ES61" s="451"/>
      <c r="ET61" s="451">
        <f t="shared" si="0"/>
        <v>0</v>
      </c>
    </row>
    <row r="62" spans="3:150" ht="13.9" hidden="1" customHeight="1" x14ac:dyDescent="0.2">
      <c r="C62" s="244" t="s">
        <v>307</v>
      </c>
      <c r="E62" s="139"/>
      <c r="F62" s="122"/>
      <c r="G62" s="122"/>
      <c r="H62" s="71"/>
      <c r="I62" s="375"/>
      <c r="K62" s="82"/>
      <c r="L62" s="122"/>
      <c r="M62" s="71"/>
      <c r="N62" s="375"/>
      <c r="P62" s="82"/>
      <c r="Q62" s="122"/>
      <c r="R62" s="71"/>
      <c r="S62" s="375"/>
      <c r="U62" s="82"/>
      <c r="V62" s="122"/>
      <c r="W62" s="71"/>
      <c r="X62" s="375"/>
      <c r="Z62" s="82"/>
      <c r="AA62" s="122"/>
      <c r="AB62" s="71"/>
      <c r="AC62" s="375"/>
      <c r="AE62" s="82"/>
      <c r="AF62" s="122"/>
      <c r="AG62" s="71"/>
      <c r="AH62" s="375"/>
      <c r="AJ62" s="82"/>
      <c r="AK62" s="122"/>
      <c r="AL62" s="71"/>
      <c r="AM62" s="375"/>
      <c r="AO62" s="82"/>
      <c r="AP62" s="122"/>
      <c r="AQ62" s="71"/>
      <c r="AR62" s="375"/>
      <c r="AT62" s="82"/>
      <c r="AU62" s="122"/>
      <c r="AV62" s="71"/>
      <c r="AW62" s="375"/>
      <c r="AY62" s="82"/>
      <c r="AZ62" s="122"/>
      <c r="BA62" s="71"/>
      <c r="BB62" s="375"/>
      <c r="BD62" s="82"/>
      <c r="BE62" s="122"/>
      <c r="BF62" s="71"/>
      <c r="BG62" s="375"/>
      <c r="BI62" s="82"/>
      <c r="BJ62" s="122"/>
      <c r="BK62" s="71"/>
      <c r="BL62" s="375"/>
      <c r="BN62" s="82"/>
      <c r="BO62" s="122"/>
      <c r="BP62" s="71"/>
      <c r="BQ62" s="375"/>
      <c r="BS62" s="82"/>
      <c r="BT62" s="122"/>
      <c r="BU62" s="71"/>
      <c r="BV62" s="375"/>
      <c r="BX62" s="82"/>
      <c r="BY62" s="122"/>
      <c r="BZ62" s="219"/>
      <c r="CA62" s="375"/>
      <c r="CC62" s="82"/>
      <c r="CD62" s="122"/>
      <c r="CE62" s="71"/>
      <c r="CF62" s="375"/>
      <c r="CH62" s="82"/>
      <c r="CI62" s="122"/>
      <c r="CJ62" s="71"/>
      <c r="CK62" s="375"/>
      <c r="CM62" s="82"/>
      <c r="CN62" s="122"/>
      <c r="CO62" s="71"/>
      <c r="CP62" s="375"/>
      <c r="CR62" s="82"/>
      <c r="CS62" s="122"/>
      <c r="CT62" s="71"/>
      <c r="CU62" s="375"/>
      <c r="CW62" s="82"/>
      <c r="CX62" s="122"/>
      <c r="CY62" s="71"/>
      <c r="CZ62" s="375"/>
      <c r="DB62" s="82"/>
      <c r="DC62" s="122"/>
      <c r="DD62" s="71"/>
      <c r="DE62" s="375"/>
      <c r="DG62" s="82"/>
      <c r="DH62" s="122"/>
      <c r="DI62" s="71"/>
      <c r="DJ62" s="375"/>
      <c r="DL62" s="82"/>
      <c r="DM62" s="122"/>
      <c r="DN62" s="71"/>
      <c r="DO62" s="375"/>
      <c r="DQ62" s="82"/>
      <c r="DR62" s="122"/>
      <c r="DS62" s="71"/>
      <c r="DT62" s="375"/>
      <c r="DV62" s="82"/>
      <c r="DW62" s="122"/>
      <c r="DX62" s="71"/>
      <c r="DY62" s="375"/>
      <c r="EA62" s="82"/>
      <c r="EB62" s="122"/>
      <c r="EC62" s="71"/>
      <c r="ED62" s="375"/>
      <c r="EF62" s="82"/>
      <c r="EG62" s="122"/>
      <c r="EH62" s="71"/>
      <c r="EI62" s="375"/>
      <c r="EK62" s="82"/>
      <c r="EL62" s="122"/>
      <c r="EM62" s="71"/>
      <c r="EN62" s="375"/>
      <c r="EP62" s="244"/>
      <c r="ES62" s="451"/>
      <c r="ET62" s="451">
        <f t="shared" si="0"/>
        <v>0</v>
      </c>
    </row>
    <row r="63" spans="3:150" ht="13.9" hidden="1" customHeight="1" x14ac:dyDescent="0.2">
      <c r="C63" s="193" t="s">
        <v>321</v>
      </c>
      <c r="E63" s="139"/>
      <c r="F63" s="122"/>
      <c r="G63" s="122"/>
      <c r="H63" s="71">
        <v>0</v>
      </c>
      <c r="I63" s="375"/>
      <c r="K63" s="82"/>
      <c r="L63" s="122"/>
      <c r="M63" s="71">
        <f>-[51]foreigndebt!L168</f>
        <v>0</v>
      </c>
      <c r="N63" s="375"/>
      <c r="P63" s="82"/>
      <c r="Q63" s="122"/>
      <c r="R63" s="71">
        <f>-[51]foreigndebt!Q168</f>
        <v>0</v>
      </c>
      <c r="S63" s="375"/>
      <c r="U63" s="82"/>
      <c r="V63" s="122"/>
      <c r="W63" s="71">
        <f>-[51]foreigndebt!V168</f>
        <v>0</v>
      </c>
      <c r="X63" s="375"/>
      <c r="Z63" s="82"/>
      <c r="AA63" s="122"/>
      <c r="AB63" s="71">
        <f>-[51]foreigndebt!AA168</f>
        <v>0</v>
      </c>
      <c r="AC63" s="375"/>
      <c r="AE63" s="82"/>
      <c r="AF63" s="122"/>
      <c r="AG63" s="71">
        <f>-[51]foreigndebt!AF168</f>
        <v>0</v>
      </c>
      <c r="AH63" s="375"/>
      <c r="AJ63" s="82"/>
      <c r="AK63" s="122"/>
      <c r="AL63" s="71">
        <f>-[51]foreigndebt!AK168</f>
        <v>0</v>
      </c>
      <c r="AM63" s="375"/>
      <c r="AO63" s="82"/>
      <c r="AP63" s="122"/>
      <c r="AQ63" s="71">
        <f>-[51]foreigndebt!AP168</f>
        <v>0</v>
      </c>
      <c r="AR63" s="375"/>
      <c r="AT63" s="82"/>
      <c r="AU63" s="122"/>
      <c r="AV63" s="71">
        <f>-[51]foreigndebt!AU168</f>
        <v>0</v>
      </c>
      <c r="AW63" s="375"/>
      <c r="AY63" s="82"/>
      <c r="AZ63" s="122"/>
      <c r="BA63" s="71">
        <f>-[51]foreigndebt!AZ168</f>
        <v>0</v>
      </c>
      <c r="BB63" s="375"/>
      <c r="BD63" s="82"/>
      <c r="BE63" s="122"/>
      <c r="BF63" s="71">
        <f>-[51]foreigndebt!BE168</f>
        <v>0</v>
      </c>
      <c r="BG63" s="375"/>
      <c r="BI63" s="82"/>
      <c r="BJ63" s="122"/>
      <c r="BK63" s="71">
        <f>-[51]foreigndebt!BJ168</f>
        <v>0</v>
      </c>
      <c r="BL63" s="375"/>
      <c r="BN63" s="82"/>
      <c r="BO63" s="122"/>
      <c r="BP63" s="71">
        <f>-[51]foreigndebt!BO168</f>
        <v>0</v>
      </c>
      <c r="BQ63" s="375"/>
      <c r="BS63" s="82"/>
      <c r="BT63" s="122"/>
      <c r="BU63" s="71">
        <f>-[51]foreigndebt!BT168</f>
        <v>0</v>
      </c>
      <c r="BV63" s="375"/>
      <c r="BX63" s="82"/>
      <c r="BY63" s="122"/>
      <c r="BZ63" s="219">
        <v>0</v>
      </c>
      <c r="CA63" s="375"/>
      <c r="CC63" s="82"/>
      <c r="CD63" s="122"/>
      <c r="CE63" s="71">
        <f>-[51]foreigndebt!CD168</f>
        <v>0</v>
      </c>
      <c r="CF63" s="375"/>
      <c r="CH63" s="82"/>
      <c r="CI63" s="122"/>
      <c r="CJ63" s="71">
        <f>-[51]foreigndebt!CI168</f>
        <v>0</v>
      </c>
      <c r="CK63" s="375"/>
      <c r="CM63" s="82"/>
      <c r="CN63" s="122"/>
      <c r="CO63" s="71">
        <f>-[51]foreigndebt!CN168</f>
        <v>0</v>
      </c>
      <c r="CP63" s="375"/>
      <c r="CR63" s="82"/>
      <c r="CS63" s="122"/>
      <c r="CT63" s="71">
        <f>-[51]foreigndebt!CS168</f>
        <v>0</v>
      </c>
      <c r="CU63" s="375"/>
      <c r="CW63" s="82"/>
      <c r="CX63" s="122"/>
      <c r="CY63" s="71">
        <f>-[51]foreigndebt!CX168</f>
        <v>0</v>
      </c>
      <c r="CZ63" s="375"/>
      <c r="DB63" s="82"/>
      <c r="DC63" s="122"/>
      <c r="DD63" s="71">
        <f>-[51]foreigndebt!DC168</f>
        <v>0</v>
      </c>
      <c r="DE63" s="375"/>
      <c r="DG63" s="82"/>
      <c r="DH63" s="122"/>
      <c r="DI63" s="71">
        <f>-[51]foreigndebt!DH168</f>
        <v>0</v>
      </c>
      <c r="DJ63" s="375"/>
      <c r="DL63" s="82"/>
      <c r="DM63" s="122"/>
      <c r="DN63" s="71">
        <f>-[51]foreigndebt!DM168</f>
        <v>0</v>
      </c>
      <c r="DO63" s="375"/>
      <c r="DQ63" s="82"/>
      <c r="DR63" s="122"/>
      <c r="DS63" s="71">
        <f>-[51]foreigndebt!DR168</f>
        <v>0</v>
      </c>
      <c r="DT63" s="375"/>
      <c r="DV63" s="82"/>
      <c r="DW63" s="122"/>
      <c r="DX63" s="71">
        <f>-[51]foreigndebt!DW168</f>
        <v>0</v>
      </c>
      <c r="DY63" s="375"/>
      <c r="EA63" s="82"/>
      <c r="EB63" s="122"/>
      <c r="EC63" s="71">
        <f>-[51]foreigndebt!EB168</f>
        <v>0</v>
      </c>
      <c r="ED63" s="375"/>
      <c r="EF63" s="82"/>
      <c r="EG63" s="122"/>
      <c r="EH63" s="71">
        <f>-[51]foreigndebt!EG168</f>
        <v>0</v>
      </c>
      <c r="EI63" s="375"/>
      <c r="EK63" s="82"/>
      <c r="EL63" s="122"/>
      <c r="EM63" s="71">
        <f>-[51]foreigndebt!EL168</f>
        <v>0</v>
      </c>
      <c r="EN63" s="375"/>
      <c r="EP63" s="244"/>
      <c r="ES63" s="451"/>
      <c r="ET63" s="451">
        <f t="shared" si="0"/>
        <v>0</v>
      </c>
    </row>
    <row r="64" spans="3:150" ht="13.9" hidden="1" customHeight="1" x14ac:dyDescent="0.2">
      <c r="C64" s="193" t="s">
        <v>322</v>
      </c>
      <c r="E64" s="139"/>
      <c r="F64" s="122"/>
      <c r="G64" s="122"/>
      <c r="H64" s="434">
        <v>0</v>
      </c>
      <c r="I64" s="375"/>
      <c r="K64" s="82"/>
      <c r="L64" s="122"/>
      <c r="M64" s="434">
        <f>-[51]foreigndebt!L169</f>
        <v>0</v>
      </c>
      <c r="N64" s="375"/>
      <c r="P64" s="82"/>
      <c r="Q64" s="122"/>
      <c r="R64" s="434">
        <f>-[51]foreigndebt!Q169</f>
        <v>0</v>
      </c>
      <c r="S64" s="375"/>
      <c r="U64" s="82"/>
      <c r="V64" s="122"/>
      <c r="W64" s="434">
        <f>-[51]foreigndebt!V169</f>
        <v>0</v>
      </c>
      <c r="X64" s="375"/>
      <c r="Z64" s="82"/>
      <c r="AA64" s="122"/>
      <c r="AB64" s="434">
        <f>-[51]foreigndebt!AA169</f>
        <v>0</v>
      </c>
      <c r="AC64" s="375"/>
      <c r="AE64" s="82"/>
      <c r="AF64" s="122"/>
      <c r="AG64" s="434">
        <f>-[51]foreigndebt!AF169</f>
        <v>0</v>
      </c>
      <c r="AH64" s="375"/>
      <c r="AJ64" s="82"/>
      <c r="AK64" s="122"/>
      <c r="AL64" s="434">
        <f>-[51]foreigndebt!AK169</f>
        <v>0</v>
      </c>
      <c r="AM64" s="375"/>
      <c r="AO64" s="82"/>
      <c r="AP64" s="122"/>
      <c r="AQ64" s="434">
        <f>-[51]foreigndebt!AP169</f>
        <v>0</v>
      </c>
      <c r="AR64" s="375"/>
      <c r="AT64" s="82"/>
      <c r="AU64" s="122"/>
      <c r="AV64" s="434">
        <f>-[51]foreigndebt!AU169</f>
        <v>0</v>
      </c>
      <c r="AW64" s="375"/>
      <c r="AY64" s="82"/>
      <c r="AZ64" s="122"/>
      <c r="BA64" s="434">
        <f>-[51]foreigndebt!AZ169</f>
        <v>0</v>
      </c>
      <c r="BB64" s="375"/>
      <c r="BD64" s="82"/>
      <c r="BE64" s="122"/>
      <c r="BF64" s="434">
        <f>-[51]foreigndebt!BE169</f>
        <v>0</v>
      </c>
      <c r="BG64" s="375"/>
      <c r="BI64" s="82"/>
      <c r="BJ64" s="122"/>
      <c r="BK64" s="434">
        <f>-[51]foreigndebt!BJ169</f>
        <v>0</v>
      </c>
      <c r="BL64" s="375"/>
      <c r="BN64" s="82"/>
      <c r="BO64" s="122"/>
      <c r="BP64" s="434">
        <f>-[51]foreigndebt!BO169</f>
        <v>0</v>
      </c>
      <c r="BQ64" s="375"/>
      <c r="BS64" s="82"/>
      <c r="BT64" s="122"/>
      <c r="BU64" s="434">
        <f>-[51]foreigndebt!BT169</f>
        <v>0</v>
      </c>
      <c r="BV64" s="375"/>
      <c r="BX64" s="82"/>
      <c r="BY64" s="122"/>
      <c r="BZ64" s="376">
        <v>0</v>
      </c>
      <c r="CA64" s="375"/>
      <c r="CC64" s="82"/>
      <c r="CD64" s="122"/>
      <c r="CE64" s="434">
        <f>-[51]foreigndebt!CD169</f>
        <v>0</v>
      </c>
      <c r="CF64" s="375"/>
      <c r="CH64" s="82"/>
      <c r="CI64" s="122"/>
      <c r="CJ64" s="434">
        <f>-[51]foreigndebt!CI169</f>
        <v>0</v>
      </c>
      <c r="CK64" s="375"/>
      <c r="CM64" s="82"/>
      <c r="CN64" s="122"/>
      <c r="CO64" s="434">
        <f>-[51]foreigndebt!CN169</f>
        <v>0</v>
      </c>
      <c r="CP64" s="375"/>
      <c r="CR64" s="82"/>
      <c r="CS64" s="122"/>
      <c r="CT64" s="434">
        <f>-[51]foreigndebt!CS169</f>
        <v>0</v>
      </c>
      <c r="CU64" s="375"/>
      <c r="CW64" s="82"/>
      <c r="CX64" s="122"/>
      <c r="CY64" s="434">
        <f>-[51]foreigndebt!CX169</f>
        <v>0</v>
      </c>
      <c r="CZ64" s="375"/>
      <c r="DB64" s="82"/>
      <c r="DC64" s="122"/>
      <c r="DD64" s="434">
        <f>-[51]foreigndebt!DC169</f>
        <v>0</v>
      </c>
      <c r="DE64" s="375"/>
      <c r="DG64" s="82"/>
      <c r="DH64" s="122"/>
      <c r="DI64" s="434">
        <f>-[51]foreigndebt!DH169</f>
        <v>0</v>
      </c>
      <c r="DJ64" s="375"/>
      <c r="DL64" s="82"/>
      <c r="DM64" s="122"/>
      <c r="DN64" s="434">
        <f>-[51]foreigndebt!DM169</f>
        <v>0</v>
      </c>
      <c r="DO64" s="375"/>
      <c r="DQ64" s="82"/>
      <c r="DR64" s="122"/>
      <c r="DS64" s="434">
        <f>-[51]foreigndebt!DR169</f>
        <v>0</v>
      </c>
      <c r="DT64" s="375"/>
      <c r="DV64" s="82"/>
      <c r="DW64" s="122"/>
      <c r="DX64" s="434">
        <f>-[51]foreigndebt!DW169</f>
        <v>0</v>
      </c>
      <c r="DY64" s="375"/>
      <c r="EA64" s="82"/>
      <c r="EB64" s="122"/>
      <c r="EC64" s="434">
        <f>-[51]foreigndebt!EB169</f>
        <v>0</v>
      </c>
      <c r="ED64" s="375"/>
      <c r="EF64" s="82"/>
      <c r="EG64" s="122"/>
      <c r="EH64" s="434">
        <f>-[51]foreigndebt!EG169</f>
        <v>0</v>
      </c>
      <c r="EI64" s="375"/>
      <c r="EK64" s="82"/>
      <c r="EL64" s="122"/>
      <c r="EM64" s="434">
        <f>-[51]foreigndebt!EL169</f>
        <v>0</v>
      </c>
      <c r="EN64" s="375"/>
      <c r="EP64" s="244"/>
      <c r="ES64" s="451"/>
      <c r="ET64" s="451">
        <f t="shared" si="0"/>
        <v>0</v>
      </c>
    </row>
    <row r="65" spans="3:150" x14ac:dyDescent="0.2">
      <c r="C65" s="244"/>
      <c r="E65" s="139"/>
      <c r="F65" s="122"/>
      <c r="G65" s="204"/>
      <c r="H65" s="438"/>
      <c r="I65" s="158"/>
      <c r="K65" s="82"/>
      <c r="L65" s="204"/>
      <c r="M65" s="438"/>
      <c r="N65" s="158"/>
      <c r="P65" s="82"/>
      <c r="Q65" s="204"/>
      <c r="R65" s="438"/>
      <c r="S65" s="158"/>
      <c r="U65" s="82"/>
      <c r="V65" s="204"/>
      <c r="W65" s="438"/>
      <c r="X65" s="158"/>
      <c r="Z65" s="82"/>
      <c r="AA65" s="204"/>
      <c r="AB65" s="438"/>
      <c r="AC65" s="158"/>
      <c r="AE65" s="82"/>
      <c r="AF65" s="204"/>
      <c r="AG65" s="438"/>
      <c r="AH65" s="158"/>
      <c r="AJ65" s="82"/>
      <c r="AK65" s="204"/>
      <c r="AL65" s="438"/>
      <c r="AM65" s="158"/>
      <c r="AO65" s="82"/>
      <c r="AP65" s="204"/>
      <c r="AQ65" s="438"/>
      <c r="AR65" s="158"/>
      <c r="AT65" s="82"/>
      <c r="AU65" s="204"/>
      <c r="AV65" s="438"/>
      <c r="AW65" s="158"/>
      <c r="AY65" s="82"/>
      <c r="AZ65" s="204"/>
      <c r="BA65" s="438"/>
      <c r="BB65" s="158"/>
      <c r="BD65" s="82"/>
      <c r="BE65" s="204"/>
      <c r="BF65" s="438"/>
      <c r="BG65" s="158"/>
      <c r="BI65" s="82"/>
      <c r="BJ65" s="204"/>
      <c r="BK65" s="438"/>
      <c r="BL65" s="158"/>
      <c r="BN65" s="82"/>
      <c r="BO65" s="204"/>
      <c r="BP65" s="438"/>
      <c r="BQ65" s="158"/>
      <c r="BS65" s="82"/>
      <c r="BT65" s="204"/>
      <c r="BU65" s="438"/>
      <c r="BV65" s="158"/>
      <c r="BX65" s="82"/>
      <c r="BY65" s="204"/>
      <c r="BZ65" s="175"/>
      <c r="CA65" s="158"/>
      <c r="CC65" s="82"/>
      <c r="CD65" s="204"/>
      <c r="CE65" s="438"/>
      <c r="CF65" s="158"/>
      <c r="CH65" s="82"/>
      <c r="CI65" s="204"/>
      <c r="CJ65" s="438"/>
      <c r="CK65" s="158"/>
      <c r="CM65" s="82"/>
      <c r="CN65" s="204"/>
      <c r="CO65" s="438"/>
      <c r="CP65" s="158"/>
      <c r="CR65" s="82"/>
      <c r="CS65" s="204"/>
      <c r="CT65" s="438"/>
      <c r="CU65" s="158"/>
      <c r="CW65" s="82"/>
      <c r="CX65" s="204"/>
      <c r="CY65" s="438"/>
      <c r="CZ65" s="158"/>
      <c r="DB65" s="82"/>
      <c r="DC65" s="204"/>
      <c r="DD65" s="438"/>
      <c r="DE65" s="158"/>
      <c r="DG65" s="82"/>
      <c r="DH65" s="204"/>
      <c r="DI65" s="438"/>
      <c r="DJ65" s="158"/>
      <c r="DL65" s="82"/>
      <c r="DM65" s="204"/>
      <c r="DN65" s="438"/>
      <c r="DO65" s="158"/>
      <c r="DQ65" s="82"/>
      <c r="DR65" s="204"/>
      <c r="DS65" s="438"/>
      <c r="DT65" s="158"/>
      <c r="DV65" s="82"/>
      <c r="DW65" s="204"/>
      <c r="DX65" s="438"/>
      <c r="DY65" s="158"/>
      <c r="EA65" s="82"/>
      <c r="EB65" s="204"/>
      <c r="EC65" s="438"/>
      <c r="ED65" s="158"/>
      <c r="EF65" s="82"/>
      <c r="EG65" s="204"/>
      <c r="EH65" s="438"/>
      <c r="EI65" s="158"/>
      <c r="EK65" s="82"/>
      <c r="EL65" s="204"/>
      <c r="EM65" s="438"/>
      <c r="EN65" s="158"/>
      <c r="EP65" s="244"/>
      <c r="ES65" s="451"/>
      <c r="ET65" s="451">
        <f t="shared" si="0"/>
        <v>0</v>
      </c>
    </row>
    <row r="66" spans="3:150" x14ac:dyDescent="0.2">
      <c r="C66" s="244"/>
      <c r="E66" s="139"/>
      <c r="F66" s="122"/>
      <c r="G66" s="93"/>
      <c r="K66" s="82"/>
      <c r="P66" s="82"/>
      <c r="U66" s="82"/>
      <c r="Z66" s="82"/>
      <c r="AE66" s="82"/>
      <c r="AJ66" s="82"/>
      <c r="AO66" s="82"/>
      <c r="AT66" s="82"/>
      <c r="AY66" s="82"/>
      <c r="BD66" s="82"/>
      <c r="BI66" s="82"/>
      <c r="BN66" s="82"/>
      <c r="BS66" s="82"/>
      <c r="BX66" s="82"/>
      <c r="BZ66" s="477"/>
      <c r="CC66" s="82"/>
      <c r="CH66" s="82"/>
      <c r="CM66" s="82"/>
      <c r="CR66" s="82"/>
      <c r="CW66" s="82"/>
      <c r="DB66" s="82"/>
      <c r="DG66" s="82"/>
      <c r="DL66" s="82"/>
      <c r="DQ66" s="82"/>
      <c r="DV66" s="82"/>
      <c r="EA66" s="82"/>
      <c r="EF66" s="82"/>
      <c r="EK66" s="82"/>
      <c r="EP66" s="244"/>
      <c r="ES66" s="451"/>
      <c r="ET66" s="451">
        <f t="shared" si="0"/>
        <v>0</v>
      </c>
    </row>
    <row r="67" spans="3:150" s="451" customFormat="1" x14ac:dyDescent="0.2">
      <c r="C67" s="484" t="s">
        <v>324</v>
      </c>
      <c r="E67" s="336" t="s">
        <v>325</v>
      </c>
      <c r="F67" s="437"/>
      <c r="G67" s="107"/>
      <c r="H67" s="416">
        <f>SUM(H68:H75)</f>
        <v>-52440099.997653</v>
      </c>
      <c r="I67" s="416"/>
      <c r="J67" s="416"/>
      <c r="K67" s="468"/>
      <c r="L67" s="416"/>
      <c r="M67" s="451">
        <f>SUM(M68:M75)</f>
        <v>-18499278.953769997</v>
      </c>
      <c r="P67" s="138"/>
      <c r="R67" s="451">
        <f>SUM(R68:R75)</f>
        <v>537410.36356998235</v>
      </c>
      <c r="U67" s="138"/>
      <c r="W67" s="451">
        <f>SUM(W68:W75)</f>
        <v>-23974845.376640022</v>
      </c>
      <c r="Z67" s="138"/>
      <c r="AB67" s="451">
        <f>SUM(AB68:AB75)</f>
        <v>-39272434.960170001</v>
      </c>
      <c r="AE67" s="138"/>
      <c r="AG67" s="451">
        <f>SUM(AG68:AG75)</f>
        <v>32418642.456500009</v>
      </c>
      <c r="AJ67" s="138"/>
      <c r="AL67" s="451">
        <f>SUM(AL68:AL75)</f>
        <v>-8875713.0291699618</v>
      </c>
      <c r="AO67" s="138"/>
      <c r="AQ67" s="451">
        <f>SUM(AQ68:AQ75)</f>
        <v>-36949546.152860001</v>
      </c>
      <c r="AT67" s="138"/>
      <c r="AV67" s="451">
        <f>SUM(AV68:AV75)</f>
        <v>-18096631.773589998</v>
      </c>
      <c r="AY67" s="138"/>
      <c r="BA67" s="451">
        <f>SUM(BA68:BA75)</f>
        <v>-17747258.769499987</v>
      </c>
      <c r="BD67" s="138"/>
      <c r="BF67" s="451">
        <f>SUM(BF68:BF75)</f>
        <v>25860728.776310012</v>
      </c>
      <c r="BI67" s="138"/>
      <c r="BK67" s="451">
        <f>SUM(BK68:BK75)</f>
        <v>-16055785.20701997</v>
      </c>
      <c r="BN67" s="138"/>
      <c r="BP67" s="451">
        <f>SUM(BP68:BP75)</f>
        <v>29488304.623150021</v>
      </c>
      <c r="BS67" s="138"/>
      <c r="BU67" s="451">
        <f>SUM(BU68:BU75)</f>
        <v>-91166408.003189921</v>
      </c>
      <c r="BX67" s="138"/>
      <c r="BZ67" s="265">
        <f>SUM(BZ68:BZ75)</f>
        <v>-1669085.7470803251</v>
      </c>
      <c r="CA67" s="416"/>
      <c r="CB67" s="416"/>
      <c r="CC67" s="468"/>
      <c r="CD67" s="416"/>
      <c r="CE67" s="416">
        <f>SUM(CE68:CE75)</f>
        <v>12935068.914269969</v>
      </c>
      <c r="CF67" s="416"/>
      <c r="CG67" s="416"/>
      <c r="CH67" s="468"/>
      <c r="CI67" s="416"/>
      <c r="CJ67" s="451">
        <f>SUM(CJ68:CJ75)</f>
        <v>6028814.930979982</v>
      </c>
      <c r="CM67" s="138"/>
      <c r="CO67" s="451">
        <f>SUM(CO68:CO75)</f>
        <v>-64456252.797279999</v>
      </c>
      <c r="CR67" s="138"/>
      <c r="CT67" s="451">
        <f>SUM(CT68:CT75)</f>
        <v>71916201.470700011</v>
      </c>
      <c r="CW67" s="138"/>
      <c r="CY67" s="451">
        <f>SUM(CY68:CY75)</f>
        <v>-5938593.6452499926</v>
      </c>
      <c r="DB67" s="138"/>
      <c r="DD67" s="451">
        <f>SUM(DD68:DD75)</f>
        <v>-87185842.274320006</v>
      </c>
      <c r="DG67" s="138"/>
      <c r="DI67" s="451">
        <f>SUM(DI68:DI75)</f>
        <v>4292248.4650700213</v>
      </c>
      <c r="DL67" s="138"/>
      <c r="DN67" s="451">
        <f>SUM(DN68:DN75)</f>
        <v>-21698105.034100011</v>
      </c>
      <c r="DQ67" s="138"/>
      <c r="DS67" s="451">
        <f>SUM(DS68:DS75)</f>
        <v>-5176181.2250600038</v>
      </c>
      <c r="DV67" s="138"/>
      <c r="DX67" s="451">
        <f>SUM(DX68:DX75)</f>
        <v>31144738.333759978</v>
      </c>
      <c r="EA67" s="138"/>
      <c r="EC67" s="451">
        <f>SUM(EC68:EC75)</f>
        <v>-28811986.091639996</v>
      </c>
      <c r="EF67" s="138"/>
      <c r="EH67" s="451">
        <f>SUM(EH68:EH75)</f>
        <v>85280804.057520032</v>
      </c>
      <c r="EK67" s="138"/>
      <c r="EM67" s="451">
        <f>SUM(EM68:EM75)</f>
        <v>-1669085.8953500111</v>
      </c>
      <c r="EP67" s="484"/>
      <c r="ET67" s="451">
        <f>EM67-BZ67</f>
        <v>-0.14826968591660261</v>
      </c>
    </row>
    <row r="68" spans="3:150" ht="12.75" customHeight="1" x14ac:dyDescent="0.2">
      <c r="C68" s="244" t="s">
        <v>326</v>
      </c>
      <c r="E68" s="139"/>
      <c r="F68" s="122"/>
      <c r="G68" s="388"/>
      <c r="H68" s="457">
        <f>+[51]cashbalances!H12</f>
        <v>-58956332</v>
      </c>
      <c r="I68" s="297"/>
      <c r="K68" s="82"/>
      <c r="L68" s="112"/>
      <c r="M68" s="457">
        <f>+[51]cashbalances!M12</f>
        <v>-18484170</v>
      </c>
      <c r="N68" s="297"/>
      <c r="P68" s="82"/>
      <c r="Q68" s="112"/>
      <c r="R68" s="457">
        <f>+[51]cashbalances!R12</f>
        <v>3349854</v>
      </c>
      <c r="S68" s="297"/>
      <c r="U68" s="82"/>
      <c r="V68" s="112"/>
      <c r="W68" s="457">
        <f>+[51]cashbalances!W12</f>
        <v>-22973000</v>
      </c>
      <c r="X68" s="297"/>
      <c r="Z68" s="82"/>
      <c r="AA68" s="112"/>
      <c r="AB68" s="457">
        <f>+[51]cashbalances!AB12</f>
        <v>-53649787</v>
      </c>
      <c r="AC68" s="297"/>
      <c r="AE68" s="82"/>
      <c r="AF68" s="112"/>
      <c r="AG68" s="457">
        <f>+[51]cashbalances!AG12</f>
        <v>41961434</v>
      </c>
      <c r="AH68" s="297"/>
      <c r="AJ68" s="82"/>
      <c r="AK68" s="112"/>
      <c r="AL68" s="457">
        <f>+[51]cashbalances!AL12</f>
        <v>-13252498</v>
      </c>
      <c r="AM68" s="297"/>
      <c r="AO68" s="82"/>
      <c r="AP68" s="112"/>
      <c r="AQ68" s="457">
        <f>+[51]cashbalances!AQ12</f>
        <v>-40961985</v>
      </c>
      <c r="AR68" s="297"/>
      <c r="AT68" s="82"/>
      <c r="AU68" s="112"/>
      <c r="AV68" s="457">
        <f>+[51]cashbalances!AV12</f>
        <v>-19510192</v>
      </c>
      <c r="AW68" s="297"/>
      <c r="AY68" s="82"/>
      <c r="AZ68" s="112"/>
      <c r="BA68" s="457">
        <f>+[51]cashbalances!BA12</f>
        <v>-18762903</v>
      </c>
      <c r="BB68" s="297"/>
      <c r="BD68" s="82"/>
      <c r="BE68" s="112"/>
      <c r="BF68" s="457">
        <f>+[51]cashbalances!BF12</f>
        <v>-420333</v>
      </c>
      <c r="BG68" s="297"/>
      <c r="BI68" s="82"/>
      <c r="BJ68" s="112"/>
      <c r="BK68" s="457">
        <f>+[51]cashbalances!BK12</f>
        <v>-11986294</v>
      </c>
      <c r="BL68" s="297"/>
      <c r="BN68" s="82"/>
      <c r="BO68" s="112"/>
      <c r="BP68" s="457">
        <f>+[51]cashbalances!BP12</f>
        <v>52747862</v>
      </c>
      <c r="BQ68" s="297"/>
      <c r="BS68" s="82"/>
      <c r="BT68" s="112"/>
      <c r="BU68" s="457">
        <f>+[51]cashbalances!BU12</f>
        <v>-101942012</v>
      </c>
      <c r="BV68" s="297"/>
      <c r="BX68" s="82"/>
      <c r="BY68" s="112"/>
      <c r="BZ68" s="246">
        <f>+[51]cashbalances!BZ12</f>
        <v>2473985</v>
      </c>
      <c r="CA68" s="297"/>
      <c r="CC68" s="82"/>
      <c r="CD68" s="112"/>
      <c r="CE68" s="194">
        <f>+[51]cashbalances!CE12</f>
        <v>39161985</v>
      </c>
      <c r="CF68" s="360"/>
      <c r="CG68" s="256"/>
      <c r="CH68" s="156"/>
      <c r="CI68" s="332"/>
      <c r="CJ68" s="457">
        <f>+[51]cashbalances!CJ12</f>
        <v>6533576</v>
      </c>
      <c r="CK68" s="297"/>
      <c r="CM68" s="82"/>
      <c r="CN68" s="112"/>
      <c r="CO68" s="457">
        <f>+[51]cashbalances!CO12</f>
        <v>-80194837</v>
      </c>
      <c r="CP68" s="297"/>
      <c r="CR68" s="82"/>
      <c r="CS68" s="112"/>
      <c r="CT68" s="457">
        <f>+[51]cashbalances!CT12</f>
        <v>71485782</v>
      </c>
      <c r="CU68" s="297"/>
      <c r="CW68" s="82"/>
      <c r="CX68" s="112"/>
      <c r="CY68" s="457">
        <f>+[51]cashbalances!CY12</f>
        <v>10515236</v>
      </c>
      <c r="CZ68" s="297"/>
      <c r="DB68" s="82"/>
      <c r="DC68" s="112"/>
      <c r="DD68" s="457">
        <f>+[51]cashbalances!DD12</f>
        <v>-104528279</v>
      </c>
      <c r="DE68" s="297"/>
      <c r="DG68" s="82"/>
      <c r="DH68" s="112"/>
      <c r="DI68" s="457">
        <f>+[51]cashbalances!DI12</f>
        <v>2731873</v>
      </c>
      <c r="DJ68" s="297"/>
      <c r="DL68" s="82"/>
      <c r="DM68" s="112"/>
      <c r="DN68" s="457">
        <f>+[51]cashbalances!DN12</f>
        <v>-9369739</v>
      </c>
      <c r="DO68" s="297"/>
      <c r="DQ68" s="82"/>
      <c r="DR68" s="112"/>
      <c r="DS68" s="457">
        <f>+[51]cashbalances!DS12</f>
        <v>-7896523</v>
      </c>
      <c r="DT68" s="297"/>
      <c r="DV68" s="82"/>
      <c r="DW68" s="112"/>
      <c r="DX68" s="457">
        <f>+[51]cashbalances!DX12</f>
        <v>33364654</v>
      </c>
      <c r="DY68" s="297"/>
      <c r="EA68" s="82"/>
      <c r="EB68" s="112"/>
      <c r="EC68" s="457">
        <f>+[51]cashbalances!EC12</f>
        <v>-27939762</v>
      </c>
      <c r="ED68" s="297"/>
      <c r="EF68" s="82"/>
      <c r="EG68" s="112"/>
      <c r="EH68" s="457">
        <f>+[51]cashbalances!EH12</f>
        <v>68610019</v>
      </c>
      <c r="EI68" s="297"/>
      <c r="EK68" s="82"/>
      <c r="EL68" s="112"/>
      <c r="EM68" s="457">
        <f>+[51]cashbalances!EM12</f>
        <v>2473985</v>
      </c>
      <c r="EN68" s="297"/>
      <c r="EP68" s="244"/>
      <c r="ES68" s="451"/>
      <c r="ET68" s="451">
        <f t="shared" si="0"/>
        <v>0</v>
      </c>
    </row>
    <row r="69" spans="3:150" ht="12.75" hidden="1" customHeight="1" x14ac:dyDescent="0.2">
      <c r="C69" s="244" t="s">
        <v>327</v>
      </c>
      <c r="E69" s="139"/>
      <c r="F69" s="122"/>
      <c r="G69" s="122"/>
      <c r="I69" s="375"/>
      <c r="K69" s="82"/>
      <c r="L69" s="82"/>
      <c r="N69" s="375"/>
      <c r="P69" s="82"/>
      <c r="Q69" s="82"/>
      <c r="S69" s="375"/>
      <c r="U69" s="82"/>
      <c r="V69" s="82"/>
      <c r="X69" s="375"/>
      <c r="Z69" s="82"/>
      <c r="AA69" s="82"/>
      <c r="AC69" s="375"/>
      <c r="AE69" s="82"/>
      <c r="AF69" s="82"/>
      <c r="AH69" s="375"/>
      <c r="AJ69" s="82"/>
      <c r="AK69" s="82"/>
      <c r="AM69" s="375"/>
      <c r="AO69" s="82"/>
      <c r="AP69" s="82"/>
      <c r="AR69" s="375"/>
      <c r="AT69" s="82"/>
      <c r="AU69" s="82"/>
      <c r="AW69" s="375"/>
      <c r="AY69" s="82"/>
      <c r="AZ69" s="82"/>
      <c r="BB69" s="375"/>
      <c r="BD69" s="82"/>
      <c r="BE69" s="82"/>
      <c r="BG69" s="375"/>
      <c r="BI69" s="82"/>
      <c r="BJ69" s="82"/>
      <c r="BL69" s="375"/>
      <c r="BN69" s="82"/>
      <c r="BO69" s="82"/>
      <c r="BQ69" s="375"/>
      <c r="BS69" s="82"/>
      <c r="BT69" s="82"/>
      <c r="BV69" s="375"/>
      <c r="BX69" s="82"/>
      <c r="BY69" s="82"/>
      <c r="BZ69" s="477"/>
      <c r="CA69" s="375"/>
      <c r="CC69" s="82"/>
      <c r="CD69" s="82"/>
      <c r="CF69" s="375"/>
      <c r="CH69" s="82"/>
      <c r="CI69" s="82"/>
      <c r="CK69" s="375"/>
      <c r="CM69" s="82"/>
      <c r="CN69" s="82"/>
      <c r="CP69" s="375"/>
      <c r="CR69" s="82"/>
      <c r="CS69" s="82"/>
      <c r="CU69" s="375"/>
      <c r="CW69" s="82"/>
      <c r="CX69" s="82"/>
      <c r="CZ69" s="375"/>
      <c r="DB69" s="82"/>
      <c r="DC69" s="82"/>
      <c r="DE69" s="375"/>
      <c r="DG69" s="82"/>
      <c r="DH69" s="82"/>
      <c r="DJ69" s="375"/>
      <c r="DL69" s="82"/>
      <c r="DM69" s="82"/>
      <c r="DO69" s="375"/>
      <c r="DQ69" s="82"/>
      <c r="DR69" s="82"/>
      <c r="DT69" s="375"/>
      <c r="DV69" s="82"/>
      <c r="DW69" s="82"/>
      <c r="DY69" s="375"/>
      <c r="EA69" s="82"/>
      <c r="EB69" s="82"/>
      <c r="ED69" s="375"/>
      <c r="EF69" s="82"/>
      <c r="EG69" s="82"/>
      <c r="EI69" s="375"/>
      <c r="EK69" s="82"/>
      <c r="EL69" s="82"/>
      <c r="EN69" s="375"/>
      <c r="EP69" s="244"/>
      <c r="ES69" s="451"/>
      <c r="ET69" s="451">
        <f t="shared" si="0"/>
        <v>0</v>
      </c>
    </row>
    <row r="70" spans="3:150" ht="12.75" customHeight="1" x14ac:dyDescent="0.2">
      <c r="C70" s="244" t="s">
        <v>327</v>
      </c>
      <c r="E70" s="139"/>
      <c r="F70" s="122"/>
      <c r="G70" s="122"/>
      <c r="H70" s="12">
        <f>+[51]cashbalances!H23</f>
        <v>0</v>
      </c>
      <c r="I70" s="375"/>
      <c r="K70" s="82"/>
      <c r="L70" s="82"/>
      <c r="M70" s="12">
        <f>+[51]cashbalances!M23</f>
        <v>34143659</v>
      </c>
      <c r="N70" s="375"/>
      <c r="P70" s="82"/>
      <c r="Q70" s="82"/>
      <c r="R70" s="12">
        <f>+[51]cashbalances!R23</f>
        <v>-4349966</v>
      </c>
      <c r="S70" s="375"/>
      <c r="U70" s="82"/>
      <c r="V70" s="82"/>
      <c r="W70" s="12">
        <f>+[51]cashbalances!W23</f>
        <v>2527515</v>
      </c>
      <c r="X70" s="375"/>
      <c r="Z70" s="82"/>
      <c r="AA70" s="82"/>
      <c r="AB70" s="12">
        <f>+[51]cashbalances!AB23</f>
        <v>-24856159</v>
      </c>
      <c r="AC70" s="375"/>
      <c r="AE70" s="82"/>
      <c r="AF70" s="82"/>
      <c r="AG70" s="12">
        <f>+[51]cashbalances!AG23</f>
        <v>26866570</v>
      </c>
      <c r="AH70" s="375"/>
      <c r="AJ70" s="82"/>
      <c r="AK70" s="82"/>
      <c r="AL70" s="12">
        <f>+[51]cashbalances!AL23</f>
        <v>-5977613</v>
      </c>
      <c r="AM70" s="375"/>
      <c r="AO70" s="82"/>
      <c r="AP70" s="82"/>
      <c r="AQ70" s="12">
        <f>+[51]cashbalances!AQ23</f>
        <v>15416167</v>
      </c>
      <c r="AR70" s="375"/>
      <c r="AT70" s="82"/>
      <c r="AU70" s="82"/>
      <c r="AV70" s="12">
        <f>+[51]cashbalances!AV23</f>
        <v>-315227</v>
      </c>
      <c r="AW70" s="375"/>
      <c r="AY70" s="82"/>
      <c r="AZ70" s="82"/>
      <c r="BA70" s="12">
        <f>+[51]cashbalances!BA23</f>
        <v>-6539100</v>
      </c>
      <c r="BB70" s="375"/>
      <c r="BD70" s="82"/>
      <c r="BE70" s="82"/>
      <c r="BF70" s="12">
        <f>+[51]cashbalances!BF23</f>
        <v>59957836</v>
      </c>
      <c r="BG70" s="375"/>
      <c r="BI70" s="82"/>
      <c r="BJ70" s="82"/>
      <c r="BK70" s="12">
        <f>+[51]cashbalances!BK23</f>
        <v>-1550683</v>
      </c>
      <c r="BL70" s="375"/>
      <c r="BN70" s="82"/>
      <c r="BO70" s="82"/>
      <c r="BP70" s="12">
        <f>+[51]cashbalances!BP23</f>
        <v>-80682653</v>
      </c>
      <c r="BQ70" s="375"/>
      <c r="BS70" s="82"/>
      <c r="BT70" s="82"/>
      <c r="BU70" s="12">
        <f>+[51]cashbalances!BU23</f>
        <v>14640346</v>
      </c>
      <c r="BV70" s="375"/>
      <c r="BX70" s="82"/>
      <c r="BY70" s="82"/>
      <c r="BZ70" s="477">
        <f>+[51]cashbalances!BZ23</f>
        <v>-17008126</v>
      </c>
      <c r="CA70" s="375"/>
      <c r="CC70" s="82"/>
      <c r="CD70" s="82"/>
      <c r="CE70" s="12">
        <f>+[51]cashbalances!CE23</f>
        <v>-17895405</v>
      </c>
      <c r="CF70" s="375"/>
      <c r="CH70" s="82"/>
      <c r="CI70" s="82"/>
      <c r="CJ70" s="12">
        <f>+[51]cashbalances!CJ23</f>
        <v>-2162772</v>
      </c>
      <c r="CK70" s="375"/>
      <c r="CM70" s="82"/>
      <c r="CN70" s="82"/>
      <c r="CO70" s="12">
        <f>+[51]cashbalances!CO23</f>
        <v>1746060</v>
      </c>
      <c r="CP70" s="375"/>
      <c r="CR70" s="82"/>
      <c r="CS70" s="82"/>
      <c r="CT70" s="12">
        <f>+[51]cashbalances!CT23</f>
        <v>9207825</v>
      </c>
      <c r="CU70" s="375"/>
      <c r="CW70" s="82"/>
      <c r="CX70" s="82"/>
      <c r="CY70" s="12">
        <f>+[51]cashbalances!CY23</f>
        <v>-8222766</v>
      </c>
      <c r="CZ70" s="375"/>
      <c r="DB70" s="82"/>
      <c r="DC70" s="82"/>
      <c r="DD70" s="12">
        <f>+[51]cashbalances!DD23</f>
        <v>21412052</v>
      </c>
      <c r="DE70" s="375"/>
      <c r="DG70" s="82"/>
      <c r="DH70" s="82"/>
      <c r="DI70" s="12">
        <f>+[51]cashbalances!DI23</f>
        <v>67094</v>
      </c>
      <c r="DJ70" s="375"/>
      <c r="DL70" s="82"/>
      <c r="DM70" s="82"/>
      <c r="DN70" s="12">
        <f>+[51]cashbalances!DN23</f>
        <v>5423083</v>
      </c>
      <c r="DO70" s="375"/>
      <c r="DQ70" s="82"/>
      <c r="DR70" s="82"/>
      <c r="DS70" s="12">
        <f>+[51]cashbalances!DS23</f>
        <v>3006040</v>
      </c>
      <c r="DT70" s="375"/>
      <c r="DV70" s="82"/>
      <c r="DW70" s="82"/>
      <c r="DX70" s="12">
        <f>+[51]cashbalances!DX23</f>
        <v>484408</v>
      </c>
      <c r="DY70" s="375"/>
      <c r="EA70" s="82"/>
      <c r="EB70" s="82"/>
      <c r="EC70" s="12">
        <f>+[51]cashbalances!EC23</f>
        <v>4553332</v>
      </c>
      <c r="ED70" s="375"/>
      <c r="EF70" s="82"/>
      <c r="EG70" s="82"/>
      <c r="EH70" s="12">
        <f>+[51]cashbalances!EH23</f>
        <v>-34627077</v>
      </c>
      <c r="EI70" s="375"/>
      <c r="EK70" s="82"/>
      <c r="EL70" s="82"/>
      <c r="EM70" s="12">
        <f>+[51]cashbalances!EM23</f>
        <v>-17008126</v>
      </c>
      <c r="EN70" s="375"/>
      <c r="EP70" s="244"/>
      <c r="ES70" s="451"/>
      <c r="ET70" s="451">
        <f t="shared" si="0"/>
        <v>0</v>
      </c>
    </row>
    <row r="71" spans="3:150" ht="12.75" customHeight="1" x14ac:dyDescent="0.2">
      <c r="C71" s="193" t="s">
        <v>328</v>
      </c>
      <c r="E71" s="139"/>
      <c r="F71" s="122"/>
      <c r="G71" s="122"/>
      <c r="H71" s="12">
        <f>+[51]cashbalances!H25</f>
        <v>0</v>
      </c>
      <c r="I71" s="375"/>
      <c r="K71" s="82"/>
      <c r="L71" s="82"/>
      <c r="M71" s="12">
        <f>[51]cashbalances!M25</f>
        <v>0</v>
      </c>
      <c r="N71" s="375"/>
      <c r="P71" s="82"/>
      <c r="Q71" s="82"/>
      <c r="R71" s="12">
        <f>[51]cashbalances!R25</f>
        <v>0</v>
      </c>
      <c r="S71" s="375"/>
      <c r="U71" s="82"/>
      <c r="V71" s="82"/>
      <c r="W71" s="12">
        <f>[51]cashbalances!W25</f>
        <v>0</v>
      </c>
      <c r="X71" s="375"/>
      <c r="Z71" s="82"/>
      <c r="AA71" s="82"/>
      <c r="AB71" s="12">
        <f>[51]cashbalances!AB25</f>
        <v>0</v>
      </c>
      <c r="AC71" s="375"/>
      <c r="AE71" s="82"/>
      <c r="AF71" s="82"/>
      <c r="AG71" s="12">
        <f>[51]cashbalances!AG25</f>
        <v>0</v>
      </c>
      <c r="AH71" s="375"/>
      <c r="AJ71" s="82"/>
      <c r="AK71" s="82"/>
      <c r="AL71" s="12">
        <f>[51]cashbalances!AL25</f>
        <v>0</v>
      </c>
      <c r="AM71" s="375"/>
      <c r="AO71" s="82"/>
      <c r="AP71" s="82"/>
      <c r="AQ71" s="12">
        <f>[51]cashbalances!AQ25</f>
        <v>0</v>
      </c>
      <c r="AR71" s="375"/>
      <c r="AT71" s="82"/>
      <c r="AU71" s="82"/>
      <c r="AV71" s="12">
        <f>[51]cashbalances!AV25</f>
        <v>0</v>
      </c>
      <c r="AW71" s="375"/>
      <c r="AY71" s="82"/>
      <c r="AZ71" s="82"/>
      <c r="BA71" s="12">
        <f>[51]cashbalances!BA25</f>
        <v>0</v>
      </c>
      <c r="BB71" s="375"/>
      <c r="BD71" s="82"/>
      <c r="BE71" s="82"/>
      <c r="BF71" s="12">
        <f>[51]cashbalances!BF25</f>
        <v>0</v>
      </c>
      <c r="BG71" s="375"/>
      <c r="BI71" s="82"/>
      <c r="BJ71" s="82"/>
      <c r="BK71" s="12">
        <f>[51]cashbalances!BK25</f>
        <v>0</v>
      </c>
      <c r="BL71" s="375"/>
      <c r="BN71" s="82"/>
      <c r="BO71" s="82"/>
      <c r="BP71" s="12">
        <f>[51]cashbalances!BP25</f>
        <v>0</v>
      </c>
      <c r="BQ71" s="375"/>
      <c r="BS71" s="82"/>
      <c r="BT71" s="82"/>
      <c r="BU71" s="12">
        <f>[51]cashbalances!BU25</f>
        <v>0</v>
      </c>
      <c r="BV71" s="375"/>
      <c r="BX71" s="82"/>
      <c r="BY71" s="82"/>
      <c r="BZ71" s="477">
        <f>+[51]cashbalances!BZ25</f>
        <v>2087301.7651195501</v>
      </c>
      <c r="CA71" s="375"/>
      <c r="CC71" s="82"/>
      <c r="CD71" s="82"/>
      <c r="CE71" s="12">
        <f>[51]cashbalances!CE25</f>
        <v>0</v>
      </c>
      <c r="CF71" s="375"/>
      <c r="CH71" s="82"/>
      <c r="CI71" s="82"/>
      <c r="CJ71" s="12">
        <f>[51]cashbalances!CJ25</f>
        <v>0</v>
      </c>
      <c r="CK71" s="375"/>
      <c r="CM71" s="82"/>
      <c r="CN71" s="82"/>
      <c r="CO71" s="12">
        <f>[51]cashbalances!CO25</f>
        <v>0</v>
      </c>
      <c r="CP71" s="375"/>
      <c r="CR71" s="82"/>
      <c r="CS71" s="82"/>
      <c r="CT71" s="12">
        <f>[51]cashbalances!CT25</f>
        <v>0</v>
      </c>
      <c r="CU71" s="375"/>
      <c r="CW71" s="82"/>
      <c r="CX71" s="82"/>
      <c r="CY71" s="12">
        <f>[51]cashbalances!CY25</f>
        <v>0</v>
      </c>
      <c r="CZ71" s="375"/>
      <c r="DB71" s="82"/>
      <c r="DC71" s="82"/>
      <c r="DD71" s="12">
        <f>[51]cashbalances!DD25</f>
        <v>0</v>
      </c>
      <c r="DE71" s="375"/>
      <c r="DG71" s="82"/>
      <c r="DH71" s="82"/>
      <c r="DI71" s="12">
        <f>[51]cashbalances!DI25</f>
        <v>0</v>
      </c>
      <c r="DJ71" s="375"/>
      <c r="DL71" s="82"/>
      <c r="DM71" s="82"/>
      <c r="DN71" s="12">
        <f>[51]cashbalances!DN25</f>
        <v>0</v>
      </c>
      <c r="DO71" s="375"/>
      <c r="DQ71" s="82"/>
      <c r="DR71" s="82"/>
      <c r="DS71" s="12">
        <f>[51]cashbalances!DS25</f>
        <v>0</v>
      </c>
      <c r="DT71" s="375"/>
      <c r="DV71" s="82"/>
      <c r="DW71" s="82"/>
      <c r="DX71" s="12">
        <f>[51]cashbalances!DX25</f>
        <v>0</v>
      </c>
      <c r="DY71" s="375"/>
      <c r="EA71" s="82"/>
      <c r="EB71" s="82"/>
      <c r="EC71" s="12">
        <f>[51]cashbalances!EC25</f>
        <v>0</v>
      </c>
      <c r="ED71" s="375"/>
      <c r="EF71" s="82"/>
      <c r="EG71" s="82"/>
      <c r="EH71" s="12">
        <f>[51]cashbalances!EH25</f>
        <v>2087301.7651195501</v>
      </c>
      <c r="EI71" s="375"/>
      <c r="EK71" s="82"/>
      <c r="EL71" s="82"/>
      <c r="EM71" s="12">
        <f>[51]cashbalances!EM25</f>
        <v>2087301.7651195501</v>
      </c>
      <c r="EN71" s="375"/>
      <c r="EP71" s="244"/>
      <c r="ES71" s="451"/>
      <c r="ET71" s="451">
        <f>EM71-BZ71</f>
        <v>0</v>
      </c>
    </row>
    <row r="72" spans="3:150" ht="12.75" customHeight="1" x14ac:dyDescent="0.2">
      <c r="C72" s="244" t="s">
        <v>329</v>
      </c>
      <c r="E72" s="139"/>
      <c r="F72" s="122"/>
      <c r="G72" s="122"/>
      <c r="H72" s="12">
        <f>+[51]cashbalances!H27</f>
        <v>6516232.0023469981</v>
      </c>
      <c r="I72" s="375"/>
      <c r="K72" s="82"/>
      <c r="L72" s="82"/>
      <c r="M72" s="12">
        <f>+[51]cashbalances!M27</f>
        <v>0</v>
      </c>
      <c r="N72" s="375"/>
      <c r="P72" s="82"/>
      <c r="Q72" s="82"/>
      <c r="R72" s="12">
        <f>+[51]cashbalances!R27</f>
        <v>871744.25600000005</v>
      </c>
      <c r="S72" s="375"/>
      <c r="U72" s="82"/>
      <c r="V72" s="82"/>
      <c r="W72" s="12">
        <f>+[51]cashbalances!W27</f>
        <v>0</v>
      </c>
      <c r="X72" s="375"/>
      <c r="Z72" s="82"/>
      <c r="AA72" s="82"/>
      <c r="AB72" s="12">
        <f>+[51]cashbalances!AB27</f>
        <v>126224</v>
      </c>
      <c r="AC72" s="375"/>
      <c r="AE72" s="82"/>
      <c r="AF72" s="82"/>
      <c r="AG72" s="12">
        <f>+[51]cashbalances!AG27</f>
        <v>0</v>
      </c>
      <c r="AH72" s="375"/>
      <c r="AJ72" s="82"/>
      <c r="AK72" s="82"/>
      <c r="AL72" s="12">
        <f>+[51]cashbalances!AL27</f>
        <v>3836</v>
      </c>
      <c r="AM72" s="375"/>
      <c r="AO72" s="82"/>
      <c r="AP72" s="82"/>
      <c r="AQ72" s="12">
        <f>+[51]cashbalances!AQ27</f>
        <v>1831061</v>
      </c>
      <c r="AR72" s="375"/>
      <c r="AT72" s="82"/>
      <c r="AU72" s="82"/>
      <c r="AV72" s="12">
        <f>+[51]cashbalances!AV27</f>
        <v>2236273</v>
      </c>
      <c r="AW72" s="375"/>
      <c r="AY72" s="82"/>
      <c r="AZ72" s="82"/>
      <c r="BA72" s="12">
        <f>+[51]cashbalances!BA27</f>
        <v>1620990</v>
      </c>
      <c r="BB72" s="375"/>
      <c r="BD72" s="82"/>
      <c r="BE72" s="82"/>
      <c r="BF72" s="12">
        <f>+[51]cashbalances!BF27</f>
        <v>89678</v>
      </c>
      <c r="BG72" s="375"/>
      <c r="BI72" s="82"/>
      <c r="BJ72" s="82"/>
      <c r="BK72" s="12">
        <f>+[51]cashbalances!BK27</f>
        <v>1022787</v>
      </c>
      <c r="BL72" s="375"/>
      <c r="BN72" s="82"/>
      <c r="BO72" s="82"/>
      <c r="BP72" s="12">
        <f>+[51]cashbalances!BP27</f>
        <v>6347564</v>
      </c>
      <c r="BQ72" s="375"/>
      <c r="BS72" s="82"/>
      <c r="BT72" s="82"/>
      <c r="BU72" s="12">
        <f>+[51]cashbalances!BU27</f>
        <v>14150157.256000001</v>
      </c>
      <c r="BV72" s="375"/>
      <c r="BX72" s="82"/>
      <c r="BY72" s="82"/>
      <c r="BZ72" s="477">
        <f>+[51]cashbalances!BZ28</f>
        <v>11826596</v>
      </c>
      <c r="CA72" s="375"/>
      <c r="CC72" s="82"/>
      <c r="CD72" s="82"/>
      <c r="CE72" s="12">
        <f>+[51]cashbalances!CE27</f>
        <v>1285536</v>
      </c>
      <c r="CF72" s="375"/>
      <c r="CH72" s="82"/>
      <c r="CI72" s="82"/>
      <c r="CJ72" s="12">
        <f>+[51]cashbalances!CJ27</f>
        <v>0</v>
      </c>
      <c r="CK72" s="375"/>
      <c r="CM72" s="82"/>
      <c r="CN72" s="82"/>
      <c r="CO72" s="12">
        <f>+[51]cashbalances!CO27</f>
        <v>12272</v>
      </c>
      <c r="CP72" s="375"/>
      <c r="CR72" s="82"/>
      <c r="CS72" s="82"/>
      <c r="CT72" s="12">
        <f>+[51]cashbalances!CT27</f>
        <v>0</v>
      </c>
      <c r="CU72" s="375"/>
      <c r="CW72" s="82"/>
      <c r="CX72" s="82"/>
      <c r="CY72" s="12">
        <f>+[51]cashbalances!CY27</f>
        <v>1736919</v>
      </c>
      <c r="CZ72" s="375"/>
      <c r="DB72" s="82"/>
      <c r="DC72" s="82"/>
      <c r="DD72" s="12">
        <f>+[51]cashbalances!DD27</f>
        <v>245929</v>
      </c>
      <c r="DE72" s="375"/>
      <c r="DG72" s="82"/>
      <c r="DH72" s="82"/>
      <c r="DI72" s="12">
        <f>+[51]cashbalances!DI27</f>
        <v>2261765</v>
      </c>
      <c r="DJ72" s="375"/>
      <c r="DL72" s="82"/>
      <c r="DM72" s="82"/>
      <c r="DN72" s="12">
        <f>+[51]cashbalances!DN27</f>
        <v>1146180</v>
      </c>
      <c r="DO72" s="375"/>
      <c r="DQ72" s="82"/>
      <c r="DR72" s="82"/>
      <c r="DS72" s="12">
        <f>+[51]cashbalances!DS27</f>
        <v>1005353</v>
      </c>
      <c r="DT72" s="375"/>
      <c r="DV72" s="82"/>
      <c r="DW72" s="82"/>
      <c r="DX72" s="12">
        <f>+[51]cashbalances!DX27</f>
        <v>41798</v>
      </c>
      <c r="DY72" s="375"/>
      <c r="EA72" s="82"/>
      <c r="EB72" s="82"/>
      <c r="EC72" s="12">
        <f>+[51]cashbalances!EC27</f>
        <v>360442</v>
      </c>
      <c r="ED72" s="375"/>
      <c r="EF72" s="82"/>
      <c r="EG72" s="82"/>
      <c r="EH72" s="12">
        <f>+[51]cashbalances!EH27</f>
        <v>3730402</v>
      </c>
      <c r="EI72" s="375"/>
      <c r="EK72" s="82"/>
      <c r="EL72" s="82"/>
      <c r="EM72" s="12">
        <f>+[51]cashbalances!EM27</f>
        <v>11826596</v>
      </c>
      <c r="EN72" s="375"/>
      <c r="EP72" s="244"/>
      <c r="ES72" s="451"/>
      <c r="ET72" s="451">
        <f t="shared" si="0"/>
        <v>0</v>
      </c>
    </row>
    <row r="73" spans="3:150" ht="12.75" customHeight="1" x14ac:dyDescent="0.2">
      <c r="C73" s="244" t="s">
        <v>330</v>
      </c>
      <c r="E73" s="139"/>
      <c r="F73" s="122"/>
      <c r="G73" s="122"/>
      <c r="H73" s="12">
        <f>+[51]cashbalances!H32</f>
        <v>0</v>
      </c>
      <c r="I73" s="375"/>
      <c r="K73" s="82"/>
      <c r="L73" s="82"/>
      <c r="M73" s="12">
        <f>+[51]cashbalances!M32</f>
        <v>0</v>
      </c>
      <c r="N73" s="375"/>
      <c r="P73" s="82"/>
      <c r="Q73" s="82"/>
      <c r="R73" s="12">
        <f>+[51]cashbalances!R32</f>
        <v>0</v>
      </c>
      <c r="S73" s="375"/>
      <c r="U73" s="82"/>
      <c r="V73" s="82"/>
      <c r="W73" s="12">
        <f>+[51]cashbalances!W32</f>
        <v>0</v>
      </c>
      <c r="X73" s="375"/>
      <c r="Z73" s="82"/>
      <c r="AA73" s="82"/>
      <c r="AB73" s="12">
        <f>+[51]cashbalances!AB32</f>
        <v>-22185</v>
      </c>
      <c r="AC73" s="375"/>
      <c r="AE73" s="82"/>
      <c r="AF73" s="82"/>
      <c r="AG73" s="12">
        <f>+[51]cashbalances!AG32</f>
        <v>0</v>
      </c>
      <c r="AH73" s="375"/>
      <c r="AJ73" s="82"/>
      <c r="AK73" s="82"/>
      <c r="AL73" s="12">
        <f>+[51]cashbalances!AL32</f>
        <v>0</v>
      </c>
      <c r="AM73" s="375"/>
      <c r="AO73" s="82"/>
      <c r="AP73" s="82"/>
      <c r="AQ73" s="12">
        <f>+[51]cashbalances!AQ32</f>
        <v>0</v>
      </c>
      <c r="AR73" s="375"/>
      <c r="AT73" s="82"/>
      <c r="AU73" s="82"/>
      <c r="AV73" s="12">
        <f>+[51]cashbalances!AV32</f>
        <v>0</v>
      </c>
      <c r="AW73" s="375"/>
      <c r="AY73" s="82"/>
      <c r="AZ73" s="82"/>
      <c r="BA73" s="12">
        <f>+[51]cashbalances!BA32</f>
        <v>0</v>
      </c>
      <c r="BB73" s="375"/>
      <c r="BD73" s="82"/>
      <c r="BE73" s="82"/>
      <c r="BF73" s="12">
        <f>+[51]cashbalances!BF32</f>
        <v>0</v>
      </c>
      <c r="BG73" s="375"/>
      <c r="BI73" s="82"/>
      <c r="BJ73" s="82"/>
      <c r="BK73" s="12">
        <f>+[51]cashbalances!BK32</f>
        <v>0</v>
      </c>
      <c r="BL73" s="375"/>
      <c r="BN73" s="82"/>
      <c r="BO73" s="82"/>
      <c r="BP73" s="12">
        <f>+[51]cashbalances!BP32</f>
        <v>-510</v>
      </c>
      <c r="BQ73" s="375"/>
      <c r="BS73" s="82"/>
      <c r="BT73" s="82"/>
      <c r="BU73" s="12">
        <f>+[51]cashbalances!BU32</f>
        <v>-22695</v>
      </c>
      <c r="BV73" s="375"/>
      <c r="BX73" s="82"/>
      <c r="BY73" s="82"/>
      <c r="BZ73" s="477">
        <f>+[51]cashbalances!BZ32</f>
        <v>-372703</v>
      </c>
      <c r="CA73" s="375"/>
      <c r="CC73" s="82"/>
      <c r="CD73" s="82"/>
      <c r="CE73" s="256">
        <f>+[51]cashbalances!CE32</f>
        <v>0</v>
      </c>
      <c r="CF73" s="432"/>
      <c r="CG73" s="256"/>
      <c r="CH73" s="156"/>
      <c r="CI73" s="156"/>
      <c r="CJ73" s="12">
        <f>+[51]cashbalances!CJ32</f>
        <v>0</v>
      </c>
      <c r="CK73" s="375"/>
      <c r="CM73" s="82"/>
      <c r="CN73" s="82"/>
      <c r="CO73" s="12">
        <f>+[51]cashbalances!CO32</f>
        <v>0</v>
      </c>
      <c r="CP73" s="375"/>
      <c r="CR73" s="82"/>
      <c r="CS73" s="82"/>
      <c r="CT73" s="12">
        <f>+[51]cashbalances!CT32</f>
        <v>0</v>
      </c>
      <c r="CU73" s="375"/>
      <c r="CW73" s="82"/>
      <c r="CX73" s="82"/>
      <c r="CY73" s="12">
        <f>+[51]cashbalances!CY32</f>
        <v>-98</v>
      </c>
      <c r="CZ73" s="375"/>
      <c r="DB73" s="82"/>
      <c r="DC73" s="82"/>
      <c r="DD73" s="12">
        <f>+[51]cashbalances!DD32</f>
        <v>0</v>
      </c>
      <c r="DE73" s="375"/>
      <c r="DG73" s="82"/>
      <c r="DH73" s="82"/>
      <c r="DI73" s="12">
        <f>+[51]cashbalances!DI32</f>
        <v>-372528</v>
      </c>
      <c r="DJ73" s="375"/>
      <c r="DL73" s="82"/>
      <c r="DM73" s="82"/>
      <c r="DN73" s="12">
        <f>+[51]cashbalances!DN32</f>
        <v>0</v>
      </c>
      <c r="DO73" s="375"/>
      <c r="DQ73" s="82"/>
      <c r="DR73" s="82"/>
      <c r="DS73" s="12">
        <f>+[51]cashbalances!DS32</f>
        <v>0</v>
      </c>
      <c r="DT73" s="375"/>
      <c r="DV73" s="82"/>
      <c r="DW73" s="82"/>
      <c r="DX73" s="12">
        <f>+[51]cashbalances!DX32</f>
        <v>0</v>
      </c>
      <c r="DY73" s="375"/>
      <c r="EA73" s="82"/>
      <c r="EB73" s="82"/>
      <c r="EC73" s="12">
        <f>+[51]cashbalances!EC32</f>
        <v>0</v>
      </c>
      <c r="ED73" s="375"/>
      <c r="EF73" s="82"/>
      <c r="EG73" s="82"/>
      <c r="EH73" s="12">
        <f>+[51]cashbalances!EH32</f>
        <v>-77</v>
      </c>
      <c r="EI73" s="375"/>
      <c r="EK73" s="82"/>
      <c r="EL73" s="82"/>
      <c r="EM73" s="12">
        <f>+[51]cashbalances!EM32</f>
        <v>-372703</v>
      </c>
      <c r="EN73" s="375"/>
      <c r="EP73" s="244"/>
      <c r="ES73" s="451"/>
      <c r="ET73" s="451">
        <f t="shared" si="0"/>
        <v>0</v>
      </c>
    </row>
    <row r="74" spans="3:150" ht="12.75" hidden="1" customHeight="1" x14ac:dyDescent="0.2">
      <c r="C74" s="244" t="s">
        <v>331</v>
      </c>
      <c r="E74" s="139"/>
      <c r="F74" s="122"/>
      <c r="G74" s="122"/>
      <c r="I74" s="375"/>
      <c r="K74" s="82"/>
      <c r="L74" s="82"/>
      <c r="N74" s="375"/>
      <c r="P74" s="82"/>
      <c r="Q74" s="82"/>
      <c r="S74" s="375"/>
      <c r="U74" s="82"/>
      <c r="V74" s="82"/>
      <c r="X74" s="375"/>
      <c r="Z74" s="82"/>
      <c r="AA74" s="82"/>
      <c r="AC74" s="375"/>
      <c r="AE74" s="82"/>
      <c r="AF74" s="82"/>
      <c r="AH74" s="375"/>
      <c r="AJ74" s="82"/>
      <c r="AK74" s="82"/>
      <c r="AM74" s="375"/>
      <c r="AO74" s="82"/>
      <c r="AP74" s="82"/>
      <c r="AR74" s="375"/>
      <c r="AT74" s="82"/>
      <c r="AU74" s="82"/>
      <c r="AW74" s="375"/>
      <c r="AY74" s="82"/>
      <c r="AZ74" s="82"/>
      <c r="BB74" s="375"/>
      <c r="BD74" s="82"/>
      <c r="BE74" s="82"/>
      <c r="BG74" s="375"/>
      <c r="BI74" s="82"/>
      <c r="BJ74" s="82"/>
      <c r="BL74" s="375"/>
      <c r="BN74" s="82"/>
      <c r="BO74" s="82"/>
      <c r="BQ74" s="375"/>
      <c r="BS74" s="82"/>
      <c r="BT74" s="82"/>
      <c r="BV74" s="375"/>
      <c r="BX74" s="82"/>
      <c r="BY74" s="82"/>
      <c r="BZ74" s="229"/>
      <c r="CA74" s="375"/>
      <c r="CC74" s="82"/>
      <c r="CD74" s="82"/>
      <c r="CF74" s="375"/>
      <c r="CH74" s="82"/>
      <c r="CI74" s="82"/>
      <c r="CK74" s="375"/>
      <c r="CM74" s="82"/>
      <c r="CN74" s="82"/>
      <c r="CP74" s="375"/>
      <c r="CR74" s="82"/>
      <c r="CS74" s="82"/>
      <c r="CU74" s="375"/>
      <c r="CW74" s="82"/>
      <c r="CX74" s="82"/>
      <c r="CZ74" s="375"/>
      <c r="DB74" s="82"/>
      <c r="DC74" s="82"/>
      <c r="DE74" s="375"/>
      <c r="DG74" s="82"/>
      <c r="DH74" s="82"/>
      <c r="DJ74" s="375"/>
      <c r="DL74" s="82"/>
      <c r="DM74" s="82"/>
      <c r="DO74" s="375"/>
      <c r="DQ74" s="82"/>
      <c r="DR74" s="82"/>
      <c r="DT74" s="375"/>
      <c r="DV74" s="82"/>
      <c r="DW74" s="82"/>
      <c r="DY74" s="375"/>
      <c r="EA74" s="82"/>
      <c r="EB74" s="82"/>
      <c r="ED74" s="375"/>
      <c r="EF74" s="82"/>
      <c r="EG74" s="82"/>
      <c r="EI74" s="375"/>
      <c r="EK74" s="82"/>
      <c r="EL74" s="82"/>
      <c r="EN74" s="375"/>
      <c r="EP74" s="244"/>
      <c r="ES74" s="451"/>
      <c r="ET74" s="451">
        <f t="shared" si="0"/>
        <v>0</v>
      </c>
    </row>
    <row r="75" spans="3:150" ht="12.75" customHeight="1" x14ac:dyDescent="0.2">
      <c r="C75" s="244" t="s">
        <v>331</v>
      </c>
      <c r="E75" s="139"/>
      <c r="F75" s="122"/>
      <c r="G75" s="204"/>
      <c r="H75" s="438">
        <f>+[51]cashbalances!H38</f>
        <v>0</v>
      </c>
      <c r="I75" s="158"/>
      <c r="K75" s="82"/>
      <c r="L75" s="276"/>
      <c r="M75" s="438">
        <f>+[51]cashbalances!M38</f>
        <v>-34158767.953769997</v>
      </c>
      <c r="N75" s="158"/>
      <c r="P75" s="82"/>
      <c r="Q75" s="276"/>
      <c r="R75" s="438">
        <f>+[51]cashbalances!R38</f>
        <v>665778.1075699823</v>
      </c>
      <c r="S75" s="158"/>
      <c r="U75" s="82"/>
      <c r="V75" s="276"/>
      <c r="W75" s="438">
        <f>+[51]cashbalances!W38</f>
        <v>-3529360.3766400218</v>
      </c>
      <c r="X75" s="158"/>
      <c r="Z75" s="82"/>
      <c r="AA75" s="276"/>
      <c r="AB75" s="438">
        <f>+[51]cashbalances!AB38</f>
        <v>39129472.039829999</v>
      </c>
      <c r="AC75" s="158"/>
      <c r="AE75" s="82"/>
      <c r="AF75" s="276"/>
      <c r="AG75" s="438">
        <f>+[51]cashbalances!AG38</f>
        <v>-36409361.543499991</v>
      </c>
      <c r="AH75" s="158"/>
      <c r="AJ75" s="82"/>
      <c r="AK75" s="276"/>
      <c r="AL75" s="438">
        <f>+[51]cashbalances!AL38</f>
        <v>10350561.970830038</v>
      </c>
      <c r="AM75" s="158"/>
      <c r="AO75" s="82"/>
      <c r="AP75" s="276"/>
      <c r="AQ75" s="438">
        <f>+[51]cashbalances!AQ38</f>
        <v>-13234789.152860001</v>
      </c>
      <c r="AR75" s="158"/>
      <c r="AT75" s="82"/>
      <c r="AU75" s="276"/>
      <c r="AV75" s="438">
        <f>+[51]cashbalances!AV38</f>
        <v>-507485.77358999848</v>
      </c>
      <c r="AW75" s="158"/>
      <c r="AY75" s="82"/>
      <c r="AZ75" s="276"/>
      <c r="BA75" s="438">
        <f>+[51]cashbalances!BA38</f>
        <v>5933754.2305000126</v>
      </c>
      <c r="BB75" s="158"/>
      <c r="BD75" s="82"/>
      <c r="BE75" s="276"/>
      <c r="BF75" s="438">
        <f>+[51]cashbalances!BF38</f>
        <v>-33766452.223689988</v>
      </c>
      <c r="BG75" s="158"/>
      <c r="BI75" s="82"/>
      <c r="BJ75" s="276"/>
      <c r="BK75" s="438">
        <f>+[51]cashbalances!BK38</f>
        <v>-3541595.2070199698</v>
      </c>
      <c r="BL75" s="158"/>
      <c r="BN75" s="82"/>
      <c r="BO75" s="276"/>
      <c r="BP75" s="438">
        <f>+[51]cashbalances!BP38</f>
        <v>51076041.623150021</v>
      </c>
      <c r="BQ75" s="158"/>
      <c r="BS75" s="82"/>
      <c r="BT75" s="276"/>
      <c r="BU75" s="438">
        <f>+[51]cashbalances!BU38</f>
        <v>-17992204.259189919</v>
      </c>
      <c r="BV75" s="158"/>
      <c r="BX75" s="82"/>
      <c r="BY75" s="276"/>
      <c r="BZ75" s="175">
        <f>+[51]cashbalances!BZ38</f>
        <v>-676139.5121998759</v>
      </c>
      <c r="CA75" s="158"/>
      <c r="CC75" s="82"/>
      <c r="CD75" s="276"/>
      <c r="CE75" s="438">
        <f>+[51]cashbalances!CE38</f>
        <v>-9617047.0857300311</v>
      </c>
      <c r="CF75" s="158"/>
      <c r="CH75" s="82"/>
      <c r="CI75" s="276"/>
      <c r="CJ75" s="438">
        <f>+[51]cashbalances!CJ38</f>
        <v>1658010.930979982</v>
      </c>
      <c r="CK75" s="158"/>
      <c r="CM75" s="82"/>
      <c r="CN75" s="276"/>
      <c r="CO75" s="438">
        <f>+[51]cashbalances!CO38</f>
        <v>13980252.202720001</v>
      </c>
      <c r="CP75" s="158"/>
      <c r="CR75" s="82"/>
      <c r="CS75" s="276"/>
      <c r="CT75" s="438">
        <f>+[51]cashbalances!CT38</f>
        <v>-8777405.5292999893</v>
      </c>
      <c r="CU75" s="158"/>
      <c r="CW75" s="82"/>
      <c r="CX75" s="276"/>
      <c r="CY75" s="438">
        <f>+[51]cashbalances!CY38</f>
        <v>-9967884.6452499926</v>
      </c>
      <c r="CZ75" s="158"/>
      <c r="DB75" s="82"/>
      <c r="DC75" s="276"/>
      <c r="DD75" s="438">
        <f>+[51]cashbalances!DD38</f>
        <v>-4315544.2743200064</v>
      </c>
      <c r="DE75" s="158"/>
      <c r="DG75" s="82"/>
      <c r="DH75" s="276"/>
      <c r="DI75" s="438">
        <f>+[51]cashbalances!DI38</f>
        <v>-395955.53492997866</v>
      </c>
      <c r="DJ75" s="158"/>
      <c r="DL75" s="82"/>
      <c r="DM75" s="276"/>
      <c r="DN75" s="438">
        <f>+[51]cashbalances!DN38</f>
        <v>-18897629.034100011</v>
      </c>
      <c r="DO75" s="158"/>
      <c r="DQ75" s="82"/>
      <c r="DR75" s="276"/>
      <c r="DS75" s="438">
        <f>+[51]cashbalances!DS38</f>
        <v>-1291051.2250600038</v>
      </c>
      <c r="DT75" s="158"/>
      <c r="DV75" s="82"/>
      <c r="DW75" s="276"/>
      <c r="DX75" s="438">
        <f>+[51]cashbalances!DX38</f>
        <v>-2746121.6662400216</v>
      </c>
      <c r="DY75" s="158"/>
      <c r="EA75" s="82"/>
      <c r="EB75" s="276"/>
      <c r="EC75" s="438">
        <f>+[51]cashbalances!EC38</f>
        <v>-5785998.0916399956</v>
      </c>
      <c r="ED75" s="158"/>
      <c r="EF75" s="82"/>
      <c r="EG75" s="276"/>
      <c r="EH75" s="438">
        <f>+[51]cashbalances!EH38+1</f>
        <v>45480235.292400479</v>
      </c>
      <c r="EI75" s="158"/>
      <c r="EK75" s="82"/>
      <c r="EL75" s="276"/>
      <c r="EM75" s="438">
        <f>[51]cashbalances!EM38</f>
        <v>-676139.66046956182</v>
      </c>
      <c r="EN75" s="158"/>
      <c r="EP75" s="244"/>
      <c r="ES75" s="451"/>
      <c r="ET75" s="451">
        <f>EM75-BZ75</f>
        <v>-0.14826968591660261</v>
      </c>
    </row>
    <row r="76" spans="3:150" x14ac:dyDescent="0.2">
      <c r="C76" s="244"/>
      <c r="E76" s="139"/>
      <c r="F76" s="122"/>
      <c r="G76" s="93"/>
      <c r="K76" s="82"/>
      <c r="P76" s="82"/>
      <c r="U76" s="82"/>
      <c r="Z76" s="82"/>
      <c r="AE76" s="82"/>
      <c r="AJ76" s="82"/>
      <c r="AO76" s="82"/>
      <c r="AT76" s="82"/>
      <c r="AY76" s="82"/>
      <c r="BD76" s="82"/>
      <c r="BI76" s="82"/>
      <c r="BN76" s="82"/>
      <c r="BS76" s="82"/>
      <c r="BX76" s="82"/>
      <c r="BZ76" s="477"/>
      <c r="CC76" s="82"/>
      <c r="CH76" s="82"/>
      <c r="CM76" s="82"/>
      <c r="CR76" s="82"/>
      <c r="CW76" s="82"/>
      <c r="DB76" s="82"/>
      <c r="DG76" s="82"/>
      <c r="DL76" s="82"/>
      <c r="DQ76" s="82"/>
      <c r="DV76" s="82"/>
      <c r="EA76" s="82"/>
      <c r="EF76" s="82"/>
      <c r="EK76" s="82"/>
      <c r="EP76" s="244"/>
      <c r="ES76" s="451"/>
      <c r="ET76" s="451">
        <f>EM76-BZ76</f>
        <v>0</v>
      </c>
    </row>
    <row r="77" spans="3:150" s="451" customFormat="1" x14ac:dyDescent="0.2">
      <c r="C77" s="386" t="s">
        <v>332</v>
      </c>
      <c r="D77" s="345"/>
      <c r="E77" s="314"/>
      <c r="F77" s="447"/>
      <c r="G77" s="241"/>
      <c r="H77" s="254">
        <f>+H13+H23+H44+H67</f>
        <v>603388420.00234699</v>
      </c>
      <c r="I77" s="254"/>
      <c r="J77" s="254"/>
      <c r="K77" s="142"/>
      <c r="L77" s="254"/>
      <c r="M77" s="254">
        <f>+M13+M23+M44+M67</f>
        <v>51156457.046230003</v>
      </c>
      <c r="N77" s="254"/>
      <c r="O77" s="254"/>
      <c r="P77" s="142"/>
      <c r="Q77" s="254"/>
      <c r="R77" s="254">
        <f>+R13+R23+R44+R67</f>
        <v>52369080.107569978</v>
      </c>
      <c r="S77" s="254"/>
      <c r="T77" s="254"/>
      <c r="U77" s="142"/>
      <c r="V77" s="254"/>
      <c r="W77" s="254">
        <f>+W13+W23+W44+W67</f>
        <v>22296182.623359978</v>
      </c>
      <c r="X77" s="254"/>
      <c r="Y77" s="254"/>
      <c r="Z77" s="142"/>
      <c r="AA77" s="254"/>
      <c r="AB77" s="254">
        <f>+AB13+AB23+AB44+AB67</f>
        <v>134529648.03983</v>
      </c>
      <c r="AC77" s="254"/>
      <c r="AD77" s="254"/>
      <c r="AE77" s="142"/>
      <c r="AF77" s="254"/>
      <c r="AG77" s="254">
        <f>+AG13+AG23+AG44+AG67</f>
        <v>63673793.456500009</v>
      </c>
      <c r="AH77" s="254"/>
      <c r="AI77" s="254"/>
      <c r="AJ77" s="142"/>
      <c r="AK77" s="254"/>
      <c r="AL77" s="254">
        <f>+AL13+AL23+AL44+AL67</f>
        <v>42866801.970830038</v>
      </c>
      <c r="AM77" s="254"/>
      <c r="AN77" s="254"/>
      <c r="AO77" s="142"/>
      <c r="AP77" s="254"/>
      <c r="AQ77" s="254">
        <f>+AQ13+AQ23+AQ44+AQ67</f>
        <v>49729127.847139999</v>
      </c>
      <c r="AR77" s="254"/>
      <c r="AS77" s="254"/>
      <c r="AT77" s="142"/>
      <c r="AU77" s="254"/>
      <c r="AV77" s="254">
        <f>+AV13+AV23+AV44+AV67</f>
        <v>21403285.226410002</v>
      </c>
      <c r="AW77" s="254"/>
      <c r="AX77" s="254"/>
      <c r="AY77" s="142"/>
      <c r="AZ77" s="254"/>
      <c r="BA77" s="254">
        <f>+BA13+BA23+BA44+BA67</f>
        <v>-5051318.7694999874</v>
      </c>
      <c r="BB77" s="254"/>
      <c r="BC77" s="254"/>
      <c r="BD77" s="142"/>
      <c r="BE77" s="254"/>
      <c r="BF77" s="254">
        <f>+BF13+BF23+BF44+BF67</f>
        <v>76235278.776310012</v>
      </c>
      <c r="BG77" s="254"/>
      <c r="BH77" s="254"/>
      <c r="BI77" s="142"/>
      <c r="BJ77" s="254"/>
      <c r="BK77" s="254">
        <f>+BK13+BK23+BK44+BK67</f>
        <v>12830619.79298003</v>
      </c>
      <c r="BL77" s="254"/>
      <c r="BM77" s="254"/>
      <c r="BN77" s="142"/>
      <c r="BO77" s="254"/>
      <c r="BP77" s="254">
        <f>+BP13+BP23+BP44+BP67</f>
        <v>29818752.623150021</v>
      </c>
      <c r="BQ77" s="254"/>
      <c r="BR77" s="254"/>
      <c r="BS77" s="142"/>
      <c r="BT77" s="254"/>
      <c r="BU77" s="254">
        <f>+BU13+BU23+BU44+BU67</f>
        <v>551857708.74081004</v>
      </c>
      <c r="BV77" s="254"/>
      <c r="BW77" s="254"/>
      <c r="BX77" s="142"/>
      <c r="BY77" s="254"/>
      <c r="BZ77" s="316">
        <f>+BZ13+BZ23+BZ44+BZ67</f>
        <v>345253040.25291967</v>
      </c>
      <c r="CA77" s="254"/>
      <c r="CB77" s="254"/>
      <c r="CC77" s="142"/>
      <c r="CD77" s="254"/>
      <c r="CE77" s="254">
        <f>+CE13+CE23+CE44+CE67</f>
        <v>63530124.914269969</v>
      </c>
      <c r="CF77" s="254"/>
      <c r="CG77" s="345"/>
      <c r="CH77" s="142"/>
      <c r="CI77" s="254"/>
      <c r="CJ77" s="254">
        <f>+CJ13+CJ23+CJ44+CJ67</f>
        <v>17540392.930979982</v>
      </c>
      <c r="CK77" s="254"/>
      <c r="CL77" s="254"/>
      <c r="CM77" s="142"/>
      <c r="CN77" s="254"/>
      <c r="CO77" s="254">
        <f>+CO13+CO23+CO44+CO67</f>
        <v>-23606007.797279999</v>
      </c>
      <c r="CP77" s="254"/>
      <c r="CQ77" s="254"/>
      <c r="CR77" s="142"/>
      <c r="CS77" s="254"/>
      <c r="CT77" s="254">
        <f>+CT13+CT23+CT44+CT67</f>
        <v>99103979.470700011</v>
      </c>
      <c r="CU77" s="254"/>
      <c r="CV77" s="254"/>
      <c r="CW77" s="142"/>
      <c r="CX77" s="254"/>
      <c r="CY77" s="254">
        <f>+CY13+CY23+CY44+CY67</f>
        <v>32839807.354750007</v>
      </c>
      <c r="CZ77" s="254"/>
      <c r="DA77" s="254"/>
      <c r="DB77" s="142"/>
      <c r="DC77" s="254"/>
      <c r="DD77" s="254">
        <f>+DD13+DD23+DD44+DD67</f>
        <v>649646.72567999363</v>
      </c>
      <c r="DE77" s="254"/>
      <c r="DF77" s="254"/>
      <c r="DG77" s="142"/>
      <c r="DH77" s="254"/>
      <c r="DI77" s="254">
        <f>+DI13+DI23+DI44+DI67</f>
        <v>42343200.465070024</v>
      </c>
      <c r="DJ77" s="254"/>
      <c r="DK77" s="254"/>
      <c r="DL77" s="142"/>
      <c r="DM77" s="254"/>
      <c r="DN77" s="254">
        <f>+DN13+DN23+DN44+DN67</f>
        <v>15141181.965899989</v>
      </c>
      <c r="DO77" s="254"/>
      <c r="DP77" s="254"/>
      <c r="DQ77" s="142"/>
      <c r="DR77" s="254"/>
      <c r="DS77" s="254">
        <f>+DS13+DS23+DS44+DS67</f>
        <v>2169109.7749399962</v>
      </c>
      <c r="DT77" s="254"/>
      <c r="DU77" s="254"/>
      <c r="DV77" s="142"/>
      <c r="DW77" s="254"/>
      <c r="DX77" s="254">
        <f>+DX13+DX23+DX44+DX67</f>
        <v>47546404.333759978</v>
      </c>
      <c r="DY77" s="254"/>
      <c r="DZ77" s="254"/>
      <c r="EA77" s="142"/>
      <c r="EB77" s="254"/>
      <c r="EC77" s="254">
        <f>+EC13+EC23+EC44+EC67</f>
        <v>-2152970.0916399956</v>
      </c>
      <c r="ED77" s="254"/>
      <c r="EE77" s="254"/>
      <c r="EF77" s="142"/>
      <c r="EG77" s="254"/>
      <c r="EH77" s="254">
        <f>+EH13+EH23+EH44+EH67</f>
        <v>50148171.057520032</v>
      </c>
      <c r="EI77" s="254"/>
      <c r="EJ77" s="254"/>
      <c r="EK77" s="142"/>
      <c r="EL77" s="254"/>
      <c r="EM77" s="254">
        <f>+EM13+EM23+EM44+EM67</f>
        <v>345253040.10464996</v>
      </c>
      <c r="EN77" s="254"/>
      <c r="EO77" s="418"/>
      <c r="EP77" s="484"/>
      <c r="ET77" s="451">
        <f>EM77-BZ77</f>
        <v>-0.14826971292495728</v>
      </c>
    </row>
    <row r="78" spans="3:150" ht="15" customHeight="1" x14ac:dyDescent="0.2">
      <c r="C78" s="215"/>
      <c r="D78" s="172"/>
      <c r="E78" s="172"/>
      <c r="F78" s="172"/>
      <c r="G78" s="172"/>
      <c r="H78" s="172"/>
      <c r="I78" s="172"/>
      <c r="J78" s="172"/>
      <c r="K78" s="172"/>
      <c r="L78" s="172"/>
      <c r="M78" s="172"/>
      <c r="N78" s="172"/>
      <c r="O78" s="172"/>
      <c r="P78" s="172"/>
      <c r="Q78" s="172"/>
      <c r="R78" s="172"/>
      <c r="S78" s="172"/>
      <c r="T78" s="172"/>
      <c r="U78" s="172"/>
      <c r="V78" s="172"/>
      <c r="W78" s="172"/>
      <c r="X78" s="172"/>
      <c r="Y78" s="172"/>
      <c r="Z78" s="172"/>
      <c r="AA78" s="172"/>
      <c r="AB78" s="172"/>
      <c r="AC78" s="172"/>
      <c r="AD78" s="172"/>
      <c r="AE78" s="172"/>
      <c r="AF78" s="172"/>
      <c r="AG78" s="172"/>
      <c r="AH78" s="172"/>
      <c r="AI78" s="172"/>
      <c r="AJ78" s="172"/>
      <c r="AK78" s="172"/>
      <c r="AL78" s="172"/>
      <c r="AM78" s="172"/>
      <c r="AN78" s="172"/>
      <c r="AO78" s="172"/>
      <c r="AP78" s="172"/>
      <c r="AQ78" s="172"/>
      <c r="AR78" s="172"/>
      <c r="AS78" s="172"/>
      <c r="AT78" s="172"/>
      <c r="AU78" s="172"/>
      <c r="AV78" s="172"/>
      <c r="AW78" s="172"/>
      <c r="AX78" s="172"/>
      <c r="AY78" s="172"/>
      <c r="AZ78" s="172"/>
      <c r="BA78" s="172"/>
      <c r="BB78" s="172"/>
      <c r="BC78" s="172"/>
      <c r="BD78" s="172"/>
      <c r="BE78" s="172"/>
      <c r="BF78" s="172"/>
      <c r="BG78" s="172"/>
      <c r="BH78" s="172"/>
      <c r="BI78" s="172"/>
      <c r="BJ78" s="172"/>
      <c r="BK78" s="172"/>
      <c r="BL78" s="172"/>
      <c r="BM78" s="172"/>
      <c r="BN78" s="172"/>
      <c r="BO78" s="172"/>
      <c r="BP78" s="172"/>
      <c r="BQ78" s="172"/>
      <c r="BR78" s="172"/>
      <c r="BS78" s="172"/>
      <c r="BT78" s="172"/>
      <c r="BU78" s="172"/>
      <c r="BV78" s="172"/>
      <c r="BW78" s="172"/>
      <c r="BX78" s="172"/>
      <c r="BY78" s="172"/>
      <c r="BZ78" s="172"/>
      <c r="CA78" s="172"/>
      <c r="CB78" s="172"/>
      <c r="CC78" s="172"/>
      <c r="CD78" s="172"/>
      <c r="CE78" s="172"/>
      <c r="CF78" s="172"/>
      <c r="CG78" s="172"/>
      <c r="CH78" s="172"/>
      <c r="CI78" s="172"/>
      <c r="CJ78" s="172"/>
      <c r="CK78" s="172"/>
      <c r="CL78" s="172"/>
      <c r="CM78" s="172"/>
      <c r="CN78" s="172"/>
      <c r="CO78" s="172"/>
      <c r="CP78" s="172"/>
      <c r="CQ78" s="172"/>
      <c r="CR78" s="172"/>
      <c r="CS78" s="172"/>
      <c r="CT78" s="172"/>
      <c r="CU78" s="172"/>
      <c r="CV78" s="172"/>
      <c r="CW78" s="172"/>
      <c r="CX78" s="172"/>
      <c r="CY78" s="172"/>
      <c r="CZ78" s="172"/>
      <c r="DA78" s="172"/>
      <c r="DB78" s="172"/>
      <c r="DC78" s="172"/>
      <c r="DD78" s="172"/>
      <c r="DE78" s="172"/>
      <c r="DF78" s="172"/>
      <c r="DG78" s="172"/>
      <c r="DH78" s="172"/>
      <c r="DI78" s="172"/>
      <c r="DJ78" s="172"/>
      <c r="DK78" s="172"/>
      <c r="DL78" s="172"/>
      <c r="DM78" s="172"/>
      <c r="DN78" s="172"/>
      <c r="DO78" s="172"/>
      <c r="DP78" s="172"/>
      <c r="DQ78" s="172"/>
      <c r="DR78" s="172"/>
      <c r="DS78" s="172"/>
      <c r="DT78" s="172"/>
      <c r="DU78" s="172"/>
      <c r="DV78" s="172"/>
      <c r="DW78" s="172"/>
      <c r="DX78" s="172"/>
      <c r="DY78" s="172"/>
      <c r="DZ78" s="172"/>
      <c r="EA78" s="172"/>
      <c r="EB78" s="172"/>
      <c r="EC78" s="172"/>
      <c r="ED78" s="172"/>
      <c r="EE78" s="172"/>
      <c r="EF78" s="172"/>
      <c r="EG78" s="172"/>
      <c r="EH78" s="172"/>
      <c r="EI78" s="172"/>
      <c r="EJ78" s="172"/>
      <c r="EK78" s="172"/>
      <c r="EL78" s="172"/>
      <c r="EM78" s="172"/>
      <c r="EN78" s="172"/>
      <c r="EO78" s="172"/>
      <c r="ET78" s="451">
        <f>EM78-BZ78</f>
        <v>0</v>
      </c>
    </row>
    <row r="79" spans="3:150" ht="5.25" customHeight="1" x14ac:dyDescent="0.2"/>
    <row r="80" spans="3:150" ht="15" customHeight="1" x14ac:dyDescent="0.2"/>
    <row r="81" spans="3:78" s="370" customFormat="1" ht="15" hidden="1" customHeight="1" x14ac:dyDescent="0.2">
      <c r="D81" s="471"/>
      <c r="AL81" s="270"/>
      <c r="BW81" s="451">
        <f>+BW82+BW89</f>
        <v>151848159</v>
      </c>
    </row>
    <row r="82" spans="3:78" s="370" customFormat="1" ht="15" hidden="1" customHeight="1" x14ac:dyDescent="0.2">
      <c r="C82" s="25"/>
      <c r="D82" s="471"/>
      <c r="BW82" s="12">
        <f>SUM(BW83:BW87)</f>
        <v>151848159</v>
      </c>
    </row>
    <row r="83" spans="3:78" ht="15" hidden="1" customHeight="1" x14ac:dyDescent="0.2">
      <c r="M83" s="12">
        <f t="shared" ref="M83:BU87" si="1">M13-CE13</f>
        <v>5493593</v>
      </c>
      <c r="N83" s="12">
        <f t="shared" si="1"/>
        <v>0</v>
      </c>
      <c r="O83" s="12">
        <f t="shared" si="1"/>
        <v>0</v>
      </c>
      <c r="P83" s="12">
        <f t="shared" si="1"/>
        <v>0</v>
      </c>
      <c r="Q83" s="12">
        <f t="shared" si="1"/>
        <v>0</v>
      </c>
      <c r="R83" s="12">
        <f t="shared" si="1"/>
        <v>3749691</v>
      </c>
      <c r="S83" s="12">
        <f t="shared" si="1"/>
        <v>0</v>
      </c>
      <c r="T83" s="12">
        <f t="shared" si="1"/>
        <v>0</v>
      </c>
      <c r="U83" s="12">
        <f t="shared" si="1"/>
        <v>0</v>
      </c>
      <c r="V83" s="12">
        <f t="shared" si="1"/>
        <v>0</v>
      </c>
      <c r="W83" s="12">
        <f t="shared" si="1"/>
        <v>-10077326</v>
      </c>
      <c r="X83" s="12">
        <f t="shared" si="1"/>
        <v>0</v>
      </c>
      <c r="Y83" s="12">
        <f t="shared" si="1"/>
        <v>0</v>
      </c>
      <c r="Z83" s="12">
        <f t="shared" si="1"/>
        <v>0</v>
      </c>
      <c r="AA83" s="12">
        <f t="shared" si="1"/>
        <v>0</v>
      </c>
      <c r="AB83" s="12">
        <f t="shared" si="1"/>
        <v>21902023</v>
      </c>
      <c r="AC83" s="12">
        <f t="shared" si="1"/>
        <v>0</v>
      </c>
      <c r="AD83" s="12">
        <f t="shared" si="1"/>
        <v>0</v>
      </c>
      <c r="AE83" s="12">
        <f t="shared" si="1"/>
        <v>0</v>
      </c>
      <c r="AF83" s="12">
        <f t="shared" si="1"/>
        <v>0</v>
      </c>
      <c r="AG83" s="12">
        <f t="shared" si="1"/>
        <v>-16587922</v>
      </c>
      <c r="AH83" s="12">
        <f t="shared" si="1"/>
        <v>0</v>
      </c>
      <c r="AI83" s="12">
        <f t="shared" si="1"/>
        <v>0</v>
      </c>
      <c r="AJ83" s="12">
        <f t="shared" si="1"/>
        <v>0</v>
      </c>
      <c r="AK83" s="12">
        <f t="shared" si="1"/>
        <v>0</v>
      </c>
      <c r="AL83" s="12">
        <f t="shared" si="1"/>
        <v>18639242</v>
      </c>
      <c r="AM83" s="12">
        <f t="shared" si="1"/>
        <v>0</v>
      </c>
      <c r="AN83" s="12">
        <f t="shared" si="1"/>
        <v>0</v>
      </c>
      <c r="AO83" s="12">
        <f t="shared" si="1"/>
        <v>0</v>
      </c>
      <c r="AP83" s="12">
        <f t="shared" si="1"/>
        <v>0</v>
      </c>
      <c r="AQ83" s="12">
        <f t="shared" si="1"/>
        <v>23320142</v>
      </c>
      <c r="AR83" s="12">
        <f t="shared" si="1"/>
        <v>0</v>
      </c>
      <c r="AS83" s="12">
        <f t="shared" si="1"/>
        <v>0</v>
      </c>
      <c r="AT83" s="12">
        <f t="shared" si="1"/>
        <v>0</v>
      </c>
      <c r="AU83" s="12">
        <f t="shared" si="1"/>
        <v>0</v>
      </c>
      <c r="AV83" s="12">
        <f t="shared" si="1"/>
        <v>-5831437</v>
      </c>
      <c r="AW83" s="12">
        <f t="shared" si="1"/>
        <v>0</v>
      </c>
      <c r="AX83" s="12">
        <f t="shared" si="1"/>
        <v>0</v>
      </c>
      <c r="AY83" s="12">
        <f t="shared" si="1"/>
        <v>0</v>
      </c>
      <c r="AZ83" s="12">
        <f t="shared" si="1"/>
        <v>0</v>
      </c>
      <c r="BA83" s="12">
        <f t="shared" si="1"/>
        <v>-16507763</v>
      </c>
      <c r="BB83" s="12">
        <f t="shared" si="1"/>
        <v>0</v>
      </c>
      <c r="BC83" s="12">
        <f t="shared" si="1"/>
        <v>0</v>
      </c>
      <c r="BD83" s="12">
        <f t="shared" si="1"/>
        <v>0</v>
      </c>
      <c r="BE83" s="12">
        <f t="shared" si="1"/>
        <v>0</v>
      </c>
      <c r="BF83" s="12">
        <f t="shared" si="1"/>
        <v>2450441</v>
      </c>
      <c r="BG83" s="12">
        <f t="shared" si="1"/>
        <v>0</v>
      </c>
      <c r="BH83" s="12">
        <f t="shared" si="1"/>
        <v>0</v>
      </c>
      <c r="BI83" s="12">
        <f t="shared" si="1"/>
        <v>0</v>
      </c>
      <c r="BJ83" s="12">
        <f t="shared" si="1"/>
        <v>0</v>
      </c>
      <c r="BK83" s="12">
        <f t="shared" si="1"/>
        <v>-11060175</v>
      </c>
      <c r="BL83" s="12">
        <f t="shared" si="1"/>
        <v>0</v>
      </c>
      <c r="BM83" s="12">
        <f t="shared" si="1"/>
        <v>0</v>
      </c>
      <c r="BN83" s="12">
        <f t="shared" si="1"/>
        <v>0</v>
      </c>
      <c r="BO83" s="12">
        <f t="shared" si="1"/>
        <v>0</v>
      </c>
      <c r="BP83" s="12">
        <f t="shared" si="1"/>
        <v>43757413</v>
      </c>
      <c r="BQ83" s="12">
        <f t="shared" si="1"/>
        <v>0</v>
      </c>
      <c r="BR83" s="12">
        <f t="shared" si="1"/>
        <v>0</v>
      </c>
      <c r="BS83" s="12">
        <f t="shared" si="1"/>
        <v>0</v>
      </c>
      <c r="BT83" s="12">
        <f t="shared" si="1"/>
        <v>0</v>
      </c>
      <c r="BU83" s="12">
        <f t="shared" si="1"/>
        <v>59247922</v>
      </c>
      <c r="BW83" s="12">
        <f>SUM(O83:BR83)</f>
        <v>53754329</v>
      </c>
      <c r="BZ83" s="12">
        <f>M67+R67+W67+AB67+AG67</f>
        <v>-48790506.470510021</v>
      </c>
    </row>
    <row r="84" spans="3:78" ht="15" hidden="1" customHeight="1" x14ac:dyDescent="0.2">
      <c r="C84" s="169"/>
      <c r="H84" s="115"/>
      <c r="M84" s="12">
        <f t="shared" si="1"/>
        <v>-1484000</v>
      </c>
      <c r="N84" s="12">
        <f t="shared" si="1"/>
        <v>0</v>
      </c>
      <c r="O84" s="12">
        <f t="shared" si="1"/>
        <v>0</v>
      </c>
      <c r="P84" s="12">
        <f t="shared" si="1"/>
        <v>0</v>
      </c>
      <c r="Q84" s="12">
        <f t="shared" si="1"/>
        <v>0</v>
      </c>
      <c r="R84" s="12">
        <f t="shared" si="1"/>
        <v>-4604650</v>
      </c>
      <c r="S84" s="12">
        <f t="shared" si="1"/>
        <v>0</v>
      </c>
      <c r="T84" s="12">
        <f t="shared" si="1"/>
        <v>0</v>
      </c>
      <c r="U84" s="12">
        <f t="shared" si="1"/>
        <v>0</v>
      </c>
      <c r="V84" s="12">
        <f t="shared" si="1"/>
        <v>0</v>
      </c>
      <c r="W84" s="12">
        <f t="shared" si="1"/>
        <v>-896800</v>
      </c>
      <c r="X84" s="12">
        <f t="shared" si="1"/>
        <v>0</v>
      </c>
      <c r="Y84" s="12">
        <f t="shared" si="1"/>
        <v>0</v>
      </c>
      <c r="Z84" s="12">
        <f t="shared" si="1"/>
        <v>0</v>
      </c>
      <c r="AA84" s="12">
        <f t="shared" si="1"/>
        <v>0</v>
      </c>
      <c r="AB84" s="12">
        <f t="shared" si="1"/>
        <v>12420110</v>
      </c>
      <c r="AC84" s="12">
        <f t="shared" si="1"/>
        <v>0</v>
      </c>
      <c r="AD84" s="12">
        <f t="shared" si="1"/>
        <v>0</v>
      </c>
      <c r="AE84" s="12">
        <f t="shared" si="1"/>
        <v>0</v>
      </c>
      <c r="AF84" s="12">
        <f t="shared" si="1"/>
        <v>0</v>
      </c>
      <c r="AG84" s="12">
        <f t="shared" si="1"/>
        <v>5854400</v>
      </c>
      <c r="AH84" s="12">
        <f t="shared" si="1"/>
        <v>0</v>
      </c>
      <c r="AI84" s="12">
        <f t="shared" si="1"/>
        <v>0</v>
      </c>
      <c r="AJ84" s="12">
        <f t="shared" si="1"/>
        <v>0</v>
      </c>
      <c r="AK84" s="12">
        <f t="shared" si="1"/>
        <v>0</v>
      </c>
      <c r="AL84" s="12">
        <f t="shared" si="1"/>
        <v>9990150</v>
      </c>
      <c r="AM84" s="12">
        <f t="shared" si="1"/>
        <v>0</v>
      </c>
      <c r="AN84" s="12">
        <f t="shared" si="1"/>
        <v>0</v>
      </c>
      <c r="AO84" s="12">
        <f t="shared" si="1"/>
        <v>0</v>
      </c>
      <c r="AP84" s="12">
        <f t="shared" si="1"/>
        <v>0</v>
      </c>
      <c r="AQ84" s="12">
        <f t="shared" si="1"/>
        <v>8518070</v>
      </c>
      <c r="AR84" s="12">
        <f t="shared" si="1"/>
        <v>0</v>
      </c>
      <c r="AS84" s="12">
        <f t="shared" si="1"/>
        <v>0</v>
      </c>
      <c r="AT84" s="12">
        <f t="shared" si="1"/>
        <v>0</v>
      </c>
      <c r="AU84" s="12">
        <f t="shared" si="1"/>
        <v>0</v>
      </c>
      <c r="AV84" s="12">
        <f t="shared" si="1"/>
        <v>8214730</v>
      </c>
      <c r="AW84" s="12">
        <f t="shared" si="1"/>
        <v>0</v>
      </c>
      <c r="AX84" s="12">
        <f t="shared" si="1"/>
        <v>0</v>
      </c>
      <c r="AY84" s="12">
        <f t="shared" si="1"/>
        <v>0</v>
      </c>
      <c r="AZ84" s="12">
        <f t="shared" si="1"/>
        <v>0</v>
      </c>
      <c r="BA84" s="12">
        <f t="shared" si="1"/>
        <v>6729470</v>
      </c>
      <c r="BB84" s="12">
        <f t="shared" si="1"/>
        <v>0</v>
      </c>
      <c r="BC84" s="12">
        <f t="shared" si="1"/>
        <v>0</v>
      </c>
      <c r="BD84" s="12">
        <f t="shared" si="1"/>
        <v>0</v>
      </c>
      <c r="BE84" s="12">
        <f t="shared" si="1"/>
        <v>0</v>
      </c>
      <c r="BF84" s="12">
        <f t="shared" si="1"/>
        <v>16435590</v>
      </c>
      <c r="BG84" s="12">
        <f t="shared" si="1"/>
        <v>0</v>
      </c>
      <c r="BH84" s="12">
        <f t="shared" si="1"/>
        <v>0</v>
      </c>
      <c r="BI84" s="12">
        <f t="shared" si="1"/>
        <v>0</v>
      </c>
      <c r="BJ84" s="12">
        <f t="shared" si="1"/>
        <v>0</v>
      </c>
      <c r="BK84" s="12">
        <f t="shared" si="1"/>
        <v>19026440</v>
      </c>
      <c r="BL84" s="12">
        <f t="shared" si="1"/>
        <v>0</v>
      </c>
      <c r="BM84" s="12">
        <f t="shared" si="1"/>
        <v>0</v>
      </c>
      <c r="BN84" s="12">
        <f t="shared" si="1"/>
        <v>0</v>
      </c>
      <c r="BO84" s="12">
        <f t="shared" si="1"/>
        <v>0</v>
      </c>
      <c r="BP84" s="12">
        <f t="shared" si="1"/>
        <v>16406320</v>
      </c>
      <c r="BQ84" s="12">
        <f t="shared" si="1"/>
        <v>0</v>
      </c>
      <c r="BR84" s="12">
        <f t="shared" si="1"/>
        <v>0</v>
      </c>
      <c r="BS84" s="12">
        <f t="shared" si="1"/>
        <v>0</v>
      </c>
      <c r="BT84" s="12">
        <f t="shared" si="1"/>
        <v>0</v>
      </c>
      <c r="BU84" s="12">
        <f t="shared" si="1"/>
        <v>96609830</v>
      </c>
      <c r="BW84" s="12">
        <f>SUM(O84:BR84)</f>
        <v>98093830</v>
      </c>
    </row>
    <row r="85" spans="3:78" ht="15" hidden="1" customHeight="1" x14ac:dyDescent="0.2">
      <c r="M85" s="12">
        <f t="shared" si="1"/>
        <v>0</v>
      </c>
      <c r="N85" s="12">
        <f t="shared" si="1"/>
        <v>0</v>
      </c>
      <c r="O85" s="12">
        <f t="shared" si="1"/>
        <v>0</v>
      </c>
      <c r="P85" s="12">
        <f t="shared" si="1"/>
        <v>0</v>
      </c>
      <c r="Q85" s="12">
        <f t="shared" si="1"/>
        <v>0</v>
      </c>
      <c r="R85" s="12">
        <f t="shared" si="1"/>
        <v>0</v>
      </c>
      <c r="S85" s="12">
        <f t="shared" si="1"/>
        <v>0</v>
      </c>
      <c r="T85" s="12">
        <f t="shared" si="1"/>
        <v>0</v>
      </c>
      <c r="U85" s="12">
        <f t="shared" si="1"/>
        <v>0</v>
      </c>
      <c r="V85" s="12">
        <f t="shared" si="1"/>
        <v>0</v>
      </c>
      <c r="W85" s="12">
        <f t="shared" si="1"/>
        <v>0</v>
      </c>
      <c r="X85" s="12">
        <f t="shared" si="1"/>
        <v>0</v>
      </c>
      <c r="Y85" s="12">
        <f t="shared" si="1"/>
        <v>0</v>
      </c>
      <c r="Z85" s="12">
        <f t="shared" si="1"/>
        <v>0</v>
      </c>
      <c r="AA85" s="12">
        <f t="shared" si="1"/>
        <v>0</v>
      </c>
      <c r="AB85" s="12">
        <f t="shared" si="1"/>
        <v>0</v>
      </c>
      <c r="AC85" s="12">
        <f t="shared" si="1"/>
        <v>0</v>
      </c>
      <c r="AD85" s="12">
        <f t="shared" si="1"/>
        <v>0</v>
      </c>
      <c r="AE85" s="12">
        <f t="shared" si="1"/>
        <v>0</v>
      </c>
      <c r="AF85" s="12">
        <f t="shared" si="1"/>
        <v>0</v>
      </c>
      <c r="AG85" s="12">
        <f t="shared" si="1"/>
        <v>0</v>
      </c>
      <c r="AH85" s="12">
        <f t="shared" si="1"/>
        <v>0</v>
      </c>
      <c r="AI85" s="12">
        <f t="shared" si="1"/>
        <v>0</v>
      </c>
      <c r="AJ85" s="12">
        <f t="shared" si="1"/>
        <v>0</v>
      </c>
      <c r="AK85" s="12">
        <f t="shared" si="1"/>
        <v>0</v>
      </c>
      <c r="AL85" s="12">
        <f t="shared" si="1"/>
        <v>0</v>
      </c>
      <c r="AM85" s="12">
        <f t="shared" si="1"/>
        <v>0</v>
      </c>
      <c r="AN85" s="12">
        <f t="shared" si="1"/>
        <v>0</v>
      </c>
      <c r="AO85" s="12">
        <f t="shared" si="1"/>
        <v>0</v>
      </c>
      <c r="AP85" s="12">
        <f t="shared" si="1"/>
        <v>0</v>
      </c>
      <c r="AQ85" s="12">
        <f t="shared" si="1"/>
        <v>0</v>
      </c>
      <c r="AR85" s="12">
        <f t="shared" si="1"/>
        <v>0</v>
      </c>
      <c r="AS85" s="12">
        <f t="shared" si="1"/>
        <v>0</v>
      </c>
      <c r="AT85" s="12">
        <f t="shared" si="1"/>
        <v>0</v>
      </c>
      <c r="AU85" s="12">
        <f t="shared" si="1"/>
        <v>0</v>
      </c>
      <c r="AV85" s="12">
        <f t="shared" si="1"/>
        <v>0</v>
      </c>
      <c r="AW85" s="12">
        <f t="shared" si="1"/>
        <v>0</v>
      </c>
      <c r="AX85" s="12">
        <f t="shared" si="1"/>
        <v>0</v>
      </c>
      <c r="AY85" s="12">
        <f t="shared" si="1"/>
        <v>0</v>
      </c>
      <c r="AZ85" s="12">
        <f t="shared" si="1"/>
        <v>0</v>
      </c>
      <c r="BA85" s="12">
        <f t="shared" si="1"/>
        <v>0</v>
      </c>
      <c r="BB85" s="12">
        <f t="shared" si="1"/>
        <v>0</v>
      </c>
      <c r="BC85" s="12">
        <f t="shared" si="1"/>
        <v>0</v>
      </c>
      <c r="BD85" s="12">
        <f t="shared" si="1"/>
        <v>0</v>
      </c>
      <c r="BE85" s="12">
        <f t="shared" si="1"/>
        <v>0</v>
      </c>
      <c r="BF85" s="12">
        <f t="shared" si="1"/>
        <v>0</v>
      </c>
      <c r="BG85" s="12">
        <f t="shared" si="1"/>
        <v>0</v>
      </c>
      <c r="BH85" s="12">
        <f t="shared" si="1"/>
        <v>0</v>
      </c>
      <c r="BI85" s="12">
        <f t="shared" si="1"/>
        <v>0</v>
      </c>
      <c r="BJ85" s="12">
        <f t="shared" si="1"/>
        <v>0</v>
      </c>
      <c r="BK85" s="12">
        <f t="shared" si="1"/>
        <v>0</v>
      </c>
      <c r="BL85" s="12">
        <f t="shared" si="1"/>
        <v>0</v>
      </c>
      <c r="BM85" s="12">
        <f t="shared" si="1"/>
        <v>0</v>
      </c>
      <c r="BN85" s="12">
        <f t="shared" si="1"/>
        <v>0</v>
      </c>
      <c r="BO85" s="12">
        <f t="shared" si="1"/>
        <v>0</v>
      </c>
      <c r="BP85" s="12">
        <f t="shared" si="1"/>
        <v>0</v>
      </c>
      <c r="BQ85" s="12">
        <f t="shared" si="1"/>
        <v>0</v>
      </c>
      <c r="BR85" s="12">
        <f t="shared" si="1"/>
        <v>0</v>
      </c>
      <c r="BS85" s="12">
        <f t="shared" si="1"/>
        <v>0</v>
      </c>
      <c r="BT85" s="12">
        <f t="shared" si="1"/>
        <v>0</v>
      </c>
      <c r="BU85" s="12">
        <f t="shared" si="1"/>
        <v>0</v>
      </c>
      <c r="BW85" s="12">
        <f>SUM(O85:BR85)</f>
        <v>0</v>
      </c>
    </row>
    <row r="86" spans="3:78" ht="15" hidden="1" customHeight="1" x14ac:dyDescent="0.2">
      <c r="M86" s="12">
        <f t="shared" si="1"/>
        <v>-64240</v>
      </c>
      <c r="N86" s="12">
        <f t="shared" si="1"/>
        <v>0</v>
      </c>
      <c r="O86" s="12">
        <f t="shared" si="1"/>
        <v>0</v>
      </c>
      <c r="P86" s="12">
        <f t="shared" si="1"/>
        <v>0</v>
      </c>
      <c r="Q86" s="12">
        <f t="shared" si="1"/>
        <v>0</v>
      </c>
      <c r="R86" s="12">
        <f t="shared" si="1"/>
        <v>-2070150</v>
      </c>
      <c r="S86" s="12">
        <f t="shared" si="1"/>
        <v>0</v>
      </c>
      <c r="T86" s="12">
        <f t="shared" si="1"/>
        <v>0</v>
      </c>
      <c r="U86" s="12">
        <f t="shared" si="1"/>
        <v>0</v>
      </c>
      <c r="V86" s="12">
        <f t="shared" si="1"/>
        <v>0</v>
      </c>
      <c r="W86" s="12">
        <f t="shared" si="1"/>
        <v>375900</v>
      </c>
      <c r="X86" s="12">
        <f t="shared" si="1"/>
        <v>0</v>
      </c>
      <c r="Y86" s="12">
        <f t="shared" si="1"/>
        <v>0</v>
      </c>
      <c r="Z86" s="12">
        <f t="shared" si="1"/>
        <v>0</v>
      </c>
      <c r="AA86" s="12">
        <f t="shared" si="1"/>
        <v>0</v>
      </c>
      <c r="AB86" s="12">
        <f t="shared" si="1"/>
        <v>-450430</v>
      </c>
      <c r="AC86" s="12">
        <f t="shared" si="1"/>
        <v>0</v>
      </c>
      <c r="AD86" s="12">
        <f t="shared" si="1"/>
        <v>0</v>
      </c>
      <c r="AE86" s="12">
        <f t="shared" si="1"/>
        <v>0</v>
      </c>
      <c r="AF86" s="12">
        <f t="shared" si="1"/>
        <v>0</v>
      </c>
      <c r="AG86" s="12">
        <f t="shared" si="1"/>
        <v>-1677100</v>
      </c>
      <c r="AH86" s="12">
        <f t="shared" si="1"/>
        <v>0</v>
      </c>
      <c r="AI86" s="12">
        <f t="shared" si="1"/>
        <v>0</v>
      </c>
      <c r="AJ86" s="12">
        <f t="shared" si="1"/>
        <v>0</v>
      </c>
      <c r="AK86" s="12">
        <f t="shared" si="1"/>
        <v>0</v>
      </c>
      <c r="AL86" s="12">
        <f t="shared" si="1"/>
        <v>-3776600</v>
      </c>
      <c r="AM86" s="12">
        <f t="shared" si="1"/>
        <v>0</v>
      </c>
      <c r="AN86" s="12">
        <f t="shared" si="1"/>
        <v>0</v>
      </c>
      <c r="AO86" s="12">
        <f t="shared" si="1"/>
        <v>0</v>
      </c>
      <c r="AP86" s="12">
        <f t="shared" si="1"/>
        <v>0</v>
      </c>
      <c r="AQ86" s="12">
        <f t="shared" si="1"/>
        <v>4027370</v>
      </c>
      <c r="AR86" s="12">
        <f t="shared" si="1"/>
        <v>0</v>
      </c>
      <c r="AS86" s="12">
        <f t="shared" si="1"/>
        <v>0</v>
      </c>
      <c r="AT86" s="12">
        <f t="shared" si="1"/>
        <v>0</v>
      </c>
      <c r="AU86" s="12">
        <f t="shared" si="1"/>
        <v>0</v>
      </c>
      <c r="AV86" s="12">
        <f t="shared" si="1"/>
        <v>360230</v>
      </c>
      <c r="AW86" s="12">
        <f t="shared" si="1"/>
        <v>0</v>
      </c>
      <c r="AX86" s="12">
        <f t="shared" si="1"/>
        <v>0</v>
      </c>
      <c r="AY86" s="12">
        <f t="shared" si="1"/>
        <v>0</v>
      </c>
      <c r="AZ86" s="12">
        <f t="shared" si="1"/>
        <v>0</v>
      </c>
      <c r="BA86" s="12">
        <f t="shared" si="1"/>
        <v>4470810</v>
      </c>
      <c r="BB86" s="12">
        <f t="shared" si="1"/>
        <v>0</v>
      </c>
      <c r="BC86" s="12">
        <f t="shared" si="1"/>
        <v>0</v>
      </c>
      <c r="BD86" s="12">
        <f t="shared" si="1"/>
        <v>0</v>
      </c>
      <c r="BE86" s="12">
        <f t="shared" si="1"/>
        <v>0</v>
      </c>
      <c r="BF86" s="12">
        <f t="shared" si="1"/>
        <v>4049500</v>
      </c>
      <c r="BG86" s="12">
        <f t="shared" si="1"/>
        <v>0</v>
      </c>
      <c r="BH86" s="12">
        <f t="shared" si="1"/>
        <v>0</v>
      </c>
      <c r="BI86" s="12">
        <f t="shared" si="1"/>
        <v>0</v>
      </c>
      <c r="BJ86" s="12">
        <f t="shared" si="1"/>
        <v>0</v>
      </c>
      <c r="BK86" s="12">
        <f t="shared" si="1"/>
        <v>6072340</v>
      </c>
      <c r="BL86" s="12">
        <f t="shared" si="1"/>
        <v>0</v>
      </c>
      <c r="BM86" s="12">
        <f t="shared" si="1"/>
        <v>0</v>
      </c>
      <c r="BN86" s="12">
        <f t="shared" si="1"/>
        <v>0</v>
      </c>
      <c r="BO86" s="12">
        <f t="shared" si="1"/>
        <v>0</v>
      </c>
      <c r="BP86" s="12">
        <f t="shared" si="1"/>
        <v>-185830</v>
      </c>
      <c r="BQ86" s="12">
        <f t="shared" si="1"/>
        <v>0</v>
      </c>
      <c r="BR86" s="12">
        <f t="shared" si="1"/>
        <v>0</v>
      </c>
      <c r="BS86" s="12">
        <f t="shared" si="1"/>
        <v>0</v>
      </c>
      <c r="BT86" s="12">
        <f t="shared" si="1"/>
        <v>0</v>
      </c>
      <c r="BU86" s="12">
        <f t="shared" si="1"/>
        <v>11131800</v>
      </c>
    </row>
    <row r="87" spans="3:78" ht="15" hidden="1" customHeight="1" x14ac:dyDescent="0.2">
      <c r="M87" s="12">
        <f t="shared" si="1"/>
        <v>832150</v>
      </c>
      <c r="N87" s="12">
        <f t="shared" si="1"/>
        <v>0</v>
      </c>
      <c r="O87" s="12">
        <f t="shared" si="1"/>
        <v>0</v>
      </c>
      <c r="P87" s="12">
        <f t="shared" si="1"/>
        <v>0</v>
      </c>
      <c r="Q87" s="12">
        <f t="shared" si="1"/>
        <v>0</v>
      </c>
      <c r="R87" s="12">
        <f t="shared" si="1"/>
        <v>3723900</v>
      </c>
      <c r="S87" s="12">
        <f t="shared" si="1"/>
        <v>0</v>
      </c>
      <c r="T87" s="12">
        <f t="shared" si="1"/>
        <v>0</v>
      </c>
      <c r="U87" s="12">
        <f t="shared" si="1"/>
        <v>0</v>
      </c>
      <c r="V87" s="12">
        <f t="shared" si="1"/>
        <v>0</v>
      </c>
      <c r="W87" s="12">
        <f t="shared" si="1"/>
        <v>1320500</v>
      </c>
      <c r="X87" s="12">
        <f t="shared" ref="X87:BU92" si="2">X17-CP17</f>
        <v>0</v>
      </c>
      <c r="Y87" s="12">
        <f t="shared" si="2"/>
        <v>0</v>
      </c>
      <c r="Z87" s="12">
        <f t="shared" si="2"/>
        <v>0</v>
      </c>
      <c r="AA87" s="12">
        <f t="shared" si="2"/>
        <v>0</v>
      </c>
      <c r="AB87" s="12">
        <f t="shared" si="2"/>
        <v>6358300</v>
      </c>
      <c r="AC87" s="12">
        <f t="shared" si="2"/>
        <v>0</v>
      </c>
      <c r="AD87" s="12">
        <f t="shared" si="2"/>
        <v>0</v>
      </c>
      <c r="AE87" s="12">
        <f t="shared" si="2"/>
        <v>0</v>
      </c>
      <c r="AF87" s="12">
        <f t="shared" si="2"/>
        <v>0</v>
      </c>
      <c r="AG87" s="12">
        <f t="shared" si="2"/>
        <v>3335000</v>
      </c>
      <c r="AH87" s="12">
        <f t="shared" si="2"/>
        <v>0</v>
      </c>
      <c r="AI87" s="12">
        <f t="shared" si="2"/>
        <v>0</v>
      </c>
      <c r="AJ87" s="12">
        <f t="shared" si="2"/>
        <v>0</v>
      </c>
      <c r="AK87" s="12">
        <f t="shared" si="2"/>
        <v>0</v>
      </c>
      <c r="AL87" s="12">
        <f t="shared" si="2"/>
        <v>2609950</v>
      </c>
      <c r="AM87" s="12">
        <f t="shared" si="2"/>
        <v>0</v>
      </c>
      <c r="AN87" s="12">
        <f t="shared" si="2"/>
        <v>0</v>
      </c>
      <c r="AO87" s="12">
        <f t="shared" si="2"/>
        <v>0</v>
      </c>
      <c r="AP87" s="12">
        <f t="shared" si="2"/>
        <v>0</v>
      </c>
      <c r="AQ87" s="12">
        <f t="shared" si="2"/>
        <v>-18300</v>
      </c>
      <c r="AR87" s="12">
        <f t="shared" si="2"/>
        <v>0</v>
      </c>
      <c r="AS87" s="12">
        <f t="shared" si="2"/>
        <v>0</v>
      </c>
      <c r="AT87" s="12">
        <f t="shared" si="2"/>
        <v>0</v>
      </c>
      <c r="AU87" s="12">
        <f t="shared" si="2"/>
        <v>0</v>
      </c>
      <c r="AV87" s="12">
        <f t="shared" si="2"/>
        <v>1443300</v>
      </c>
      <c r="AW87" s="12">
        <f t="shared" si="2"/>
        <v>0</v>
      </c>
      <c r="AX87" s="12">
        <f t="shared" si="2"/>
        <v>0</v>
      </c>
      <c r="AY87" s="12">
        <f t="shared" si="2"/>
        <v>0</v>
      </c>
      <c r="AZ87" s="12">
        <f t="shared" si="2"/>
        <v>0</v>
      </c>
      <c r="BA87" s="12">
        <f t="shared" si="2"/>
        <v>-4986500</v>
      </c>
      <c r="BB87" s="12">
        <f t="shared" si="2"/>
        <v>0</v>
      </c>
      <c r="BC87" s="12">
        <f t="shared" si="2"/>
        <v>0</v>
      </c>
      <c r="BD87" s="12">
        <f t="shared" si="2"/>
        <v>0</v>
      </c>
      <c r="BE87" s="12">
        <f t="shared" si="2"/>
        <v>0</v>
      </c>
      <c r="BF87" s="12">
        <f t="shared" si="2"/>
        <v>287500</v>
      </c>
      <c r="BG87" s="12">
        <f t="shared" si="2"/>
        <v>0</v>
      </c>
      <c r="BH87" s="12">
        <f t="shared" si="2"/>
        <v>0</v>
      </c>
      <c r="BI87" s="12">
        <f t="shared" si="2"/>
        <v>0</v>
      </c>
      <c r="BJ87" s="12">
        <f t="shared" si="2"/>
        <v>0</v>
      </c>
      <c r="BK87" s="12" t="e">
        <f t="shared" si="2"/>
        <v>#VALUE!</v>
      </c>
      <c r="BL87" s="12">
        <f t="shared" si="2"/>
        <v>0</v>
      </c>
      <c r="BM87" s="12">
        <f t="shared" si="2"/>
        <v>0</v>
      </c>
      <c r="BN87" s="12">
        <f t="shared" si="2"/>
        <v>0</v>
      </c>
      <c r="BO87" s="12">
        <f t="shared" si="2"/>
        <v>0</v>
      </c>
      <c r="BP87" s="12">
        <f t="shared" si="2"/>
        <v>151900</v>
      </c>
      <c r="BQ87" s="12">
        <f t="shared" si="2"/>
        <v>0</v>
      </c>
      <c r="BR87" s="12">
        <f t="shared" si="2"/>
        <v>0</v>
      </c>
      <c r="BS87" s="12">
        <f t="shared" si="2"/>
        <v>0</v>
      </c>
      <c r="BT87" s="12">
        <f t="shared" si="2"/>
        <v>0</v>
      </c>
      <c r="BU87" s="12">
        <f t="shared" si="2"/>
        <v>16062700</v>
      </c>
    </row>
    <row r="88" spans="3:78" hidden="1" x14ac:dyDescent="0.2">
      <c r="M88" s="12">
        <f t="shared" ref="M88:AB96" si="3">M18-CE18</f>
        <v>-1063460</v>
      </c>
      <c r="N88" s="12">
        <f t="shared" si="3"/>
        <v>0</v>
      </c>
      <c r="O88" s="12">
        <f t="shared" si="3"/>
        <v>0</v>
      </c>
      <c r="P88" s="12">
        <f t="shared" si="3"/>
        <v>0</v>
      </c>
      <c r="Q88" s="12">
        <f t="shared" si="3"/>
        <v>0</v>
      </c>
      <c r="R88" s="12">
        <f t="shared" si="3"/>
        <v>-2104400</v>
      </c>
      <c r="S88" s="12">
        <f t="shared" si="3"/>
        <v>0</v>
      </c>
      <c r="T88" s="12">
        <f t="shared" si="3"/>
        <v>0</v>
      </c>
      <c r="U88" s="12">
        <f t="shared" si="3"/>
        <v>0</v>
      </c>
      <c r="V88" s="12">
        <f t="shared" si="3"/>
        <v>0</v>
      </c>
      <c r="W88" s="12">
        <f t="shared" si="3"/>
        <v>-313500</v>
      </c>
      <c r="X88" s="12">
        <f t="shared" si="2"/>
        <v>0</v>
      </c>
      <c r="Y88" s="12">
        <f t="shared" si="2"/>
        <v>0</v>
      </c>
      <c r="Z88" s="12">
        <f t="shared" si="2"/>
        <v>0</v>
      </c>
      <c r="AA88" s="12">
        <f t="shared" si="2"/>
        <v>0</v>
      </c>
      <c r="AB88" s="12">
        <f t="shared" si="2"/>
        <v>4165100</v>
      </c>
      <c r="AC88" s="12">
        <f t="shared" si="2"/>
        <v>0</v>
      </c>
      <c r="AD88" s="12">
        <f t="shared" si="2"/>
        <v>0</v>
      </c>
      <c r="AE88" s="12">
        <f t="shared" si="2"/>
        <v>0</v>
      </c>
      <c r="AF88" s="12">
        <f t="shared" si="2"/>
        <v>0</v>
      </c>
      <c r="AG88" s="12">
        <f t="shared" si="2"/>
        <v>2607500</v>
      </c>
      <c r="AH88" s="12">
        <f t="shared" si="2"/>
        <v>0</v>
      </c>
      <c r="AI88" s="12">
        <f t="shared" si="2"/>
        <v>0</v>
      </c>
      <c r="AJ88" s="12">
        <f t="shared" si="2"/>
        <v>0</v>
      </c>
      <c r="AK88" s="12">
        <f t="shared" si="2"/>
        <v>0</v>
      </c>
      <c r="AL88" s="12">
        <f t="shared" si="2"/>
        <v>6091800</v>
      </c>
      <c r="AM88" s="12">
        <f t="shared" si="2"/>
        <v>0</v>
      </c>
      <c r="AN88" s="12">
        <f t="shared" si="2"/>
        <v>0</v>
      </c>
      <c r="AO88" s="12">
        <f t="shared" si="2"/>
        <v>0</v>
      </c>
      <c r="AP88" s="12">
        <f t="shared" si="2"/>
        <v>0</v>
      </c>
      <c r="AQ88" s="12">
        <f t="shared" si="2"/>
        <v>3226300</v>
      </c>
      <c r="AR88" s="12">
        <f t="shared" si="2"/>
        <v>0</v>
      </c>
      <c r="AS88" s="12">
        <f t="shared" si="2"/>
        <v>0</v>
      </c>
      <c r="AT88" s="12">
        <f t="shared" si="2"/>
        <v>0</v>
      </c>
      <c r="AU88" s="12">
        <f t="shared" si="2"/>
        <v>0</v>
      </c>
      <c r="AV88" s="12">
        <f t="shared" si="2"/>
        <v>3511200</v>
      </c>
      <c r="AW88" s="12">
        <f t="shared" si="2"/>
        <v>0</v>
      </c>
      <c r="AX88" s="12">
        <f t="shared" si="2"/>
        <v>0</v>
      </c>
      <c r="AY88" s="12">
        <f t="shared" si="2"/>
        <v>0</v>
      </c>
      <c r="AZ88" s="12">
        <f t="shared" si="2"/>
        <v>0</v>
      </c>
      <c r="BA88" s="12">
        <f t="shared" si="2"/>
        <v>2800400</v>
      </c>
      <c r="BB88" s="12">
        <f t="shared" si="2"/>
        <v>0</v>
      </c>
      <c r="BC88" s="12">
        <f t="shared" si="2"/>
        <v>0</v>
      </c>
      <c r="BD88" s="12">
        <f t="shared" si="2"/>
        <v>0</v>
      </c>
      <c r="BE88" s="12">
        <f t="shared" si="2"/>
        <v>0</v>
      </c>
      <c r="BF88" s="12">
        <f t="shared" si="2"/>
        <v>5473560</v>
      </c>
      <c r="BG88" s="12">
        <f t="shared" si="2"/>
        <v>0</v>
      </c>
      <c r="BH88" s="12">
        <f t="shared" si="2"/>
        <v>0</v>
      </c>
      <c r="BI88" s="12">
        <f t="shared" si="2"/>
        <v>0</v>
      </c>
      <c r="BJ88" s="12">
        <f t="shared" si="2"/>
        <v>0</v>
      </c>
      <c r="BK88" s="12">
        <f t="shared" si="2"/>
        <v>3797790</v>
      </c>
      <c r="BL88" s="12">
        <f t="shared" si="2"/>
        <v>0</v>
      </c>
      <c r="BM88" s="12">
        <f t="shared" si="2"/>
        <v>0</v>
      </c>
      <c r="BN88" s="12">
        <f t="shared" si="2"/>
        <v>0</v>
      </c>
      <c r="BO88" s="12">
        <f t="shared" si="2"/>
        <v>0</v>
      </c>
      <c r="BP88" s="12">
        <f t="shared" si="2"/>
        <v>5871800</v>
      </c>
      <c r="BQ88" s="12">
        <f t="shared" si="2"/>
        <v>0</v>
      </c>
      <c r="BR88" s="12">
        <f t="shared" si="2"/>
        <v>0</v>
      </c>
      <c r="BS88" s="12">
        <f t="shared" si="2"/>
        <v>0</v>
      </c>
      <c r="BT88" s="12">
        <f t="shared" si="2"/>
        <v>0</v>
      </c>
      <c r="BU88" s="12">
        <f t="shared" si="2"/>
        <v>34064090</v>
      </c>
    </row>
    <row r="89" spans="3:78" hidden="1" x14ac:dyDescent="0.2">
      <c r="M89" s="12">
        <f t="shared" si="3"/>
        <v>-1188450</v>
      </c>
      <c r="N89" s="12">
        <f t="shared" si="3"/>
        <v>0</v>
      </c>
      <c r="O89" s="12">
        <f t="shared" si="3"/>
        <v>0</v>
      </c>
      <c r="P89" s="12">
        <f t="shared" si="3"/>
        <v>0</v>
      </c>
      <c r="Q89" s="12">
        <f t="shared" si="3"/>
        <v>0</v>
      </c>
      <c r="R89" s="12">
        <f t="shared" si="3"/>
        <v>-4154000</v>
      </c>
      <c r="S89" s="12">
        <f t="shared" si="3"/>
        <v>0</v>
      </c>
      <c r="T89" s="12">
        <f t="shared" si="3"/>
        <v>0</v>
      </c>
      <c r="U89" s="12">
        <f t="shared" si="3"/>
        <v>0</v>
      </c>
      <c r="V89" s="12">
        <f t="shared" si="3"/>
        <v>0</v>
      </c>
      <c r="W89" s="12">
        <f t="shared" si="3"/>
        <v>-2279700</v>
      </c>
      <c r="X89" s="12">
        <f t="shared" si="2"/>
        <v>0</v>
      </c>
      <c r="Y89" s="12">
        <f t="shared" si="2"/>
        <v>0</v>
      </c>
      <c r="Z89" s="12">
        <f t="shared" si="2"/>
        <v>0</v>
      </c>
      <c r="AA89" s="12">
        <f t="shared" si="2"/>
        <v>0</v>
      </c>
      <c r="AB89" s="12">
        <f t="shared" si="2"/>
        <v>2347140</v>
      </c>
      <c r="AC89" s="12">
        <f t="shared" si="2"/>
        <v>0</v>
      </c>
      <c r="AD89" s="12">
        <f t="shared" si="2"/>
        <v>0</v>
      </c>
      <c r="AE89" s="12">
        <f t="shared" si="2"/>
        <v>0</v>
      </c>
      <c r="AF89" s="12">
        <f t="shared" si="2"/>
        <v>0</v>
      </c>
      <c r="AG89" s="12">
        <f t="shared" si="2"/>
        <v>1589000</v>
      </c>
      <c r="AH89" s="12">
        <f t="shared" si="2"/>
        <v>0</v>
      </c>
      <c r="AI89" s="12">
        <f t="shared" si="2"/>
        <v>0</v>
      </c>
      <c r="AJ89" s="12">
        <f t="shared" si="2"/>
        <v>0</v>
      </c>
      <c r="AK89" s="12">
        <f t="shared" si="2"/>
        <v>0</v>
      </c>
      <c r="AL89" s="12">
        <f t="shared" si="2"/>
        <v>5065000</v>
      </c>
      <c r="AM89" s="12">
        <f t="shared" si="2"/>
        <v>0</v>
      </c>
      <c r="AN89" s="12">
        <f t="shared" si="2"/>
        <v>0</v>
      </c>
      <c r="AO89" s="12">
        <f t="shared" si="2"/>
        <v>0</v>
      </c>
      <c r="AP89" s="12">
        <f t="shared" si="2"/>
        <v>0</v>
      </c>
      <c r="AQ89" s="12">
        <f t="shared" si="2"/>
        <v>1282700</v>
      </c>
      <c r="AR89" s="12">
        <f t="shared" si="2"/>
        <v>0</v>
      </c>
      <c r="AS89" s="12">
        <f t="shared" si="2"/>
        <v>0</v>
      </c>
      <c r="AT89" s="12">
        <f t="shared" si="2"/>
        <v>0</v>
      </c>
      <c r="AU89" s="12">
        <f t="shared" si="2"/>
        <v>0</v>
      </c>
      <c r="AV89" s="12">
        <f t="shared" si="2"/>
        <v>2900000</v>
      </c>
      <c r="AW89" s="12">
        <f t="shared" si="2"/>
        <v>0</v>
      </c>
      <c r="AX89" s="12">
        <f t="shared" si="2"/>
        <v>0</v>
      </c>
      <c r="AY89" s="12">
        <f t="shared" si="2"/>
        <v>0</v>
      </c>
      <c r="AZ89" s="12">
        <f t="shared" si="2"/>
        <v>0</v>
      </c>
      <c r="BA89" s="12">
        <f t="shared" si="2"/>
        <v>4444760</v>
      </c>
      <c r="BB89" s="12">
        <f t="shared" si="2"/>
        <v>0</v>
      </c>
      <c r="BC89" s="12">
        <f t="shared" si="2"/>
        <v>0</v>
      </c>
      <c r="BD89" s="12">
        <f t="shared" si="2"/>
        <v>0</v>
      </c>
      <c r="BE89" s="12">
        <f t="shared" si="2"/>
        <v>0</v>
      </c>
      <c r="BF89" s="12">
        <f t="shared" si="2"/>
        <v>6625030</v>
      </c>
      <c r="BG89" s="12">
        <f t="shared" si="2"/>
        <v>0</v>
      </c>
      <c r="BH89" s="12">
        <f t="shared" si="2"/>
        <v>0</v>
      </c>
      <c r="BI89" s="12">
        <f t="shared" si="2"/>
        <v>0</v>
      </c>
      <c r="BJ89" s="12">
        <f t="shared" si="2"/>
        <v>0</v>
      </c>
      <c r="BK89" s="12">
        <f t="shared" si="2"/>
        <v>8151310</v>
      </c>
      <c r="BL89" s="12">
        <f t="shared" si="2"/>
        <v>0</v>
      </c>
      <c r="BM89" s="12">
        <f t="shared" si="2"/>
        <v>0</v>
      </c>
      <c r="BN89" s="12">
        <f t="shared" si="2"/>
        <v>0</v>
      </c>
      <c r="BO89" s="12">
        <f t="shared" si="2"/>
        <v>0</v>
      </c>
      <c r="BP89" s="12">
        <f t="shared" si="2"/>
        <v>10568450</v>
      </c>
      <c r="BQ89" s="12">
        <f t="shared" si="2"/>
        <v>0</v>
      </c>
      <c r="BR89" s="12">
        <f t="shared" si="2"/>
        <v>0</v>
      </c>
      <c r="BS89" s="12">
        <f t="shared" si="2"/>
        <v>0</v>
      </c>
      <c r="BT89" s="12">
        <f t="shared" si="2"/>
        <v>0</v>
      </c>
      <c r="BU89" s="12">
        <f t="shared" si="2"/>
        <v>35351240</v>
      </c>
    </row>
    <row r="90" spans="3:78" hidden="1" x14ac:dyDescent="0.2">
      <c r="M90" s="12">
        <f t="shared" si="3"/>
        <v>0</v>
      </c>
      <c r="N90" s="12">
        <f t="shared" si="3"/>
        <v>0</v>
      </c>
      <c r="O90" s="12">
        <f t="shared" si="3"/>
        <v>0</v>
      </c>
      <c r="P90" s="12">
        <f t="shared" si="3"/>
        <v>0</v>
      </c>
      <c r="Q90" s="12">
        <f t="shared" si="3"/>
        <v>0</v>
      </c>
      <c r="R90" s="12">
        <f t="shared" si="3"/>
        <v>0</v>
      </c>
      <c r="S90" s="12">
        <f t="shared" si="3"/>
        <v>0</v>
      </c>
      <c r="T90" s="12">
        <f t="shared" si="3"/>
        <v>0</v>
      </c>
      <c r="U90" s="12">
        <f t="shared" si="3"/>
        <v>0</v>
      </c>
      <c r="V90" s="12">
        <f t="shared" si="3"/>
        <v>0</v>
      </c>
      <c r="W90" s="12">
        <f t="shared" si="3"/>
        <v>0</v>
      </c>
      <c r="X90" s="12">
        <f t="shared" si="2"/>
        <v>0</v>
      </c>
      <c r="Y90" s="12">
        <f t="shared" si="2"/>
        <v>0</v>
      </c>
      <c r="Z90" s="12">
        <f t="shared" si="2"/>
        <v>0</v>
      </c>
      <c r="AA90" s="12">
        <f t="shared" si="2"/>
        <v>0</v>
      </c>
      <c r="AB90" s="12">
        <f t="shared" si="2"/>
        <v>0</v>
      </c>
      <c r="AC90" s="12">
        <f t="shared" si="2"/>
        <v>0</v>
      </c>
      <c r="AD90" s="12">
        <f t="shared" si="2"/>
        <v>0</v>
      </c>
      <c r="AE90" s="12">
        <f t="shared" si="2"/>
        <v>0</v>
      </c>
      <c r="AF90" s="12">
        <f t="shared" si="2"/>
        <v>0</v>
      </c>
      <c r="AG90" s="12">
        <f t="shared" si="2"/>
        <v>0</v>
      </c>
      <c r="AH90" s="12">
        <f t="shared" si="2"/>
        <v>0</v>
      </c>
      <c r="AI90" s="12">
        <f t="shared" si="2"/>
        <v>0</v>
      </c>
      <c r="AJ90" s="12">
        <f t="shared" si="2"/>
        <v>0</v>
      </c>
      <c r="AK90" s="12">
        <f t="shared" si="2"/>
        <v>0</v>
      </c>
      <c r="AL90" s="12">
        <f t="shared" si="2"/>
        <v>0</v>
      </c>
      <c r="AM90" s="12">
        <f t="shared" si="2"/>
        <v>0</v>
      </c>
      <c r="AN90" s="12">
        <f t="shared" si="2"/>
        <v>0</v>
      </c>
      <c r="AO90" s="12">
        <f t="shared" si="2"/>
        <v>0</v>
      </c>
      <c r="AP90" s="12">
        <f t="shared" si="2"/>
        <v>0</v>
      </c>
      <c r="AQ90" s="12">
        <f t="shared" si="2"/>
        <v>0</v>
      </c>
      <c r="AR90" s="12">
        <f t="shared" si="2"/>
        <v>0</v>
      </c>
      <c r="AS90" s="12">
        <f t="shared" si="2"/>
        <v>0</v>
      </c>
      <c r="AT90" s="12">
        <f t="shared" si="2"/>
        <v>0</v>
      </c>
      <c r="AU90" s="12">
        <f t="shared" si="2"/>
        <v>0</v>
      </c>
      <c r="AV90" s="12">
        <f t="shared" si="2"/>
        <v>0</v>
      </c>
      <c r="AW90" s="12">
        <f t="shared" si="2"/>
        <v>0</v>
      </c>
      <c r="AX90" s="12">
        <f t="shared" si="2"/>
        <v>0</v>
      </c>
      <c r="AY90" s="12">
        <f t="shared" si="2"/>
        <v>0</v>
      </c>
      <c r="AZ90" s="12">
        <f t="shared" si="2"/>
        <v>0</v>
      </c>
      <c r="BA90" s="12">
        <f t="shared" si="2"/>
        <v>0</v>
      </c>
      <c r="BB90" s="12">
        <f t="shared" si="2"/>
        <v>0</v>
      </c>
      <c r="BC90" s="12">
        <f t="shared" si="2"/>
        <v>0</v>
      </c>
      <c r="BD90" s="12">
        <f t="shared" si="2"/>
        <v>0</v>
      </c>
      <c r="BE90" s="12">
        <f t="shared" si="2"/>
        <v>0</v>
      </c>
      <c r="BF90" s="12">
        <f t="shared" si="2"/>
        <v>0</v>
      </c>
      <c r="BG90" s="12">
        <f t="shared" si="2"/>
        <v>0</v>
      </c>
      <c r="BH90" s="12">
        <f t="shared" si="2"/>
        <v>0</v>
      </c>
      <c r="BI90" s="12">
        <f t="shared" si="2"/>
        <v>0</v>
      </c>
      <c r="BJ90" s="12">
        <f t="shared" si="2"/>
        <v>0</v>
      </c>
      <c r="BK90" s="12">
        <f t="shared" si="2"/>
        <v>0</v>
      </c>
      <c r="BL90" s="12">
        <f t="shared" si="2"/>
        <v>0</v>
      </c>
      <c r="BM90" s="12">
        <f t="shared" si="2"/>
        <v>0</v>
      </c>
      <c r="BN90" s="12">
        <f t="shared" si="2"/>
        <v>0</v>
      </c>
      <c r="BO90" s="12">
        <f t="shared" si="2"/>
        <v>0</v>
      </c>
      <c r="BP90" s="12">
        <f t="shared" si="2"/>
        <v>0</v>
      </c>
      <c r="BQ90" s="12">
        <f t="shared" si="2"/>
        <v>0</v>
      </c>
      <c r="BR90" s="12">
        <f t="shared" si="2"/>
        <v>0</v>
      </c>
      <c r="BS90" s="12">
        <f t="shared" si="2"/>
        <v>0</v>
      </c>
      <c r="BT90" s="12">
        <f t="shared" si="2"/>
        <v>0</v>
      </c>
      <c r="BU90" s="12">
        <f t="shared" si="2"/>
        <v>0</v>
      </c>
    </row>
    <row r="91" spans="3:78" hidden="1" x14ac:dyDescent="0.2">
      <c r="M91" s="12">
        <f t="shared" si="3"/>
        <v>6977593</v>
      </c>
      <c r="N91" s="12">
        <f t="shared" si="3"/>
        <v>0</v>
      </c>
      <c r="O91" s="12">
        <f t="shared" si="3"/>
        <v>0</v>
      </c>
      <c r="P91" s="12">
        <f t="shared" si="3"/>
        <v>0</v>
      </c>
      <c r="Q91" s="12">
        <f t="shared" si="3"/>
        <v>0</v>
      </c>
      <c r="R91" s="12">
        <f t="shared" si="3"/>
        <v>8354341</v>
      </c>
      <c r="S91" s="12">
        <f t="shared" si="3"/>
        <v>0</v>
      </c>
      <c r="T91" s="12">
        <f t="shared" si="3"/>
        <v>0</v>
      </c>
      <c r="U91" s="12">
        <f t="shared" si="3"/>
        <v>0</v>
      </c>
      <c r="V91" s="12">
        <f t="shared" si="3"/>
        <v>0</v>
      </c>
      <c r="W91" s="12">
        <f t="shared" si="3"/>
        <v>-9180526</v>
      </c>
      <c r="X91" s="12">
        <f t="shared" si="2"/>
        <v>0</v>
      </c>
      <c r="Y91" s="12">
        <f t="shared" si="2"/>
        <v>0</v>
      </c>
      <c r="Z91" s="12">
        <f t="shared" si="2"/>
        <v>0</v>
      </c>
      <c r="AA91" s="12">
        <f t="shared" si="2"/>
        <v>0</v>
      </c>
      <c r="AB91" s="12">
        <f t="shared" si="2"/>
        <v>9481913</v>
      </c>
      <c r="AC91" s="12">
        <f t="shared" si="2"/>
        <v>0</v>
      </c>
      <c r="AD91" s="12">
        <f t="shared" si="2"/>
        <v>0</v>
      </c>
      <c r="AE91" s="12">
        <f t="shared" si="2"/>
        <v>0</v>
      </c>
      <c r="AF91" s="12">
        <f t="shared" si="2"/>
        <v>0</v>
      </c>
      <c r="AG91" s="12">
        <f t="shared" si="2"/>
        <v>-22442322</v>
      </c>
      <c r="AH91" s="12">
        <f t="shared" si="2"/>
        <v>0</v>
      </c>
      <c r="AI91" s="12">
        <f t="shared" si="2"/>
        <v>0</v>
      </c>
      <c r="AJ91" s="12">
        <f t="shared" si="2"/>
        <v>0</v>
      </c>
      <c r="AK91" s="12">
        <f t="shared" si="2"/>
        <v>0</v>
      </c>
      <c r="AL91" s="12">
        <f t="shared" si="2"/>
        <v>8649092</v>
      </c>
      <c r="AM91" s="12">
        <f t="shared" si="2"/>
        <v>0</v>
      </c>
      <c r="AN91" s="12">
        <f t="shared" si="2"/>
        <v>0</v>
      </c>
      <c r="AO91" s="12">
        <f t="shared" si="2"/>
        <v>0</v>
      </c>
      <c r="AP91" s="12">
        <f t="shared" si="2"/>
        <v>0</v>
      </c>
      <c r="AQ91" s="12">
        <f t="shared" si="2"/>
        <v>14802072</v>
      </c>
      <c r="AR91" s="12">
        <f t="shared" si="2"/>
        <v>0</v>
      </c>
      <c r="AS91" s="12">
        <f t="shared" si="2"/>
        <v>0</v>
      </c>
      <c r="AT91" s="12">
        <f t="shared" si="2"/>
        <v>0</v>
      </c>
      <c r="AU91" s="12">
        <f t="shared" si="2"/>
        <v>0</v>
      </c>
      <c r="AV91" s="12">
        <f t="shared" si="2"/>
        <v>-14046167</v>
      </c>
      <c r="AW91" s="12">
        <f t="shared" si="2"/>
        <v>0</v>
      </c>
      <c r="AX91" s="12">
        <f t="shared" si="2"/>
        <v>0</v>
      </c>
      <c r="AY91" s="12">
        <f t="shared" si="2"/>
        <v>0</v>
      </c>
      <c r="AZ91" s="12">
        <f t="shared" si="2"/>
        <v>0</v>
      </c>
      <c r="BA91" s="12">
        <f t="shared" si="2"/>
        <v>-23237233</v>
      </c>
      <c r="BB91" s="12">
        <f t="shared" si="2"/>
        <v>0</v>
      </c>
      <c r="BC91" s="12">
        <f t="shared" si="2"/>
        <v>0</v>
      </c>
      <c r="BD91" s="12">
        <f t="shared" si="2"/>
        <v>0</v>
      </c>
      <c r="BE91" s="12">
        <f t="shared" si="2"/>
        <v>0</v>
      </c>
      <c r="BF91" s="12">
        <f t="shared" si="2"/>
        <v>-13985149</v>
      </c>
      <c r="BG91" s="12">
        <f t="shared" si="2"/>
        <v>0</v>
      </c>
      <c r="BH91" s="12">
        <f t="shared" si="2"/>
        <v>0</v>
      </c>
      <c r="BI91" s="12">
        <f t="shared" si="2"/>
        <v>0</v>
      </c>
      <c r="BJ91" s="12">
        <f t="shared" si="2"/>
        <v>0</v>
      </c>
      <c r="BK91" s="12">
        <f t="shared" si="2"/>
        <v>-30086615</v>
      </c>
      <c r="BL91" s="12">
        <f t="shared" si="2"/>
        <v>0</v>
      </c>
      <c r="BM91" s="12">
        <f t="shared" si="2"/>
        <v>0</v>
      </c>
      <c r="BN91" s="12">
        <f t="shared" si="2"/>
        <v>0</v>
      </c>
      <c r="BO91" s="12">
        <f t="shared" si="2"/>
        <v>0</v>
      </c>
      <c r="BP91" s="12">
        <f t="shared" si="2"/>
        <v>27351093</v>
      </c>
      <c r="BQ91" s="12">
        <f t="shared" si="2"/>
        <v>0</v>
      </c>
      <c r="BR91" s="12">
        <f t="shared" si="2"/>
        <v>0</v>
      </c>
      <c r="BS91" s="12">
        <f t="shared" si="2"/>
        <v>0</v>
      </c>
      <c r="BT91" s="12">
        <f t="shared" si="2"/>
        <v>0</v>
      </c>
      <c r="BU91" s="12">
        <f t="shared" si="2"/>
        <v>-37361908</v>
      </c>
    </row>
    <row r="92" spans="3:78" hidden="1" x14ac:dyDescent="0.2">
      <c r="M92" s="12">
        <f t="shared" si="3"/>
        <v>0</v>
      </c>
      <c r="N92" s="12">
        <f t="shared" si="3"/>
        <v>0</v>
      </c>
      <c r="O92" s="12">
        <f t="shared" si="3"/>
        <v>0</v>
      </c>
      <c r="P92" s="12">
        <f t="shared" si="3"/>
        <v>0</v>
      </c>
      <c r="Q92" s="12">
        <f t="shared" si="3"/>
        <v>0</v>
      </c>
      <c r="R92" s="12">
        <f t="shared" si="3"/>
        <v>0</v>
      </c>
      <c r="S92" s="12">
        <f t="shared" si="3"/>
        <v>0</v>
      </c>
      <c r="T92" s="12">
        <f t="shared" si="3"/>
        <v>0</v>
      </c>
      <c r="U92" s="12">
        <f t="shared" si="3"/>
        <v>0</v>
      </c>
      <c r="V92" s="12">
        <f t="shared" si="3"/>
        <v>0</v>
      </c>
      <c r="W92" s="12">
        <f t="shared" si="3"/>
        <v>0</v>
      </c>
      <c r="X92" s="12">
        <f t="shared" si="2"/>
        <v>0</v>
      </c>
      <c r="Y92" s="12">
        <f t="shared" si="2"/>
        <v>0</v>
      </c>
      <c r="Z92" s="12">
        <f t="shared" si="2"/>
        <v>0</v>
      </c>
      <c r="AA92" s="12">
        <f t="shared" si="2"/>
        <v>0</v>
      </c>
      <c r="AB92" s="12">
        <f t="shared" si="2"/>
        <v>0</v>
      </c>
      <c r="AC92" s="12">
        <f t="shared" ref="AC92:BU96" si="4">AC22-CU22</f>
        <v>0</v>
      </c>
      <c r="AD92" s="12">
        <f t="shared" si="4"/>
        <v>0</v>
      </c>
      <c r="AE92" s="12">
        <f t="shared" si="4"/>
        <v>0</v>
      </c>
      <c r="AF92" s="12">
        <f t="shared" si="4"/>
        <v>0</v>
      </c>
      <c r="AG92" s="12">
        <f t="shared" si="4"/>
        <v>0</v>
      </c>
      <c r="AH92" s="12">
        <f t="shared" si="4"/>
        <v>0</v>
      </c>
      <c r="AI92" s="12">
        <f t="shared" si="4"/>
        <v>0</v>
      </c>
      <c r="AJ92" s="12">
        <f t="shared" si="4"/>
        <v>0</v>
      </c>
      <c r="AK92" s="12">
        <f t="shared" si="4"/>
        <v>0</v>
      </c>
      <c r="AL92" s="12">
        <f t="shared" si="4"/>
        <v>0</v>
      </c>
      <c r="AM92" s="12">
        <f t="shared" si="4"/>
        <v>0</v>
      </c>
      <c r="AN92" s="12">
        <f t="shared" si="4"/>
        <v>0</v>
      </c>
      <c r="AO92" s="12">
        <f t="shared" si="4"/>
        <v>0</v>
      </c>
      <c r="AP92" s="12">
        <f t="shared" si="4"/>
        <v>0</v>
      </c>
      <c r="AQ92" s="12">
        <f t="shared" si="4"/>
        <v>0</v>
      </c>
      <c r="AR92" s="12">
        <f t="shared" si="4"/>
        <v>0</v>
      </c>
      <c r="AS92" s="12">
        <f t="shared" si="4"/>
        <v>0</v>
      </c>
      <c r="AT92" s="12">
        <f t="shared" si="4"/>
        <v>0</v>
      </c>
      <c r="AU92" s="12">
        <f t="shared" si="4"/>
        <v>0</v>
      </c>
      <c r="AV92" s="12">
        <f t="shared" si="4"/>
        <v>0</v>
      </c>
      <c r="AW92" s="12">
        <f t="shared" si="4"/>
        <v>0</v>
      </c>
      <c r="AX92" s="12">
        <f t="shared" si="4"/>
        <v>0</v>
      </c>
      <c r="AY92" s="12">
        <f t="shared" si="4"/>
        <v>0</v>
      </c>
      <c r="AZ92" s="12">
        <f t="shared" si="4"/>
        <v>0</v>
      </c>
      <c r="BA92" s="12">
        <f t="shared" si="4"/>
        <v>0</v>
      </c>
      <c r="BB92" s="12">
        <f t="shared" si="4"/>
        <v>0</v>
      </c>
      <c r="BC92" s="12">
        <f t="shared" si="4"/>
        <v>0</v>
      </c>
      <c r="BD92" s="12">
        <f t="shared" si="4"/>
        <v>0</v>
      </c>
      <c r="BE92" s="12">
        <f t="shared" si="4"/>
        <v>0</v>
      </c>
      <c r="BF92" s="12">
        <f t="shared" si="4"/>
        <v>0</v>
      </c>
      <c r="BG92" s="12">
        <f t="shared" si="4"/>
        <v>0</v>
      </c>
      <c r="BH92" s="12">
        <f t="shared" si="4"/>
        <v>0</v>
      </c>
      <c r="BI92" s="12">
        <f t="shared" si="4"/>
        <v>0</v>
      </c>
      <c r="BJ92" s="12">
        <f t="shared" si="4"/>
        <v>0</v>
      </c>
      <c r="BK92" s="12">
        <f t="shared" si="4"/>
        <v>0</v>
      </c>
      <c r="BL92" s="12">
        <f t="shared" si="4"/>
        <v>0</v>
      </c>
      <c r="BM92" s="12">
        <f t="shared" si="4"/>
        <v>0</v>
      </c>
      <c r="BN92" s="12">
        <f t="shared" si="4"/>
        <v>0</v>
      </c>
      <c r="BO92" s="12">
        <f t="shared" si="4"/>
        <v>0</v>
      </c>
      <c r="BP92" s="12">
        <f t="shared" si="4"/>
        <v>0</v>
      </c>
      <c r="BQ92" s="12">
        <f t="shared" si="4"/>
        <v>0</v>
      </c>
      <c r="BR92" s="12">
        <f t="shared" si="4"/>
        <v>0</v>
      </c>
      <c r="BS92" s="12">
        <f t="shared" si="4"/>
        <v>0</v>
      </c>
      <c r="BT92" s="12">
        <f t="shared" si="4"/>
        <v>0</v>
      </c>
      <c r="BU92" s="12">
        <f t="shared" si="4"/>
        <v>0</v>
      </c>
    </row>
    <row r="93" spans="3:78" hidden="1" x14ac:dyDescent="0.2">
      <c r="M93" s="12">
        <f t="shared" si="3"/>
        <v>13716303</v>
      </c>
      <c r="N93" s="12">
        <f t="shared" si="3"/>
        <v>0</v>
      </c>
      <c r="O93" s="12">
        <f t="shared" si="3"/>
        <v>0</v>
      </c>
      <c r="P93" s="12">
        <f t="shared" si="3"/>
        <v>0</v>
      </c>
      <c r="Q93" s="12">
        <f t="shared" si="3"/>
        <v>0</v>
      </c>
      <c r="R93" s="12">
        <f t="shared" si="3"/>
        <v>16255001.743999995</v>
      </c>
      <c r="S93" s="12">
        <f t="shared" si="3"/>
        <v>0</v>
      </c>
      <c r="T93" s="12">
        <f t="shared" si="3"/>
        <v>0</v>
      </c>
      <c r="U93" s="12">
        <f t="shared" si="3"/>
        <v>0</v>
      </c>
      <c r="V93" s="12">
        <f t="shared" si="3"/>
        <v>0</v>
      </c>
      <c r="W93" s="12">
        <f t="shared" si="3"/>
        <v>24197809</v>
      </c>
      <c r="X93" s="12">
        <f t="shared" si="3"/>
        <v>0</v>
      </c>
      <c r="Y93" s="12">
        <f t="shared" si="3"/>
        <v>0</v>
      </c>
      <c r="Z93" s="12">
        <f t="shared" si="3"/>
        <v>0</v>
      </c>
      <c r="AA93" s="12">
        <f t="shared" si="3"/>
        <v>0</v>
      </c>
      <c r="AB93" s="12">
        <f t="shared" si="3"/>
        <v>37800698</v>
      </c>
      <c r="AC93" s="12">
        <f t="shared" si="4"/>
        <v>0</v>
      </c>
      <c r="AD93" s="12">
        <f t="shared" si="4"/>
        <v>0</v>
      </c>
      <c r="AE93" s="12">
        <f t="shared" si="4"/>
        <v>0</v>
      </c>
      <c r="AF93" s="12">
        <f t="shared" si="4"/>
        <v>0</v>
      </c>
      <c r="AG93" s="12">
        <f t="shared" si="4"/>
        <v>9064672</v>
      </c>
      <c r="AH93" s="12">
        <f t="shared" si="4"/>
        <v>0</v>
      </c>
      <c r="AI93" s="12">
        <f t="shared" si="4"/>
        <v>0</v>
      </c>
      <c r="AJ93" s="12">
        <f t="shared" si="4"/>
        <v>0</v>
      </c>
      <c r="AK93" s="12">
        <f t="shared" si="4"/>
        <v>0</v>
      </c>
      <c r="AL93" s="12">
        <f t="shared" si="4"/>
        <v>21319784</v>
      </c>
      <c r="AM93" s="12">
        <f t="shared" si="4"/>
        <v>0</v>
      </c>
      <c r="AN93" s="12">
        <f t="shared" si="4"/>
        <v>0</v>
      </c>
      <c r="AO93" s="12">
        <f t="shared" si="4"/>
        <v>0</v>
      </c>
      <c r="AP93" s="12">
        <f t="shared" si="4"/>
        <v>0</v>
      </c>
      <c r="AQ93" s="12">
        <f t="shared" si="4"/>
        <v>19644925</v>
      </c>
      <c r="AR93" s="12">
        <f t="shared" si="4"/>
        <v>0</v>
      </c>
      <c r="AS93" s="12">
        <f t="shared" si="4"/>
        <v>0</v>
      </c>
      <c r="AT93" s="12">
        <f t="shared" si="4"/>
        <v>0</v>
      </c>
      <c r="AU93" s="12">
        <f t="shared" si="4"/>
        <v>0</v>
      </c>
      <c r="AV93" s="12">
        <f t="shared" si="4"/>
        <v>8492669</v>
      </c>
      <c r="AW93" s="12">
        <f t="shared" si="4"/>
        <v>0</v>
      </c>
      <c r="AX93" s="12">
        <f t="shared" si="4"/>
        <v>0</v>
      </c>
      <c r="AY93" s="12">
        <f t="shared" si="4"/>
        <v>0</v>
      </c>
      <c r="AZ93" s="12">
        <f t="shared" si="4"/>
        <v>0</v>
      </c>
      <c r="BA93" s="12">
        <f t="shared" si="4"/>
        <v>21858412</v>
      </c>
      <c r="BB93" s="12">
        <f t="shared" si="4"/>
        <v>0</v>
      </c>
      <c r="BC93" s="12">
        <f t="shared" si="4"/>
        <v>0</v>
      </c>
      <c r="BD93" s="12">
        <f t="shared" si="4"/>
        <v>0</v>
      </c>
      <c r="BE93" s="12">
        <f t="shared" si="4"/>
        <v>0</v>
      </c>
      <c r="BF93" s="12">
        <f t="shared" si="4"/>
        <v>31522443</v>
      </c>
      <c r="BG93" s="12">
        <f t="shared" si="4"/>
        <v>0</v>
      </c>
      <c r="BH93" s="12">
        <f t="shared" si="4"/>
        <v>0</v>
      </c>
      <c r="BI93" s="12">
        <f t="shared" si="4"/>
        <v>0</v>
      </c>
      <c r="BJ93" s="12">
        <f t="shared" si="4"/>
        <v>0</v>
      </c>
      <c r="BK93" s="12">
        <f t="shared" si="4"/>
        <v>13287564</v>
      </c>
      <c r="BL93" s="12">
        <f t="shared" si="4"/>
        <v>0</v>
      </c>
      <c r="BM93" s="12">
        <f t="shared" si="4"/>
        <v>0</v>
      </c>
      <c r="BN93" s="12">
        <f t="shared" si="4"/>
        <v>0</v>
      </c>
      <c r="BO93" s="12">
        <f t="shared" si="4"/>
        <v>0</v>
      </c>
      <c r="BP93" s="12">
        <f t="shared" si="4"/>
        <v>-32986599</v>
      </c>
      <c r="BQ93" s="12">
        <f t="shared" si="4"/>
        <v>0</v>
      </c>
      <c r="BR93" s="12">
        <f t="shared" si="4"/>
        <v>0</v>
      </c>
      <c r="BS93" s="12">
        <f t="shared" si="4"/>
        <v>0</v>
      </c>
      <c r="BT93" s="12">
        <f t="shared" si="4"/>
        <v>0</v>
      </c>
      <c r="BU93" s="12">
        <f t="shared" si="4"/>
        <v>184173681.74399996</v>
      </c>
    </row>
    <row r="94" spans="3:78" hidden="1" x14ac:dyDescent="0.2">
      <c r="M94" s="12">
        <f t="shared" si="3"/>
        <v>13716303</v>
      </c>
      <c r="N94" s="12">
        <f t="shared" si="3"/>
        <v>0</v>
      </c>
      <c r="O94" s="12">
        <f t="shared" si="3"/>
        <v>0</v>
      </c>
      <c r="P94" s="12">
        <f t="shared" si="3"/>
        <v>0</v>
      </c>
      <c r="Q94" s="12">
        <f t="shared" si="3"/>
        <v>0</v>
      </c>
      <c r="R94" s="12">
        <f t="shared" si="3"/>
        <v>15965711.743999995</v>
      </c>
      <c r="S94" s="12">
        <f t="shared" si="3"/>
        <v>0</v>
      </c>
      <c r="T94" s="12">
        <f t="shared" si="3"/>
        <v>0</v>
      </c>
      <c r="U94" s="12">
        <f t="shared" si="3"/>
        <v>0</v>
      </c>
      <c r="V94" s="12">
        <f t="shared" si="3"/>
        <v>0</v>
      </c>
      <c r="W94" s="12">
        <f t="shared" si="3"/>
        <v>24197809</v>
      </c>
      <c r="X94" s="12">
        <f t="shared" si="3"/>
        <v>0</v>
      </c>
      <c r="Y94" s="12">
        <f t="shared" si="3"/>
        <v>0</v>
      </c>
      <c r="Z94" s="12">
        <f t="shared" si="3"/>
        <v>0</v>
      </c>
      <c r="AA94" s="12">
        <f t="shared" si="3"/>
        <v>0</v>
      </c>
      <c r="AB94" s="12">
        <f t="shared" si="3"/>
        <v>37800698</v>
      </c>
      <c r="AC94" s="12">
        <f t="shared" si="4"/>
        <v>0</v>
      </c>
      <c r="AD94" s="12">
        <f t="shared" si="4"/>
        <v>0</v>
      </c>
      <c r="AE94" s="12">
        <f t="shared" si="4"/>
        <v>0</v>
      </c>
      <c r="AF94" s="12">
        <f t="shared" si="4"/>
        <v>0</v>
      </c>
      <c r="AG94" s="12">
        <f t="shared" si="4"/>
        <v>9064672</v>
      </c>
      <c r="AH94" s="12">
        <f t="shared" si="4"/>
        <v>0</v>
      </c>
      <c r="AI94" s="12">
        <f t="shared" si="4"/>
        <v>0</v>
      </c>
      <c r="AJ94" s="12">
        <f t="shared" si="4"/>
        <v>0</v>
      </c>
      <c r="AK94" s="12">
        <f t="shared" si="4"/>
        <v>0</v>
      </c>
      <c r="AL94" s="12">
        <f t="shared" si="4"/>
        <v>21319784</v>
      </c>
      <c r="AM94" s="12">
        <f t="shared" si="4"/>
        <v>0</v>
      </c>
      <c r="AN94" s="12">
        <f t="shared" si="4"/>
        <v>0</v>
      </c>
      <c r="AO94" s="12">
        <f t="shared" si="4"/>
        <v>0</v>
      </c>
      <c r="AP94" s="12">
        <f t="shared" si="4"/>
        <v>0</v>
      </c>
      <c r="AQ94" s="12">
        <f t="shared" si="4"/>
        <v>19644925</v>
      </c>
      <c r="AR94" s="12">
        <f t="shared" si="4"/>
        <v>0</v>
      </c>
      <c r="AS94" s="12">
        <f t="shared" si="4"/>
        <v>0</v>
      </c>
      <c r="AT94" s="12">
        <f t="shared" si="4"/>
        <v>0</v>
      </c>
      <c r="AU94" s="12">
        <f t="shared" si="4"/>
        <v>0</v>
      </c>
      <c r="AV94" s="12">
        <f t="shared" si="4"/>
        <v>8406792</v>
      </c>
      <c r="AW94" s="12">
        <f t="shared" si="4"/>
        <v>0</v>
      </c>
      <c r="AX94" s="12">
        <f t="shared" si="4"/>
        <v>0</v>
      </c>
      <c r="AY94" s="12">
        <f t="shared" si="4"/>
        <v>0</v>
      </c>
      <c r="AZ94" s="12">
        <f t="shared" si="4"/>
        <v>0</v>
      </c>
      <c r="BA94" s="12">
        <f t="shared" si="4"/>
        <v>21944289</v>
      </c>
      <c r="BB94" s="12">
        <f t="shared" si="4"/>
        <v>0</v>
      </c>
      <c r="BC94" s="12">
        <f t="shared" si="4"/>
        <v>0</v>
      </c>
      <c r="BD94" s="12">
        <f t="shared" si="4"/>
        <v>0</v>
      </c>
      <c r="BE94" s="12">
        <f t="shared" si="4"/>
        <v>0</v>
      </c>
      <c r="BF94" s="12">
        <f t="shared" si="4"/>
        <v>31522443</v>
      </c>
      <c r="BG94" s="12">
        <f t="shared" si="4"/>
        <v>0</v>
      </c>
      <c r="BH94" s="12">
        <f t="shared" si="4"/>
        <v>0</v>
      </c>
      <c r="BI94" s="12">
        <f t="shared" si="4"/>
        <v>0</v>
      </c>
      <c r="BJ94" s="12">
        <f t="shared" si="4"/>
        <v>0</v>
      </c>
      <c r="BK94" s="12">
        <f t="shared" si="4"/>
        <v>13245850</v>
      </c>
      <c r="BL94" s="12">
        <f t="shared" si="4"/>
        <v>0</v>
      </c>
      <c r="BM94" s="12">
        <f t="shared" si="4"/>
        <v>0</v>
      </c>
      <c r="BN94" s="12">
        <f t="shared" si="4"/>
        <v>0</v>
      </c>
      <c r="BO94" s="12">
        <f t="shared" si="4"/>
        <v>0</v>
      </c>
      <c r="BP94" s="12">
        <f t="shared" si="4"/>
        <v>-32986599</v>
      </c>
      <c r="BQ94" s="12">
        <f t="shared" si="4"/>
        <v>0</v>
      </c>
      <c r="BR94" s="12">
        <f t="shared" si="4"/>
        <v>0</v>
      </c>
      <c r="BS94" s="12">
        <f t="shared" si="4"/>
        <v>0</v>
      </c>
      <c r="BT94" s="12">
        <f t="shared" si="4"/>
        <v>0</v>
      </c>
      <c r="BU94" s="12">
        <f t="shared" si="4"/>
        <v>183842677.74399996</v>
      </c>
    </row>
    <row r="95" spans="3:78" hidden="1" x14ac:dyDescent="0.2">
      <c r="M95" s="12">
        <f t="shared" si="3"/>
        <v>17624743</v>
      </c>
      <c r="N95" s="12">
        <f t="shared" si="3"/>
        <v>0</v>
      </c>
      <c r="O95" s="12">
        <f t="shared" si="3"/>
        <v>0</v>
      </c>
      <c r="P95" s="12">
        <f t="shared" si="3"/>
        <v>0</v>
      </c>
      <c r="Q95" s="12">
        <f t="shared" si="3"/>
        <v>0</v>
      </c>
      <c r="R95" s="12">
        <f t="shared" si="3"/>
        <v>18452036.743999995</v>
      </c>
      <c r="S95" s="12">
        <f t="shared" si="3"/>
        <v>0</v>
      </c>
      <c r="T95" s="12">
        <f t="shared" si="3"/>
        <v>0</v>
      </c>
      <c r="U95" s="12">
        <f t="shared" si="3"/>
        <v>0</v>
      </c>
      <c r="V95" s="12">
        <f t="shared" si="3"/>
        <v>0</v>
      </c>
      <c r="W95" s="12">
        <f t="shared" si="3"/>
        <v>28476641</v>
      </c>
      <c r="X95" s="12">
        <f t="shared" si="3"/>
        <v>0</v>
      </c>
      <c r="Y95" s="12">
        <f t="shared" si="3"/>
        <v>0</v>
      </c>
      <c r="Z95" s="12">
        <f t="shared" si="3"/>
        <v>0</v>
      </c>
      <c r="AA95" s="12">
        <f t="shared" si="3"/>
        <v>0</v>
      </c>
      <c r="AB95" s="12">
        <f t="shared" si="3"/>
        <v>45172203</v>
      </c>
      <c r="AC95" s="12">
        <f t="shared" si="4"/>
        <v>0</v>
      </c>
      <c r="AD95" s="12">
        <f t="shared" si="4"/>
        <v>0</v>
      </c>
      <c r="AE95" s="12">
        <f t="shared" si="4"/>
        <v>0</v>
      </c>
      <c r="AF95" s="12">
        <f t="shared" si="4"/>
        <v>0</v>
      </c>
      <c r="AG95" s="12">
        <f t="shared" si="4"/>
        <v>13414624</v>
      </c>
      <c r="AH95" s="12">
        <f t="shared" si="4"/>
        <v>0</v>
      </c>
      <c r="AI95" s="12">
        <f t="shared" si="4"/>
        <v>0</v>
      </c>
      <c r="AJ95" s="12">
        <f t="shared" si="4"/>
        <v>0</v>
      </c>
      <c r="AK95" s="12">
        <f t="shared" si="4"/>
        <v>0</v>
      </c>
      <c r="AL95" s="12">
        <f t="shared" si="4"/>
        <v>29397396</v>
      </c>
      <c r="AM95" s="12">
        <f t="shared" si="4"/>
        <v>0</v>
      </c>
      <c r="AN95" s="12">
        <f t="shared" si="4"/>
        <v>0</v>
      </c>
      <c r="AO95" s="12">
        <f t="shared" si="4"/>
        <v>0</v>
      </c>
      <c r="AP95" s="12">
        <f t="shared" si="4"/>
        <v>0</v>
      </c>
      <c r="AQ95" s="12">
        <f t="shared" si="4"/>
        <v>25960536</v>
      </c>
      <c r="AR95" s="12">
        <f t="shared" si="4"/>
        <v>0</v>
      </c>
      <c r="AS95" s="12">
        <f t="shared" si="4"/>
        <v>0</v>
      </c>
      <c r="AT95" s="12">
        <f t="shared" si="4"/>
        <v>0</v>
      </c>
      <c r="AU95" s="12">
        <f t="shared" si="4"/>
        <v>0</v>
      </c>
      <c r="AV95" s="12">
        <f t="shared" si="4"/>
        <v>12046075</v>
      </c>
      <c r="AW95" s="12">
        <f t="shared" si="4"/>
        <v>0</v>
      </c>
      <c r="AX95" s="12">
        <f t="shared" si="4"/>
        <v>0</v>
      </c>
      <c r="AY95" s="12">
        <f t="shared" si="4"/>
        <v>0</v>
      </c>
      <c r="AZ95" s="12">
        <f t="shared" si="4"/>
        <v>0</v>
      </c>
      <c r="BA95" s="12">
        <f t="shared" si="4"/>
        <v>25715065</v>
      </c>
      <c r="BB95" s="12">
        <f t="shared" si="4"/>
        <v>0</v>
      </c>
      <c r="BC95" s="12">
        <f t="shared" si="4"/>
        <v>0</v>
      </c>
      <c r="BD95" s="12">
        <f t="shared" si="4"/>
        <v>0</v>
      </c>
      <c r="BE95" s="12">
        <f t="shared" si="4"/>
        <v>0</v>
      </c>
      <c r="BF95" s="12">
        <f t="shared" si="4"/>
        <v>17497866</v>
      </c>
      <c r="BG95" s="12">
        <f t="shared" si="4"/>
        <v>0</v>
      </c>
      <c r="BH95" s="12">
        <f t="shared" si="4"/>
        <v>0</v>
      </c>
      <c r="BI95" s="12">
        <f t="shared" si="4"/>
        <v>0</v>
      </c>
      <c r="BJ95" s="12">
        <f t="shared" si="4"/>
        <v>0</v>
      </c>
      <c r="BK95" s="12">
        <f t="shared" si="4"/>
        <v>17131929</v>
      </c>
      <c r="BL95" s="12">
        <f t="shared" si="4"/>
        <v>0</v>
      </c>
      <c r="BM95" s="12">
        <f t="shared" si="4"/>
        <v>0</v>
      </c>
      <c r="BN95" s="12">
        <f t="shared" si="4"/>
        <v>0</v>
      </c>
      <c r="BO95" s="12">
        <f t="shared" si="4"/>
        <v>0</v>
      </c>
      <c r="BP95" s="12">
        <f t="shared" si="4"/>
        <v>18361191</v>
      </c>
      <c r="BQ95" s="12">
        <f t="shared" si="4"/>
        <v>0</v>
      </c>
      <c r="BR95" s="12">
        <f t="shared" si="4"/>
        <v>0</v>
      </c>
      <c r="BS95" s="12">
        <f t="shared" si="4"/>
        <v>0</v>
      </c>
      <c r="BT95" s="12">
        <f t="shared" si="4"/>
        <v>0</v>
      </c>
      <c r="BU95" s="12">
        <f t="shared" si="4"/>
        <v>269250305.74399996</v>
      </c>
    </row>
    <row r="96" spans="3:78" hidden="1" x14ac:dyDescent="0.2">
      <c r="M96" s="12">
        <f t="shared" si="3"/>
        <v>-3042815</v>
      </c>
      <c r="N96" s="12">
        <f t="shared" si="3"/>
        <v>0</v>
      </c>
      <c r="O96" s="12">
        <f t="shared" si="3"/>
        <v>0</v>
      </c>
      <c r="P96" s="12">
        <f t="shared" si="3"/>
        <v>0</v>
      </c>
      <c r="Q96" s="12">
        <f t="shared" si="3"/>
        <v>0</v>
      </c>
      <c r="R96" s="12">
        <f t="shared" si="3"/>
        <v>-2405672</v>
      </c>
      <c r="S96" s="12">
        <f t="shared" si="3"/>
        <v>0</v>
      </c>
      <c r="T96" s="12">
        <f t="shared" si="3"/>
        <v>0</v>
      </c>
      <c r="U96" s="12">
        <f t="shared" si="3"/>
        <v>0</v>
      </c>
      <c r="V96" s="12">
        <f t="shared" si="3"/>
        <v>0</v>
      </c>
      <c r="W96" s="12">
        <f t="shared" si="3"/>
        <v>-4417363</v>
      </c>
      <c r="X96" s="12">
        <f t="shared" si="3"/>
        <v>0</v>
      </c>
      <c r="Y96" s="12">
        <f t="shared" si="3"/>
        <v>0</v>
      </c>
      <c r="Z96" s="12">
        <f t="shared" si="3"/>
        <v>0</v>
      </c>
      <c r="AA96" s="12">
        <f t="shared" si="3"/>
        <v>0</v>
      </c>
      <c r="AB96" s="12">
        <f t="shared" si="3"/>
        <v>-7271559</v>
      </c>
      <c r="AC96" s="12">
        <f t="shared" si="4"/>
        <v>0</v>
      </c>
      <c r="AD96" s="12">
        <f t="shared" si="4"/>
        <v>0</v>
      </c>
      <c r="AE96" s="12">
        <f t="shared" si="4"/>
        <v>0</v>
      </c>
      <c r="AF96" s="12">
        <f t="shared" si="4"/>
        <v>0</v>
      </c>
      <c r="AG96" s="12">
        <f t="shared" si="4"/>
        <v>-4454700</v>
      </c>
      <c r="AH96" s="12">
        <f t="shared" si="4"/>
        <v>0</v>
      </c>
      <c r="AI96" s="12">
        <f t="shared" si="4"/>
        <v>0</v>
      </c>
      <c r="AJ96" s="12">
        <f t="shared" si="4"/>
        <v>0</v>
      </c>
      <c r="AK96" s="12">
        <f t="shared" si="4"/>
        <v>0</v>
      </c>
      <c r="AL96" s="12">
        <f t="shared" si="4"/>
        <v>-8318990</v>
      </c>
      <c r="AM96" s="12">
        <f t="shared" si="4"/>
        <v>0</v>
      </c>
      <c r="AN96" s="12">
        <f t="shared" si="4"/>
        <v>0</v>
      </c>
      <c r="AO96" s="12">
        <f t="shared" si="4"/>
        <v>0</v>
      </c>
      <c r="AP96" s="12">
        <f t="shared" si="4"/>
        <v>0</v>
      </c>
      <c r="AQ96" s="12">
        <f t="shared" si="4"/>
        <v>-6173253</v>
      </c>
      <c r="AR96" s="12">
        <f t="shared" si="4"/>
        <v>0</v>
      </c>
      <c r="AS96" s="12">
        <f t="shared" si="4"/>
        <v>0</v>
      </c>
      <c r="AT96" s="12">
        <f t="shared" si="4"/>
        <v>0</v>
      </c>
      <c r="AU96" s="12">
        <f t="shared" si="4"/>
        <v>0</v>
      </c>
      <c r="AV96" s="12">
        <f t="shared" si="4"/>
        <v>-3697829</v>
      </c>
      <c r="AW96" s="12">
        <f t="shared" si="4"/>
        <v>0</v>
      </c>
      <c r="AX96" s="12">
        <f t="shared" si="4"/>
        <v>0</v>
      </c>
      <c r="AY96" s="12">
        <f t="shared" si="4"/>
        <v>0</v>
      </c>
      <c r="AZ96" s="12">
        <f t="shared" si="4"/>
        <v>0</v>
      </c>
      <c r="BA96" s="12">
        <f t="shared" si="4"/>
        <v>-4046770</v>
      </c>
      <c r="BB96" s="12">
        <f t="shared" si="4"/>
        <v>0</v>
      </c>
      <c r="BC96" s="12">
        <f t="shared" si="4"/>
        <v>0</v>
      </c>
      <c r="BD96" s="12">
        <f t="shared" si="4"/>
        <v>0</v>
      </c>
      <c r="BE96" s="12">
        <f t="shared" si="4"/>
        <v>0</v>
      </c>
      <c r="BF96" s="12">
        <f t="shared" si="4"/>
        <v>-1707188</v>
      </c>
      <c r="BG96" s="12">
        <f t="shared" si="4"/>
        <v>0</v>
      </c>
      <c r="BH96" s="12">
        <f t="shared" si="4"/>
        <v>0</v>
      </c>
      <c r="BI96" s="12">
        <f t="shared" si="4"/>
        <v>0</v>
      </c>
      <c r="BJ96" s="12">
        <f t="shared" si="4"/>
        <v>0</v>
      </c>
      <c r="BK96" s="12">
        <f t="shared" si="4"/>
        <v>-3844879</v>
      </c>
      <c r="BL96" s="12">
        <f t="shared" si="4"/>
        <v>0</v>
      </c>
      <c r="BM96" s="12">
        <f t="shared" si="4"/>
        <v>0</v>
      </c>
      <c r="BN96" s="12">
        <f t="shared" si="4"/>
        <v>0</v>
      </c>
      <c r="BO96" s="12">
        <f t="shared" si="4"/>
        <v>0</v>
      </c>
      <c r="BP96" s="12">
        <f t="shared" si="4"/>
        <v>-2231674</v>
      </c>
      <c r="BQ96" s="12">
        <f t="shared" si="4"/>
        <v>0</v>
      </c>
      <c r="BR96" s="12">
        <f t="shared" si="4"/>
        <v>0</v>
      </c>
      <c r="BS96" s="12">
        <f t="shared" si="4"/>
        <v>0</v>
      </c>
      <c r="BT96" s="12">
        <f t="shared" si="4"/>
        <v>0</v>
      </c>
      <c r="BU96" s="12">
        <f t="shared" si="4"/>
        <v>-51612692</v>
      </c>
      <c r="BW96" s="12" t="e">
        <f>-[51]domredemp!BV98</f>
        <v>#REF!</v>
      </c>
    </row>
    <row r="97" spans="13:75" hidden="1" x14ac:dyDescent="0.2">
      <c r="M97" s="12" t="e">
        <f>#REF!-#REF!</f>
        <v>#REF!</v>
      </c>
      <c r="N97" s="12" t="e">
        <f>#REF!-#REF!</f>
        <v>#REF!</v>
      </c>
      <c r="O97" s="12" t="e">
        <f>#REF!-#REF!</f>
        <v>#REF!</v>
      </c>
      <c r="P97" s="12" t="e">
        <f>#REF!-#REF!</f>
        <v>#REF!</v>
      </c>
      <c r="Q97" s="12" t="e">
        <f>#REF!-#REF!</f>
        <v>#REF!</v>
      </c>
      <c r="R97" s="12" t="e">
        <f>#REF!-#REF!</f>
        <v>#REF!</v>
      </c>
      <c r="S97" s="12" t="e">
        <f>#REF!-#REF!</f>
        <v>#REF!</v>
      </c>
      <c r="T97" s="12" t="e">
        <f>#REF!-#REF!</f>
        <v>#REF!</v>
      </c>
      <c r="U97" s="12" t="e">
        <f>#REF!-#REF!</f>
        <v>#REF!</v>
      </c>
      <c r="V97" s="12" t="e">
        <f>#REF!-#REF!</f>
        <v>#REF!</v>
      </c>
      <c r="W97" s="12" t="e">
        <f>#REF!-#REF!</f>
        <v>#REF!</v>
      </c>
      <c r="X97" s="12" t="e">
        <f>#REF!-#REF!</f>
        <v>#REF!</v>
      </c>
      <c r="Y97" s="12" t="e">
        <f>#REF!-#REF!</f>
        <v>#REF!</v>
      </c>
      <c r="Z97" s="12" t="e">
        <f>#REF!-#REF!</f>
        <v>#REF!</v>
      </c>
      <c r="AA97" s="12" t="e">
        <f>#REF!-#REF!</f>
        <v>#REF!</v>
      </c>
      <c r="AB97" s="12" t="e">
        <f>#REF!-#REF!</f>
        <v>#REF!</v>
      </c>
      <c r="AC97" s="12" t="e">
        <f>#REF!-#REF!</f>
        <v>#REF!</v>
      </c>
      <c r="AD97" s="12" t="e">
        <f>#REF!-#REF!</f>
        <v>#REF!</v>
      </c>
      <c r="AE97" s="12" t="e">
        <f>#REF!-#REF!</f>
        <v>#REF!</v>
      </c>
      <c r="AF97" s="12" t="e">
        <f>#REF!-#REF!</f>
        <v>#REF!</v>
      </c>
      <c r="AG97" s="12" t="e">
        <f>#REF!-#REF!</f>
        <v>#REF!</v>
      </c>
      <c r="AH97" s="12" t="e">
        <f>#REF!-#REF!</f>
        <v>#REF!</v>
      </c>
      <c r="AI97" s="12" t="e">
        <f>#REF!-#REF!</f>
        <v>#REF!</v>
      </c>
      <c r="AJ97" s="12" t="e">
        <f>#REF!-#REF!</f>
        <v>#REF!</v>
      </c>
      <c r="AK97" s="12" t="e">
        <f>#REF!-#REF!</f>
        <v>#REF!</v>
      </c>
      <c r="AL97" s="12" t="e">
        <f>#REF!-#REF!</f>
        <v>#REF!</v>
      </c>
      <c r="AM97" s="12" t="e">
        <f>#REF!-#REF!</f>
        <v>#REF!</v>
      </c>
      <c r="AN97" s="12" t="e">
        <f>#REF!-#REF!</f>
        <v>#REF!</v>
      </c>
      <c r="AO97" s="12" t="e">
        <f>#REF!-#REF!</f>
        <v>#REF!</v>
      </c>
      <c r="AP97" s="12" t="e">
        <f>#REF!-#REF!</f>
        <v>#REF!</v>
      </c>
      <c r="AQ97" s="12" t="e">
        <f>#REF!-#REF!</f>
        <v>#REF!</v>
      </c>
      <c r="AR97" s="12" t="e">
        <f>#REF!-#REF!</f>
        <v>#REF!</v>
      </c>
      <c r="AS97" s="12" t="e">
        <f>#REF!-#REF!</f>
        <v>#REF!</v>
      </c>
      <c r="AT97" s="12" t="e">
        <f>#REF!-#REF!</f>
        <v>#REF!</v>
      </c>
      <c r="AU97" s="12" t="e">
        <f>#REF!-#REF!</f>
        <v>#REF!</v>
      </c>
      <c r="AV97" s="12" t="e">
        <f>#REF!-#REF!</f>
        <v>#REF!</v>
      </c>
      <c r="AW97" s="12" t="e">
        <f>#REF!-#REF!</f>
        <v>#REF!</v>
      </c>
      <c r="AX97" s="12" t="e">
        <f>#REF!-#REF!</f>
        <v>#REF!</v>
      </c>
      <c r="AY97" s="12" t="e">
        <f>#REF!-#REF!</f>
        <v>#REF!</v>
      </c>
      <c r="AZ97" s="12" t="e">
        <f>#REF!-#REF!</f>
        <v>#REF!</v>
      </c>
      <c r="BA97" s="12" t="e">
        <f>#REF!-#REF!</f>
        <v>#REF!</v>
      </c>
      <c r="BB97" s="12" t="e">
        <f>#REF!-#REF!</f>
        <v>#REF!</v>
      </c>
      <c r="BC97" s="12" t="e">
        <f>#REF!-#REF!</f>
        <v>#REF!</v>
      </c>
      <c r="BD97" s="12" t="e">
        <f>#REF!-#REF!</f>
        <v>#REF!</v>
      </c>
      <c r="BE97" s="12" t="e">
        <f>#REF!-#REF!</f>
        <v>#REF!</v>
      </c>
      <c r="BF97" s="12" t="e">
        <f>#REF!-#REF!</f>
        <v>#REF!</v>
      </c>
      <c r="BG97" s="12" t="e">
        <f>#REF!-#REF!</f>
        <v>#REF!</v>
      </c>
      <c r="BH97" s="12" t="e">
        <f>#REF!-#REF!</f>
        <v>#REF!</v>
      </c>
      <c r="BI97" s="12" t="e">
        <f>#REF!-#REF!</f>
        <v>#REF!</v>
      </c>
      <c r="BJ97" s="12" t="e">
        <f>#REF!-#REF!</f>
        <v>#REF!</v>
      </c>
      <c r="BK97" s="12" t="e">
        <f>#REF!-#REF!</f>
        <v>#REF!</v>
      </c>
      <c r="BL97" s="12" t="e">
        <f>#REF!-#REF!</f>
        <v>#REF!</v>
      </c>
      <c r="BM97" s="12" t="e">
        <f>#REF!-#REF!</f>
        <v>#REF!</v>
      </c>
      <c r="BN97" s="12" t="e">
        <f>#REF!-#REF!</f>
        <v>#REF!</v>
      </c>
      <c r="BO97" s="12" t="e">
        <f>#REF!-#REF!</f>
        <v>#REF!</v>
      </c>
      <c r="BP97" s="12" t="e">
        <f>#REF!-#REF!</f>
        <v>#REF!</v>
      </c>
      <c r="BQ97" s="12" t="e">
        <f>#REF!-#REF!</f>
        <v>#REF!</v>
      </c>
      <c r="BR97" s="12" t="e">
        <f>#REF!-#REF!</f>
        <v>#REF!</v>
      </c>
      <c r="BS97" s="12" t="e">
        <f>#REF!-#REF!</f>
        <v>#REF!</v>
      </c>
      <c r="BT97" s="12" t="e">
        <f>#REF!-#REF!</f>
        <v>#REF!</v>
      </c>
      <c r="BU97" s="12" t="e">
        <f>#REF!-#REF!</f>
        <v>#REF!</v>
      </c>
      <c r="BW97" s="12" t="e">
        <f>-[51]domredemp!BV101+[51]domredemp!BV211</f>
        <v>#REF!</v>
      </c>
    </row>
    <row r="98" spans="13:75" hidden="1" x14ac:dyDescent="0.2">
      <c r="M98" s="12">
        <f t="shared" ref="M98:BU102" si="5">M27-CE27</f>
        <v>-865625</v>
      </c>
      <c r="N98" s="12">
        <f t="shared" si="5"/>
        <v>0</v>
      </c>
      <c r="O98" s="12">
        <f t="shared" si="5"/>
        <v>0</v>
      </c>
      <c r="P98" s="12">
        <f t="shared" si="5"/>
        <v>0</v>
      </c>
      <c r="Q98" s="12">
        <f t="shared" si="5"/>
        <v>0</v>
      </c>
      <c r="R98" s="12">
        <f t="shared" si="5"/>
        <v>-80653</v>
      </c>
      <c r="S98" s="12">
        <f t="shared" si="5"/>
        <v>0</v>
      </c>
      <c r="T98" s="12">
        <f t="shared" si="5"/>
        <v>0</v>
      </c>
      <c r="U98" s="12">
        <f t="shared" si="5"/>
        <v>0</v>
      </c>
      <c r="V98" s="12">
        <f t="shared" si="5"/>
        <v>0</v>
      </c>
      <c r="W98" s="12">
        <f t="shared" si="5"/>
        <v>138531</v>
      </c>
      <c r="X98" s="12">
        <f t="shared" si="5"/>
        <v>0</v>
      </c>
      <c r="Y98" s="12">
        <f t="shared" si="5"/>
        <v>0</v>
      </c>
      <c r="Z98" s="12">
        <f t="shared" si="5"/>
        <v>0</v>
      </c>
      <c r="AA98" s="12">
        <f t="shared" si="5"/>
        <v>0</v>
      </c>
      <c r="AB98" s="12">
        <f t="shared" si="5"/>
        <v>-99946</v>
      </c>
      <c r="AC98" s="12">
        <f t="shared" si="5"/>
        <v>0</v>
      </c>
      <c r="AD98" s="12">
        <f t="shared" si="5"/>
        <v>0</v>
      </c>
      <c r="AE98" s="12">
        <f t="shared" si="5"/>
        <v>0</v>
      </c>
      <c r="AF98" s="12">
        <f t="shared" si="5"/>
        <v>0</v>
      </c>
      <c r="AG98" s="12">
        <f t="shared" si="5"/>
        <v>104748</v>
      </c>
      <c r="AH98" s="12">
        <f t="shared" si="5"/>
        <v>0</v>
      </c>
      <c r="AI98" s="12">
        <f t="shared" si="5"/>
        <v>0</v>
      </c>
      <c r="AJ98" s="12">
        <f t="shared" si="5"/>
        <v>0</v>
      </c>
      <c r="AK98" s="12">
        <f t="shared" si="5"/>
        <v>0</v>
      </c>
      <c r="AL98" s="12">
        <f t="shared" si="5"/>
        <v>241378</v>
      </c>
      <c r="AM98" s="12">
        <f t="shared" si="5"/>
        <v>0</v>
      </c>
      <c r="AN98" s="12">
        <f t="shared" si="5"/>
        <v>0</v>
      </c>
      <c r="AO98" s="12">
        <f t="shared" si="5"/>
        <v>0</v>
      </c>
      <c r="AP98" s="12">
        <f t="shared" si="5"/>
        <v>0</v>
      </c>
      <c r="AQ98" s="12">
        <f t="shared" si="5"/>
        <v>-142358</v>
      </c>
      <c r="AR98" s="12">
        <f t="shared" si="5"/>
        <v>0</v>
      </c>
      <c r="AS98" s="12">
        <f t="shared" si="5"/>
        <v>0</v>
      </c>
      <c r="AT98" s="12">
        <f t="shared" si="5"/>
        <v>0</v>
      </c>
      <c r="AU98" s="12">
        <f t="shared" si="5"/>
        <v>0</v>
      </c>
      <c r="AV98" s="12">
        <f t="shared" si="5"/>
        <v>58546</v>
      </c>
      <c r="AW98" s="12">
        <f t="shared" si="5"/>
        <v>0</v>
      </c>
      <c r="AX98" s="12">
        <f t="shared" si="5"/>
        <v>0</v>
      </c>
      <c r="AY98" s="12">
        <f t="shared" si="5"/>
        <v>0</v>
      </c>
      <c r="AZ98" s="12">
        <f t="shared" si="5"/>
        <v>0</v>
      </c>
      <c r="BA98" s="12">
        <f t="shared" si="5"/>
        <v>275994</v>
      </c>
      <c r="BB98" s="12">
        <f t="shared" si="5"/>
        <v>0</v>
      </c>
      <c r="BC98" s="12">
        <f t="shared" si="5"/>
        <v>0</v>
      </c>
      <c r="BD98" s="12">
        <f t="shared" si="5"/>
        <v>0</v>
      </c>
      <c r="BE98" s="12">
        <f t="shared" si="5"/>
        <v>0</v>
      </c>
      <c r="BF98" s="12">
        <f t="shared" si="5"/>
        <v>15731765</v>
      </c>
      <c r="BG98" s="12">
        <f t="shared" si="5"/>
        <v>0</v>
      </c>
      <c r="BH98" s="12">
        <f t="shared" si="5"/>
        <v>0</v>
      </c>
      <c r="BI98" s="12">
        <f t="shared" si="5"/>
        <v>0</v>
      </c>
      <c r="BJ98" s="12">
        <f t="shared" si="5"/>
        <v>0</v>
      </c>
      <c r="BK98" s="12">
        <f t="shared" si="5"/>
        <v>-41200</v>
      </c>
      <c r="BL98" s="12">
        <f t="shared" si="5"/>
        <v>0</v>
      </c>
      <c r="BM98" s="12">
        <f t="shared" si="5"/>
        <v>0</v>
      </c>
      <c r="BN98" s="12">
        <f t="shared" si="5"/>
        <v>0</v>
      </c>
      <c r="BO98" s="12">
        <f t="shared" si="5"/>
        <v>0</v>
      </c>
      <c r="BP98" s="12">
        <f t="shared" si="5"/>
        <v>-49116116</v>
      </c>
      <c r="BQ98" s="12">
        <f t="shared" si="5"/>
        <v>0</v>
      </c>
      <c r="BR98" s="12">
        <f t="shared" si="5"/>
        <v>0</v>
      </c>
      <c r="BS98" s="12">
        <f t="shared" si="5"/>
        <v>0</v>
      </c>
      <c r="BT98" s="12">
        <f t="shared" si="5"/>
        <v>0</v>
      </c>
      <c r="BU98" s="12">
        <f t="shared" si="5"/>
        <v>-33794936</v>
      </c>
    </row>
    <row r="99" spans="13:75" hidden="1" x14ac:dyDescent="0.2">
      <c r="M99" s="12">
        <f t="shared" si="5"/>
        <v>0</v>
      </c>
      <c r="N99" s="12">
        <f t="shared" si="5"/>
        <v>0</v>
      </c>
      <c r="O99" s="12">
        <f t="shared" si="5"/>
        <v>0</v>
      </c>
      <c r="P99" s="12">
        <f t="shared" si="5"/>
        <v>0</v>
      </c>
      <c r="Q99" s="12">
        <f t="shared" si="5"/>
        <v>0</v>
      </c>
      <c r="R99" s="12">
        <f t="shared" si="5"/>
        <v>0</v>
      </c>
      <c r="S99" s="12">
        <f t="shared" si="5"/>
        <v>0</v>
      </c>
      <c r="T99" s="12">
        <f t="shared" si="5"/>
        <v>0</v>
      </c>
      <c r="U99" s="12">
        <f t="shared" si="5"/>
        <v>0</v>
      </c>
      <c r="V99" s="12">
        <f t="shared" si="5"/>
        <v>0</v>
      </c>
      <c r="W99" s="12">
        <f t="shared" si="5"/>
        <v>0</v>
      </c>
      <c r="X99" s="12">
        <f t="shared" si="5"/>
        <v>0</v>
      </c>
      <c r="Y99" s="12">
        <f t="shared" si="5"/>
        <v>0</v>
      </c>
      <c r="Z99" s="12">
        <f t="shared" si="5"/>
        <v>0</v>
      </c>
      <c r="AA99" s="12">
        <f t="shared" si="5"/>
        <v>0</v>
      </c>
      <c r="AB99" s="12">
        <f t="shared" si="5"/>
        <v>0</v>
      </c>
      <c r="AC99" s="12">
        <f t="shared" si="5"/>
        <v>0</v>
      </c>
      <c r="AD99" s="12">
        <f t="shared" si="5"/>
        <v>0</v>
      </c>
      <c r="AE99" s="12">
        <f t="shared" si="5"/>
        <v>0</v>
      </c>
      <c r="AF99" s="12">
        <f t="shared" si="5"/>
        <v>0</v>
      </c>
      <c r="AG99" s="12">
        <f t="shared" si="5"/>
        <v>0</v>
      </c>
      <c r="AH99" s="12">
        <f t="shared" si="5"/>
        <v>0</v>
      </c>
      <c r="AI99" s="12">
        <f t="shared" si="5"/>
        <v>0</v>
      </c>
      <c r="AJ99" s="12">
        <f t="shared" si="5"/>
        <v>0</v>
      </c>
      <c r="AK99" s="12">
        <f t="shared" si="5"/>
        <v>0</v>
      </c>
      <c r="AL99" s="12">
        <f t="shared" si="5"/>
        <v>0</v>
      </c>
      <c r="AM99" s="12">
        <f t="shared" si="5"/>
        <v>0</v>
      </c>
      <c r="AN99" s="12">
        <f t="shared" si="5"/>
        <v>0</v>
      </c>
      <c r="AO99" s="12">
        <f t="shared" si="5"/>
        <v>0</v>
      </c>
      <c r="AP99" s="12">
        <f t="shared" si="5"/>
        <v>0</v>
      </c>
      <c r="AQ99" s="12">
        <f t="shared" si="5"/>
        <v>0</v>
      </c>
      <c r="AR99" s="12">
        <f t="shared" si="5"/>
        <v>0</v>
      </c>
      <c r="AS99" s="12">
        <f t="shared" si="5"/>
        <v>0</v>
      </c>
      <c r="AT99" s="12">
        <f t="shared" si="5"/>
        <v>0</v>
      </c>
      <c r="AU99" s="12">
        <f t="shared" si="5"/>
        <v>0</v>
      </c>
      <c r="AV99" s="12">
        <f t="shared" si="5"/>
        <v>0</v>
      </c>
      <c r="AW99" s="12">
        <f t="shared" si="5"/>
        <v>0</v>
      </c>
      <c r="AX99" s="12">
        <f t="shared" si="5"/>
        <v>0</v>
      </c>
      <c r="AY99" s="12">
        <f t="shared" si="5"/>
        <v>0</v>
      </c>
      <c r="AZ99" s="12">
        <f t="shared" si="5"/>
        <v>0</v>
      </c>
      <c r="BA99" s="12">
        <f t="shared" si="5"/>
        <v>0</v>
      </c>
      <c r="BB99" s="12">
        <f t="shared" si="5"/>
        <v>0</v>
      </c>
      <c r="BC99" s="12">
        <f t="shared" si="5"/>
        <v>0</v>
      </c>
      <c r="BD99" s="12">
        <f t="shared" si="5"/>
        <v>0</v>
      </c>
      <c r="BE99" s="12">
        <f t="shared" si="5"/>
        <v>0</v>
      </c>
      <c r="BF99" s="12">
        <f t="shared" si="5"/>
        <v>0</v>
      </c>
      <c r="BG99" s="12">
        <f t="shared" si="5"/>
        <v>0</v>
      </c>
      <c r="BH99" s="12">
        <f t="shared" si="5"/>
        <v>0</v>
      </c>
      <c r="BI99" s="12">
        <f t="shared" si="5"/>
        <v>0</v>
      </c>
      <c r="BJ99" s="12">
        <f t="shared" si="5"/>
        <v>0</v>
      </c>
      <c r="BK99" s="12">
        <f t="shared" si="5"/>
        <v>0</v>
      </c>
      <c r="BL99" s="12">
        <f t="shared" si="5"/>
        <v>0</v>
      </c>
      <c r="BM99" s="12">
        <f t="shared" si="5"/>
        <v>0</v>
      </c>
      <c r="BN99" s="12">
        <f t="shared" si="5"/>
        <v>0</v>
      </c>
      <c r="BO99" s="12">
        <f t="shared" si="5"/>
        <v>0</v>
      </c>
      <c r="BP99" s="12">
        <f t="shared" si="5"/>
        <v>0</v>
      </c>
      <c r="BQ99" s="12">
        <f t="shared" si="5"/>
        <v>0</v>
      </c>
      <c r="BR99" s="12">
        <f t="shared" si="5"/>
        <v>0</v>
      </c>
      <c r="BS99" s="12">
        <f t="shared" si="5"/>
        <v>0</v>
      </c>
      <c r="BT99" s="12">
        <f t="shared" si="5"/>
        <v>0</v>
      </c>
      <c r="BU99" s="12">
        <f t="shared" si="5"/>
        <v>0</v>
      </c>
      <c r="BW99" s="12" t="e">
        <f>SUM(BW100:BW102)</f>
        <v>#REF!</v>
      </c>
    </row>
    <row r="100" spans="13:75" hidden="1" x14ac:dyDescent="0.2">
      <c r="M100" s="12">
        <f t="shared" si="5"/>
        <v>0</v>
      </c>
      <c r="N100" s="12">
        <f t="shared" si="5"/>
        <v>0</v>
      </c>
      <c r="O100" s="12">
        <f t="shared" si="5"/>
        <v>0</v>
      </c>
      <c r="P100" s="12">
        <f t="shared" si="5"/>
        <v>0</v>
      </c>
      <c r="Q100" s="12">
        <f t="shared" si="5"/>
        <v>0</v>
      </c>
      <c r="R100" s="12">
        <f t="shared" si="5"/>
        <v>0</v>
      </c>
      <c r="S100" s="12">
        <f t="shared" si="5"/>
        <v>0</v>
      </c>
      <c r="T100" s="12">
        <f t="shared" si="5"/>
        <v>0</v>
      </c>
      <c r="U100" s="12">
        <f t="shared" si="5"/>
        <v>0</v>
      </c>
      <c r="V100" s="12">
        <f t="shared" si="5"/>
        <v>0</v>
      </c>
      <c r="W100" s="12">
        <f t="shared" si="5"/>
        <v>0</v>
      </c>
      <c r="X100" s="12">
        <f t="shared" si="5"/>
        <v>0</v>
      </c>
      <c r="Y100" s="12">
        <f t="shared" si="5"/>
        <v>0</v>
      </c>
      <c r="Z100" s="12">
        <f t="shared" si="5"/>
        <v>0</v>
      </c>
      <c r="AA100" s="12">
        <f t="shared" si="5"/>
        <v>0</v>
      </c>
      <c r="AB100" s="12">
        <f t="shared" si="5"/>
        <v>0</v>
      </c>
      <c r="AC100" s="12">
        <f t="shared" si="5"/>
        <v>0</v>
      </c>
      <c r="AD100" s="12">
        <f t="shared" si="5"/>
        <v>0</v>
      </c>
      <c r="AE100" s="12">
        <f t="shared" si="5"/>
        <v>0</v>
      </c>
      <c r="AF100" s="12">
        <f t="shared" si="5"/>
        <v>0</v>
      </c>
      <c r="AG100" s="12">
        <f t="shared" si="5"/>
        <v>0</v>
      </c>
      <c r="AH100" s="12">
        <f t="shared" si="5"/>
        <v>0</v>
      </c>
      <c r="AI100" s="12">
        <f t="shared" si="5"/>
        <v>0</v>
      </c>
      <c r="AJ100" s="12">
        <f t="shared" si="5"/>
        <v>0</v>
      </c>
      <c r="AK100" s="12">
        <f t="shared" si="5"/>
        <v>0</v>
      </c>
      <c r="AL100" s="12">
        <f t="shared" si="5"/>
        <v>0</v>
      </c>
      <c r="AM100" s="12">
        <f t="shared" si="5"/>
        <v>0</v>
      </c>
      <c r="AN100" s="12">
        <f t="shared" si="5"/>
        <v>0</v>
      </c>
      <c r="AO100" s="12">
        <f t="shared" si="5"/>
        <v>0</v>
      </c>
      <c r="AP100" s="12">
        <f t="shared" si="5"/>
        <v>0</v>
      </c>
      <c r="AQ100" s="12">
        <f t="shared" si="5"/>
        <v>0</v>
      </c>
      <c r="AR100" s="12">
        <f t="shared" si="5"/>
        <v>0</v>
      </c>
      <c r="AS100" s="12">
        <f t="shared" si="5"/>
        <v>0</v>
      </c>
      <c r="AT100" s="12">
        <f t="shared" si="5"/>
        <v>0</v>
      </c>
      <c r="AU100" s="12">
        <f t="shared" si="5"/>
        <v>0</v>
      </c>
      <c r="AV100" s="12">
        <f t="shared" si="5"/>
        <v>0</v>
      </c>
      <c r="AW100" s="12">
        <f t="shared" si="5"/>
        <v>0</v>
      </c>
      <c r="AX100" s="12">
        <f t="shared" si="5"/>
        <v>0</v>
      </c>
      <c r="AY100" s="12">
        <f t="shared" si="5"/>
        <v>0</v>
      </c>
      <c r="AZ100" s="12">
        <f t="shared" si="5"/>
        <v>0</v>
      </c>
      <c r="BA100" s="12">
        <f t="shared" si="5"/>
        <v>0</v>
      </c>
      <c r="BB100" s="12">
        <f t="shared" si="5"/>
        <v>0</v>
      </c>
      <c r="BC100" s="12">
        <f t="shared" si="5"/>
        <v>0</v>
      </c>
      <c r="BD100" s="12">
        <f t="shared" si="5"/>
        <v>0</v>
      </c>
      <c r="BE100" s="12">
        <f t="shared" si="5"/>
        <v>0</v>
      </c>
      <c r="BF100" s="12">
        <f t="shared" si="5"/>
        <v>0</v>
      </c>
      <c r="BG100" s="12">
        <f t="shared" si="5"/>
        <v>0</v>
      </c>
      <c r="BH100" s="12">
        <f t="shared" si="5"/>
        <v>0</v>
      </c>
      <c r="BI100" s="12">
        <f t="shared" si="5"/>
        <v>0</v>
      </c>
      <c r="BJ100" s="12">
        <f t="shared" si="5"/>
        <v>0</v>
      </c>
      <c r="BK100" s="12">
        <f t="shared" si="5"/>
        <v>0</v>
      </c>
      <c r="BL100" s="12">
        <f t="shared" si="5"/>
        <v>0</v>
      </c>
      <c r="BM100" s="12">
        <f t="shared" si="5"/>
        <v>0</v>
      </c>
      <c r="BN100" s="12">
        <f t="shared" si="5"/>
        <v>0</v>
      </c>
      <c r="BO100" s="12">
        <f t="shared" si="5"/>
        <v>0</v>
      </c>
      <c r="BP100" s="12">
        <f t="shared" si="5"/>
        <v>0</v>
      </c>
      <c r="BQ100" s="12">
        <f t="shared" si="5"/>
        <v>0</v>
      </c>
      <c r="BR100" s="12">
        <f t="shared" si="5"/>
        <v>0</v>
      </c>
      <c r="BS100" s="12">
        <f t="shared" si="5"/>
        <v>0</v>
      </c>
      <c r="BT100" s="12">
        <f t="shared" si="5"/>
        <v>0</v>
      </c>
      <c r="BU100" s="12">
        <f t="shared" si="5"/>
        <v>0</v>
      </c>
      <c r="BW100" s="12" t="e">
        <f>[51]domlongtermissues!BV97</f>
        <v>#REF!</v>
      </c>
    </row>
    <row r="101" spans="13:75" hidden="1" x14ac:dyDescent="0.2">
      <c r="M101" s="12">
        <f t="shared" si="5"/>
        <v>0</v>
      </c>
      <c r="N101" s="12">
        <f t="shared" si="5"/>
        <v>0</v>
      </c>
      <c r="O101" s="12">
        <f t="shared" si="5"/>
        <v>0</v>
      </c>
      <c r="P101" s="12">
        <f t="shared" si="5"/>
        <v>0</v>
      </c>
      <c r="Q101" s="12">
        <f t="shared" si="5"/>
        <v>0</v>
      </c>
      <c r="R101" s="12">
        <f t="shared" si="5"/>
        <v>289290</v>
      </c>
      <c r="S101" s="12">
        <f t="shared" si="5"/>
        <v>0</v>
      </c>
      <c r="T101" s="12">
        <f t="shared" si="5"/>
        <v>0</v>
      </c>
      <c r="U101" s="12">
        <f t="shared" si="5"/>
        <v>0</v>
      </c>
      <c r="V101" s="12">
        <f t="shared" si="5"/>
        <v>0</v>
      </c>
      <c r="W101" s="12">
        <f t="shared" si="5"/>
        <v>0</v>
      </c>
      <c r="X101" s="12">
        <f t="shared" si="5"/>
        <v>0</v>
      </c>
      <c r="Y101" s="12">
        <f t="shared" si="5"/>
        <v>0</v>
      </c>
      <c r="Z101" s="12">
        <f t="shared" si="5"/>
        <v>0</v>
      </c>
      <c r="AA101" s="12">
        <f t="shared" si="5"/>
        <v>0</v>
      </c>
      <c r="AB101" s="12">
        <f t="shared" si="5"/>
        <v>0</v>
      </c>
      <c r="AC101" s="12">
        <f t="shared" si="5"/>
        <v>0</v>
      </c>
      <c r="AD101" s="12">
        <f t="shared" si="5"/>
        <v>0</v>
      </c>
      <c r="AE101" s="12">
        <f t="shared" si="5"/>
        <v>0</v>
      </c>
      <c r="AF101" s="12">
        <f t="shared" si="5"/>
        <v>0</v>
      </c>
      <c r="AG101" s="12">
        <f t="shared" si="5"/>
        <v>0</v>
      </c>
      <c r="AH101" s="12">
        <f t="shared" si="5"/>
        <v>0</v>
      </c>
      <c r="AI101" s="12">
        <f t="shared" si="5"/>
        <v>0</v>
      </c>
      <c r="AJ101" s="12">
        <f t="shared" si="5"/>
        <v>0</v>
      </c>
      <c r="AK101" s="12">
        <f t="shared" si="5"/>
        <v>0</v>
      </c>
      <c r="AL101" s="12">
        <f t="shared" si="5"/>
        <v>0</v>
      </c>
      <c r="AM101" s="12">
        <f t="shared" si="5"/>
        <v>0</v>
      </c>
      <c r="AN101" s="12">
        <f t="shared" si="5"/>
        <v>0</v>
      </c>
      <c r="AO101" s="12">
        <f t="shared" si="5"/>
        <v>0</v>
      </c>
      <c r="AP101" s="12">
        <f t="shared" si="5"/>
        <v>0</v>
      </c>
      <c r="AQ101" s="12">
        <f t="shared" si="5"/>
        <v>0</v>
      </c>
      <c r="AR101" s="12">
        <f t="shared" si="5"/>
        <v>0</v>
      </c>
      <c r="AS101" s="12">
        <f t="shared" si="5"/>
        <v>0</v>
      </c>
      <c r="AT101" s="12">
        <f t="shared" si="5"/>
        <v>0</v>
      </c>
      <c r="AU101" s="12">
        <f t="shared" si="5"/>
        <v>0</v>
      </c>
      <c r="AV101" s="12">
        <f t="shared" si="5"/>
        <v>0</v>
      </c>
      <c r="AW101" s="12">
        <f t="shared" si="5"/>
        <v>0</v>
      </c>
      <c r="AX101" s="12">
        <f t="shared" si="5"/>
        <v>0</v>
      </c>
      <c r="AY101" s="12">
        <f t="shared" si="5"/>
        <v>0</v>
      </c>
      <c r="AZ101" s="12">
        <f t="shared" si="5"/>
        <v>0</v>
      </c>
      <c r="BA101" s="12">
        <f t="shared" si="5"/>
        <v>0</v>
      </c>
      <c r="BB101" s="12">
        <f t="shared" si="5"/>
        <v>0</v>
      </c>
      <c r="BC101" s="12">
        <f t="shared" si="5"/>
        <v>0</v>
      </c>
      <c r="BD101" s="12">
        <f t="shared" si="5"/>
        <v>0</v>
      </c>
      <c r="BE101" s="12">
        <f t="shared" si="5"/>
        <v>0</v>
      </c>
      <c r="BF101" s="12">
        <f t="shared" si="5"/>
        <v>0</v>
      </c>
      <c r="BG101" s="12">
        <f t="shared" si="5"/>
        <v>0</v>
      </c>
      <c r="BH101" s="12">
        <f t="shared" si="5"/>
        <v>0</v>
      </c>
      <c r="BI101" s="12">
        <f t="shared" si="5"/>
        <v>0</v>
      </c>
      <c r="BJ101" s="12">
        <f t="shared" si="5"/>
        <v>0</v>
      </c>
      <c r="BK101" s="12">
        <f t="shared" si="5"/>
        <v>41714</v>
      </c>
      <c r="BL101" s="12">
        <f t="shared" si="5"/>
        <v>0</v>
      </c>
      <c r="BM101" s="12">
        <f t="shared" si="5"/>
        <v>0</v>
      </c>
      <c r="BN101" s="12">
        <f t="shared" si="5"/>
        <v>0</v>
      </c>
      <c r="BO101" s="12">
        <f t="shared" si="5"/>
        <v>0</v>
      </c>
      <c r="BP101" s="12">
        <f t="shared" si="5"/>
        <v>0</v>
      </c>
      <c r="BQ101" s="12">
        <f t="shared" si="5"/>
        <v>0</v>
      </c>
      <c r="BR101" s="12">
        <f t="shared" si="5"/>
        <v>0</v>
      </c>
      <c r="BS101" s="12">
        <f t="shared" si="5"/>
        <v>0</v>
      </c>
      <c r="BT101" s="12">
        <f t="shared" si="5"/>
        <v>0</v>
      </c>
      <c r="BU101" s="12">
        <f t="shared" si="5"/>
        <v>331004</v>
      </c>
      <c r="BW101" s="12" t="e">
        <f>-[51]domlongtermissues!BV286</f>
        <v>#REF!</v>
      </c>
    </row>
    <row r="102" spans="13:75" hidden="1" x14ac:dyDescent="0.2">
      <c r="M102" s="12">
        <f t="shared" si="5"/>
        <v>0</v>
      </c>
      <c r="N102" s="12">
        <f t="shared" si="5"/>
        <v>0</v>
      </c>
      <c r="O102" s="12">
        <f t="shared" si="5"/>
        <v>0</v>
      </c>
      <c r="P102" s="12">
        <f t="shared" si="5"/>
        <v>0</v>
      </c>
      <c r="Q102" s="12">
        <f t="shared" si="5"/>
        <v>0</v>
      </c>
      <c r="R102" s="12">
        <f t="shared" si="5"/>
        <v>-14152656</v>
      </c>
      <c r="S102" s="12">
        <f t="shared" si="5"/>
        <v>0</v>
      </c>
      <c r="T102" s="12">
        <f t="shared" si="5"/>
        <v>0</v>
      </c>
      <c r="U102" s="12">
        <f t="shared" si="5"/>
        <v>0</v>
      </c>
      <c r="V102" s="12">
        <f t="shared" si="5"/>
        <v>0</v>
      </c>
      <c r="W102" s="12">
        <f t="shared" si="5"/>
        <v>0</v>
      </c>
      <c r="X102" s="12">
        <f t="shared" ref="X102:BU107" si="6">X31-CP31</f>
        <v>0</v>
      </c>
      <c r="Y102" s="12">
        <f t="shared" si="6"/>
        <v>0</v>
      </c>
      <c r="Z102" s="12">
        <f t="shared" si="6"/>
        <v>0</v>
      </c>
      <c r="AA102" s="12">
        <f t="shared" si="6"/>
        <v>0</v>
      </c>
      <c r="AB102" s="12">
        <f t="shared" si="6"/>
        <v>0</v>
      </c>
      <c r="AC102" s="12">
        <f t="shared" si="6"/>
        <v>0</v>
      </c>
      <c r="AD102" s="12">
        <f t="shared" si="6"/>
        <v>0</v>
      </c>
      <c r="AE102" s="12">
        <f t="shared" si="6"/>
        <v>0</v>
      </c>
      <c r="AF102" s="12">
        <f t="shared" si="6"/>
        <v>0</v>
      </c>
      <c r="AG102" s="12">
        <f t="shared" si="6"/>
        <v>0</v>
      </c>
      <c r="AH102" s="12">
        <f t="shared" si="6"/>
        <v>0</v>
      </c>
      <c r="AI102" s="12">
        <f t="shared" si="6"/>
        <v>0</v>
      </c>
      <c r="AJ102" s="12">
        <f t="shared" si="6"/>
        <v>0</v>
      </c>
      <c r="AK102" s="12">
        <f t="shared" si="6"/>
        <v>0</v>
      </c>
      <c r="AL102" s="12">
        <f t="shared" si="6"/>
        <v>0</v>
      </c>
      <c r="AM102" s="12">
        <f t="shared" si="6"/>
        <v>0</v>
      </c>
      <c r="AN102" s="12">
        <f t="shared" si="6"/>
        <v>0</v>
      </c>
      <c r="AO102" s="12">
        <f t="shared" si="6"/>
        <v>0</v>
      </c>
      <c r="AP102" s="12">
        <f t="shared" si="6"/>
        <v>0</v>
      </c>
      <c r="AQ102" s="12">
        <f t="shared" si="6"/>
        <v>0</v>
      </c>
      <c r="AR102" s="12">
        <f t="shared" si="6"/>
        <v>0</v>
      </c>
      <c r="AS102" s="12">
        <f t="shared" si="6"/>
        <v>0</v>
      </c>
      <c r="AT102" s="12">
        <f t="shared" si="6"/>
        <v>0</v>
      </c>
      <c r="AU102" s="12">
        <f t="shared" si="6"/>
        <v>0</v>
      </c>
      <c r="AV102" s="12">
        <f t="shared" si="6"/>
        <v>0</v>
      </c>
      <c r="AW102" s="12">
        <f t="shared" si="6"/>
        <v>0</v>
      </c>
      <c r="AX102" s="12">
        <f t="shared" si="6"/>
        <v>0</v>
      </c>
      <c r="AY102" s="12">
        <f t="shared" si="6"/>
        <v>0</v>
      </c>
      <c r="AZ102" s="12">
        <f t="shared" si="6"/>
        <v>0</v>
      </c>
      <c r="BA102" s="12">
        <f t="shared" si="6"/>
        <v>0</v>
      </c>
      <c r="BB102" s="12">
        <f t="shared" si="6"/>
        <v>0</v>
      </c>
      <c r="BC102" s="12">
        <f t="shared" si="6"/>
        <v>0</v>
      </c>
      <c r="BD102" s="12">
        <f t="shared" si="6"/>
        <v>0</v>
      </c>
      <c r="BE102" s="12">
        <f t="shared" si="6"/>
        <v>0</v>
      </c>
      <c r="BF102" s="12">
        <f t="shared" si="6"/>
        <v>0</v>
      </c>
      <c r="BG102" s="12">
        <f t="shared" si="6"/>
        <v>0</v>
      </c>
      <c r="BH102" s="12">
        <f t="shared" si="6"/>
        <v>0</v>
      </c>
      <c r="BI102" s="12">
        <f t="shared" si="6"/>
        <v>0</v>
      </c>
      <c r="BJ102" s="12">
        <f t="shared" si="6"/>
        <v>0</v>
      </c>
      <c r="BK102" s="12">
        <f t="shared" si="6"/>
        <v>7577210</v>
      </c>
      <c r="BL102" s="12">
        <f t="shared" si="6"/>
        <v>0</v>
      </c>
      <c r="BM102" s="12">
        <f t="shared" si="6"/>
        <v>0</v>
      </c>
      <c r="BN102" s="12">
        <f t="shared" si="6"/>
        <v>0</v>
      </c>
      <c r="BO102" s="12">
        <f t="shared" si="6"/>
        <v>0</v>
      </c>
      <c r="BP102" s="12">
        <f t="shared" si="6"/>
        <v>0</v>
      </c>
      <c r="BQ102" s="12">
        <f t="shared" si="6"/>
        <v>0</v>
      </c>
      <c r="BR102" s="12">
        <f t="shared" si="6"/>
        <v>0</v>
      </c>
      <c r="BS102" s="12">
        <f t="shared" si="6"/>
        <v>0</v>
      </c>
      <c r="BT102" s="12">
        <f t="shared" si="6"/>
        <v>0</v>
      </c>
      <c r="BU102" s="12">
        <f t="shared" si="6"/>
        <v>-6575446</v>
      </c>
      <c r="BW102" s="12" t="e">
        <f>-[51]domredemp!BV99+[51]domredemp!BV119</f>
        <v>#REF!</v>
      </c>
    </row>
    <row r="103" spans="13:75" hidden="1" x14ac:dyDescent="0.2">
      <c r="M103" s="12">
        <f t="shared" ref="M103:AB112" si="7">M32-CE32</f>
        <v>0</v>
      </c>
      <c r="N103" s="12">
        <f t="shared" si="7"/>
        <v>0</v>
      </c>
      <c r="O103" s="12">
        <f t="shared" si="7"/>
        <v>0</v>
      </c>
      <c r="P103" s="12">
        <f t="shared" si="7"/>
        <v>0</v>
      </c>
      <c r="Q103" s="12">
        <f t="shared" si="7"/>
        <v>0</v>
      </c>
      <c r="R103" s="12">
        <f t="shared" si="7"/>
        <v>1646946</v>
      </c>
      <c r="S103" s="12">
        <f t="shared" si="7"/>
        <v>0</v>
      </c>
      <c r="T103" s="12">
        <f t="shared" si="7"/>
        <v>0</v>
      </c>
      <c r="U103" s="12">
        <f t="shared" si="7"/>
        <v>0</v>
      </c>
      <c r="V103" s="12">
        <f t="shared" si="7"/>
        <v>0</v>
      </c>
      <c r="W103" s="12">
        <f t="shared" si="7"/>
        <v>0</v>
      </c>
      <c r="X103" s="12">
        <f t="shared" si="6"/>
        <v>0</v>
      </c>
      <c r="Y103" s="12">
        <f t="shared" si="6"/>
        <v>0</v>
      </c>
      <c r="Z103" s="12">
        <f t="shared" si="6"/>
        <v>0</v>
      </c>
      <c r="AA103" s="12">
        <f t="shared" si="6"/>
        <v>0</v>
      </c>
      <c r="AB103" s="12">
        <f t="shared" si="6"/>
        <v>0</v>
      </c>
      <c r="AC103" s="12">
        <f t="shared" si="6"/>
        <v>0</v>
      </c>
      <c r="AD103" s="12">
        <f t="shared" si="6"/>
        <v>0</v>
      </c>
      <c r="AE103" s="12">
        <f t="shared" si="6"/>
        <v>0</v>
      </c>
      <c r="AF103" s="12">
        <f t="shared" si="6"/>
        <v>0</v>
      </c>
      <c r="AG103" s="12">
        <f t="shared" si="6"/>
        <v>0</v>
      </c>
      <c r="AH103" s="12">
        <f t="shared" si="6"/>
        <v>0</v>
      </c>
      <c r="AI103" s="12">
        <f t="shared" si="6"/>
        <v>0</v>
      </c>
      <c r="AJ103" s="12">
        <f t="shared" si="6"/>
        <v>0</v>
      </c>
      <c r="AK103" s="12">
        <f t="shared" si="6"/>
        <v>0</v>
      </c>
      <c r="AL103" s="12">
        <f t="shared" si="6"/>
        <v>0</v>
      </c>
      <c r="AM103" s="12">
        <f t="shared" si="6"/>
        <v>0</v>
      </c>
      <c r="AN103" s="12">
        <f t="shared" si="6"/>
        <v>0</v>
      </c>
      <c r="AO103" s="12">
        <f t="shared" si="6"/>
        <v>0</v>
      </c>
      <c r="AP103" s="12">
        <f t="shared" si="6"/>
        <v>0</v>
      </c>
      <c r="AQ103" s="12">
        <f t="shared" si="6"/>
        <v>0</v>
      </c>
      <c r="AR103" s="12">
        <f t="shared" si="6"/>
        <v>0</v>
      </c>
      <c r="AS103" s="12">
        <f t="shared" si="6"/>
        <v>0</v>
      </c>
      <c r="AT103" s="12">
        <f t="shared" si="6"/>
        <v>0</v>
      </c>
      <c r="AU103" s="12">
        <f t="shared" si="6"/>
        <v>0</v>
      </c>
      <c r="AV103" s="12">
        <f t="shared" si="6"/>
        <v>0</v>
      </c>
      <c r="AW103" s="12">
        <f t="shared" si="6"/>
        <v>0</v>
      </c>
      <c r="AX103" s="12">
        <f t="shared" si="6"/>
        <v>0</v>
      </c>
      <c r="AY103" s="12">
        <f t="shared" si="6"/>
        <v>0</v>
      </c>
      <c r="AZ103" s="12">
        <f t="shared" si="6"/>
        <v>0</v>
      </c>
      <c r="BA103" s="12">
        <f t="shared" si="6"/>
        <v>0</v>
      </c>
      <c r="BB103" s="12">
        <f t="shared" si="6"/>
        <v>0</v>
      </c>
      <c r="BC103" s="12">
        <f t="shared" si="6"/>
        <v>0</v>
      </c>
      <c r="BD103" s="12">
        <f t="shared" si="6"/>
        <v>0</v>
      </c>
      <c r="BE103" s="12">
        <f t="shared" si="6"/>
        <v>0</v>
      </c>
      <c r="BF103" s="12">
        <f t="shared" si="6"/>
        <v>0</v>
      </c>
      <c r="BG103" s="12">
        <f t="shared" si="6"/>
        <v>0</v>
      </c>
      <c r="BH103" s="12">
        <f t="shared" si="6"/>
        <v>0</v>
      </c>
      <c r="BI103" s="12">
        <f t="shared" si="6"/>
        <v>0</v>
      </c>
      <c r="BJ103" s="12">
        <f t="shared" si="6"/>
        <v>0</v>
      </c>
      <c r="BK103" s="12">
        <f t="shared" si="6"/>
        <v>-730496</v>
      </c>
      <c r="BL103" s="12">
        <f t="shared" si="6"/>
        <v>0</v>
      </c>
      <c r="BM103" s="12">
        <f t="shared" si="6"/>
        <v>0</v>
      </c>
      <c r="BN103" s="12">
        <f t="shared" si="6"/>
        <v>0</v>
      </c>
      <c r="BO103" s="12">
        <f t="shared" si="6"/>
        <v>0</v>
      </c>
      <c r="BP103" s="12">
        <f t="shared" si="6"/>
        <v>0</v>
      </c>
      <c r="BQ103" s="12">
        <f t="shared" si="6"/>
        <v>0</v>
      </c>
      <c r="BR103" s="12">
        <f t="shared" si="6"/>
        <v>0</v>
      </c>
      <c r="BS103" s="12">
        <f t="shared" si="6"/>
        <v>0</v>
      </c>
      <c r="BT103" s="12">
        <f t="shared" si="6"/>
        <v>0</v>
      </c>
      <c r="BU103" s="12">
        <f t="shared" si="6"/>
        <v>916450</v>
      </c>
    </row>
    <row r="104" spans="13:75" hidden="1" x14ac:dyDescent="0.2">
      <c r="M104" s="12">
        <f t="shared" si="7"/>
        <v>0</v>
      </c>
      <c r="N104" s="12">
        <f t="shared" si="7"/>
        <v>0</v>
      </c>
      <c r="O104" s="12">
        <f t="shared" si="7"/>
        <v>0</v>
      </c>
      <c r="P104" s="12">
        <f t="shared" si="7"/>
        <v>0</v>
      </c>
      <c r="Q104" s="12">
        <f t="shared" si="7"/>
        <v>0</v>
      </c>
      <c r="R104" s="12">
        <f t="shared" si="7"/>
        <v>12795000</v>
      </c>
      <c r="S104" s="12">
        <f t="shared" si="7"/>
        <v>0</v>
      </c>
      <c r="T104" s="12">
        <f t="shared" si="7"/>
        <v>0</v>
      </c>
      <c r="U104" s="12">
        <f t="shared" si="7"/>
        <v>0</v>
      </c>
      <c r="V104" s="12">
        <f t="shared" si="7"/>
        <v>0</v>
      </c>
      <c r="W104" s="12">
        <f t="shared" si="7"/>
        <v>0</v>
      </c>
      <c r="X104" s="12">
        <f t="shared" si="6"/>
        <v>0</v>
      </c>
      <c r="Y104" s="12">
        <f t="shared" si="6"/>
        <v>0</v>
      </c>
      <c r="Z104" s="12">
        <f t="shared" si="6"/>
        <v>0</v>
      </c>
      <c r="AA104" s="12">
        <f t="shared" si="6"/>
        <v>0</v>
      </c>
      <c r="AB104" s="12">
        <f t="shared" si="6"/>
        <v>0</v>
      </c>
      <c r="AC104" s="12">
        <f t="shared" si="6"/>
        <v>0</v>
      </c>
      <c r="AD104" s="12">
        <f t="shared" si="6"/>
        <v>0</v>
      </c>
      <c r="AE104" s="12">
        <f t="shared" si="6"/>
        <v>0</v>
      </c>
      <c r="AF104" s="12">
        <f t="shared" si="6"/>
        <v>0</v>
      </c>
      <c r="AG104" s="12">
        <f t="shared" si="6"/>
        <v>0</v>
      </c>
      <c r="AH104" s="12">
        <f t="shared" si="6"/>
        <v>0</v>
      </c>
      <c r="AI104" s="12">
        <f t="shared" si="6"/>
        <v>0</v>
      </c>
      <c r="AJ104" s="12">
        <f t="shared" si="6"/>
        <v>0</v>
      </c>
      <c r="AK104" s="12">
        <f t="shared" si="6"/>
        <v>0</v>
      </c>
      <c r="AL104" s="12">
        <f t="shared" si="6"/>
        <v>0</v>
      </c>
      <c r="AM104" s="12">
        <f t="shared" si="6"/>
        <v>0</v>
      </c>
      <c r="AN104" s="12">
        <f t="shared" si="6"/>
        <v>0</v>
      </c>
      <c r="AO104" s="12">
        <f t="shared" si="6"/>
        <v>0</v>
      </c>
      <c r="AP104" s="12">
        <f t="shared" si="6"/>
        <v>0</v>
      </c>
      <c r="AQ104" s="12">
        <f t="shared" si="6"/>
        <v>0</v>
      </c>
      <c r="AR104" s="12">
        <f t="shared" si="6"/>
        <v>0</v>
      </c>
      <c r="AS104" s="12">
        <f t="shared" si="6"/>
        <v>0</v>
      </c>
      <c r="AT104" s="12">
        <f t="shared" si="6"/>
        <v>0</v>
      </c>
      <c r="AU104" s="12">
        <f t="shared" si="6"/>
        <v>0</v>
      </c>
      <c r="AV104" s="12">
        <f t="shared" si="6"/>
        <v>0</v>
      </c>
      <c r="AW104" s="12">
        <f t="shared" si="6"/>
        <v>0</v>
      </c>
      <c r="AX104" s="12">
        <f t="shared" si="6"/>
        <v>0</v>
      </c>
      <c r="AY104" s="12">
        <f t="shared" si="6"/>
        <v>0</v>
      </c>
      <c r="AZ104" s="12">
        <f t="shared" si="6"/>
        <v>0</v>
      </c>
      <c r="BA104" s="12">
        <f t="shared" si="6"/>
        <v>0</v>
      </c>
      <c r="BB104" s="12">
        <f t="shared" si="6"/>
        <v>0</v>
      </c>
      <c r="BC104" s="12">
        <f t="shared" si="6"/>
        <v>0</v>
      </c>
      <c r="BD104" s="12">
        <f t="shared" si="6"/>
        <v>0</v>
      </c>
      <c r="BE104" s="12">
        <f t="shared" si="6"/>
        <v>0</v>
      </c>
      <c r="BF104" s="12">
        <f t="shared" si="6"/>
        <v>0</v>
      </c>
      <c r="BG104" s="12">
        <f t="shared" si="6"/>
        <v>0</v>
      </c>
      <c r="BH104" s="12">
        <f t="shared" si="6"/>
        <v>0</v>
      </c>
      <c r="BI104" s="12">
        <f t="shared" si="6"/>
        <v>0</v>
      </c>
      <c r="BJ104" s="12">
        <f t="shared" si="6"/>
        <v>0</v>
      </c>
      <c r="BK104" s="12">
        <f t="shared" si="6"/>
        <v>-6805000</v>
      </c>
      <c r="BL104" s="12">
        <f t="shared" si="6"/>
        <v>0</v>
      </c>
      <c r="BM104" s="12">
        <f t="shared" si="6"/>
        <v>0</v>
      </c>
      <c r="BN104" s="12">
        <f t="shared" si="6"/>
        <v>0</v>
      </c>
      <c r="BO104" s="12">
        <f t="shared" si="6"/>
        <v>0</v>
      </c>
      <c r="BP104" s="12">
        <f t="shared" si="6"/>
        <v>0</v>
      </c>
      <c r="BQ104" s="12">
        <f t="shared" si="6"/>
        <v>0</v>
      </c>
      <c r="BR104" s="12">
        <f t="shared" si="6"/>
        <v>0</v>
      </c>
      <c r="BS104" s="12">
        <f t="shared" si="6"/>
        <v>0</v>
      </c>
      <c r="BT104" s="12">
        <f t="shared" si="6"/>
        <v>0</v>
      </c>
      <c r="BU104" s="12">
        <f t="shared" si="6"/>
        <v>5990000</v>
      </c>
      <c r="BW104" s="12" t="e">
        <f>SUM(BW105:BW106)</f>
        <v>#REF!</v>
      </c>
    </row>
    <row r="105" spans="13:75" hidden="1" x14ac:dyDescent="0.2">
      <c r="M105" s="12">
        <f t="shared" si="7"/>
        <v>0</v>
      </c>
      <c r="N105" s="12">
        <f t="shared" si="7"/>
        <v>0</v>
      </c>
      <c r="O105" s="12">
        <f t="shared" si="7"/>
        <v>0</v>
      </c>
      <c r="P105" s="12">
        <f t="shared" si="7"/>
        <v>0</v>
      </c>
      <c r="Q105" s="12">
        <f t="shared" si="7"/>
        <v>0</v>
      </c>
      <c r="R105" s="12">
        <f t="shared" si="7"/>
        <v>0</v>
      </c>
      <c r="S105" s="12">
        <f t="shared" si="7"/>
        <v>0</v>
      </c>
      <c r="T105" s="12">
        <f t="shared" si="7"/>
        <v>0</v>
      </c>
      <c r="U105" s="12">
        <f t="shared" si="7"/>
        <v>0</v>
      </c>
      <c r="V105" s="12">
        <f t="shared" si="7"/>
        <v>0</v>
      </c>
      <c r="W105" s="12">
        <f t="shared" si="7"/>
        <v>0</v>
      </c>
      <c r="X105" s="12">
        <f t="shared" si="6"/>
        <v>0</v>
      </c>
      <c r="Y105" s="12">
        <f t="shared" si="6"/>
        <v>0</v>
      </c>
      <c r="Z105" s="12">
        <f t="shared" si="6"/>
        <v>0</v>
      </c>
      <c r="AA105" s="12">
        <f t="shared" si="6"/>
        <v>0</v>
      </c>
      <c r="AB105" s="12">
        <f t="shared" si="6"/>
        <v>0</v>
      </c>
      <c r="AC105" s="12">
        <f t="shared" si="6"/>
        <v>0</v>
      </c>
      <c r="AD105" s="12">
        <f t="shared" si="6"/>
        <v>0</v>
      </c>
      <c r="AE105" s="12">
        <f t="shared" si="6"/>
        <v>0</v>
      </c>
      <c r="AF105" s="12">
        <f t="shared" si="6"/>
        <v>0</v>
      </c>
      <c r="AG105" s="12">
        <f t="shared" si="6"/>
        <v>0</v>
      </c>
      <c r="AH105" s="12">
        <f t="shared" si="6"/>
        <v>0</v>
      </c>
      <c r="AI105" s="12">
        <f t="shared" si="6"/>
        <v>0</v>
      </c>
      <c r="AJ105" s="12">
        <f t="shared" si="6"/>
        <v>0</v>
      </c>
      <c r="AK105" s="12">
        <f t="shared" si="6"/>
        <v>0</v>
      </c>
      <c r="AL105" s="12">
        <f t="shared" si="6"/>
        <v>0</v>
      </c>
      <c r="AM105" s="12">
        <f t="shared" si="6"/>
        <v>0</v>
      </c>
      <c r="AN105" s="12">
        <f t="shared" si="6"/>
        <v>0</v>
      </c>
      <c r="AO105" s="12">
        <f t="shared" si="6"/>
        <v>0</v>
      </c>
      <c r="AP105" s="12">
        <f t="shared" si="6"/>
        <v>0</v>
      </c>
      <c r="AQ105" s="12">
        <f t="shared" si="6"/>
        <v>0</v>
      </c>
      <c r="AR105" s="12">
        <f t="shared" si="6"/>
        <v>0</v>
      </c>
      <c r="AS105" s="12">
        <f t="shared" si="6"/>
        <v>0</v>
      </c>
      <c r="AT105" s="12">
        <f t="shared" si="6"/>
        <v>0</v>
      </c>
      <c r="AU105" s="12">
        <f t="shared" si="6"/>
        <v>0</v>
      </c>
      <c r="AV105" s="12">
        <f t="shared" si="6"/>
        <v>0</v>
      </c>
      <c r="AW105" s="12">
        <f t="shared" si="6"/>
        <v>0</v>
      </c>
      <c r="AX105" s="12">
        <f t="shared" si="6"/>
        <v>0</v>
      </c>
      <c r="AY105" s="12">
        <f t="shared" si="6"/>
        <v>0</v>
      </c>
      <c r="AZ105" s="12">
        <f t="shared" si="6"/>
        <v>0</v>
      </c>
      <c r="BA105" s="12">
        <f t="shared" si="6"/>
        <v>0</v>
      </c>
      <c r="BB105" s="12">
        <f t="shared" si="6"/>
        <v>0</v>
      </c>
      <c r="BC105" s="12">
        <f t="shared" si="6"/>
        <v>0</v>
      </c>
      <c r="BD105" s="12">
        <f t="shared" si="6"/>
        <v>0</v>
      </c>
      <c r="BE105" s="12">
        <f t="shared" si="6"/>
        <v>0</v>
      </c>
      <c r="BF105" s="12">
        <f t="shared" si="6"/>
        <v>0</v>
      </c>
      <c r="BG105" s="12">
        <f t="shared" si="6"/>
        <v>0</v>
      </c>
      <c r="BH105" s="12">
        <f t="shared" si="6"/>
        <v>0</v>
      </c>
      <c r="BI105" s="12">
        <f t="shared" si="6"/>
        <v>0</v>
      </c>
      <c r="BJ105" s="12">
        <f t="shared" si="6"/>
        <v>0</v>
      </c>
      <c r="BK105" s="12">
        <f t="shared" si="6"/>
        <v>0</v>
      </c>
      <c r="BL105" s="12">
        <f t="shared" si="6"/>
        <v>0</v>
      </c>
      <c r="BM105" s="12">
        <f t="shared" si="6"/>
        <v>0</v>
      </c>
      <c r="BN105" s="12">
        <f t="shared" si="6"/>
        <v>0</v>
      </c>
      <c r="BO105" s="12">
        <f t="shared" si="6"/>
        <v>0</v>
      </c>
      <c r="BP105" s="12">
        <f t="shared" si="6"/>
        <v>0</v>
      </c>
      <c r="BQ105" s="12">
        <f t="shared" si="6"/>
        <v>0</v>
      </c>
      <c r="BR105" s="12">
        <f t="shared" si="6"/>
        <v>0</v>
      </c>
      <c r="BS105" s="12">
        <f t="shared" si="6"/>
        <v>0</v>
      </c>
      <c r="BT105" s="12">
        <f t="shared" si="6"/>
        <v>0</v>
      </c>
      <c r="BU105" s="12">
        <f t="shared" si="6"/>
        <v>0</v>
      </c>
      <c r="BW105" s="12" t="e">
        <f>[51]domlongtermissues!BV98</f>
        <v>#REF!</v>
      </c>
    </row>
    <row r="106" spans="13:75" hidden="1" x14ac:dyDescent="0.2">
      <c r="M106" s="12">
        <f t="shared" si="7"/>
        <v>0</v>
      </c>
      <c r="N106" s="12">
        <f t="shared" si="7"/>
        <v>0</v>
      </c>
      <c r="O106" s="12">
        <f t="shared" si="7"/>
        <v>0</v>
      </c>
      <c r="P106" s="12">
        <f t="shared" si="7"/>
        <v>0</v>
      </c>
      <c r="Q106" s="12">
        <f t="shared" si="7"/>
        <v>0</v>
      </c>
      <c r="R106" s="12">
        <f t="shared" si="7"/>
        <v>0</v>
      </c>
      <c r="S106" s="12">
        <f t="shared" si="7"/>
        <v>0</v>
      </c>
      <c r="T106" s="12">
        <f t="shared" si="7"/>
        <v>0</v>
      </c>
      <c r="U106" s="12">
        <f t="shared" si="7"/>
        <v>0</v>
      </c>
      <c r="V106" s="12">
        <f t="shared" si="7"/>
        <v>0</v>
      </c>
      <c r="W106" s="12">
        <f t="shared" si="7"/>
        <v>0</v>
      </c>
      <c r="X106" s="12">
        <f t="shared" si="6"/>
        <v>0</v>
      </c>
      <c r="Y106" s="12">
        <f t="shared" si="6"/>
        <v>0</v>
      </c>
      <c r="Z106" s="12">
        <f t="shared" si="6"/>
        <v>0</v>
      </c>
      <c r="AA106" s="12">
        <f t="shared" si="6"/>
        <v>0</v>
      </c>
      <c r="AB106" s="12">
        <f t="shared" si="6"/>
        <v>0</v>
      </c>
      <c r="AC106" s="12">
        <f t="shared" si="6"/>
        <v>0</v>
      </c>
      <c r="AD106" s="12">
        <f t="shared" si="6"/>
        <v>0</v>
      </c>
      <c r="AE106" s="12">
        <f t="shared" si="6"/>
        <v>0</v>
      </c>
      <c r="AF106" s="12">
        <f t="shared" si="6"/>
        <v>0</v>
      </c>
      <c r="AG106" s="12">
        <f t="shared" si="6"/>
        <v>0</v>
      </c>
      <c r="AH106" s="12">
        <f t="shared" si="6"/>
        <v>0</v>
      </c>
      <c r="AI106" s="12">
        <f t="shared" si="6"/>
        <v>0</v>
      </c>
      <c r="AJ106" s="12">
        <f t="shared" si="6"/>
        <v>0</v>
      </c>
      <c r="AK106" s="12">
        <f t="shared" si="6"/>
        <v>0</v>
      </c>
      <c r="AL106" s="12">
        <f t="shared" si="6"/>
        <v>0</v>
      </c>
      <c r="AM106" s="12">
        <f t="shared" si="6"/>
        <v>0</v>
      </c>
      <c r="AN106" s="12">
        <f t="shared" si="6"/>
        <v>0</v>
      </c>
      <c r="AO106" s="12">
        <f t="shared" si="6"/>
        <v>0</v>
      </c>
      <c r="AP106" s="12">
        <f t="shared" si="6"/>
        <v>0</v>
      </c>
      <c r="AQ106" s="12">
        <f t="shared" si="6"/>
        <v>0</v>
      </c>
      <c r="AR106" s="12">
        <f t="shared" si="6"/>
        <v>0</v>
      </c>
      <c r="AS106" s="12">
        <f t="shared" si="6"/>
        <v>0</v>
      </c>
      <c r="AT106" s="12">
        <f t="shared" si="6"/>
        <v>0</v>
      </c>
      <c r="AU106" s="12">
        <f t="shared" si="6"/>
        <v>0</v>
      </c>
      <c r="AV106" s="12">
        <f t="shared" si="6"/>
        <v>85877</v>
      </c>
      <c r="AW106" s="12">
        <f t="shared" si="6"/>
        <v>0</v>
      </c>
      <c r="AX106" s="12">
        <f t="shared" si="6"/>
        <v>0</v>
      </c>
      <c r="AY106" s="12">
        <f t="shared" si="6"/>
        <v>0</v>
      </c>
      <c r="AZ106" s="12">
        <f t="shared" si="6"/>
        <v>0</v>
      </c>
      <c r="BA106" s="12">
        <f t="shared" si="6"/>
        <v>-85877</v>
      </c>
      <c r="BB106" s="12">
        <f t="shared" si="6"/>
        <v>0</v>
      </c>
      <c r="BC106" s="12">
        <f t="shared" si="6"/>
        <v>0</v>
      </c>
      <c r="BD106" s="12">
        <f t="shared" si="6"/>
        <v>0</v>
      </c>
      <c r="BE106" s="12">
        <f t="shared" si="6"/>
        <v>0</v>
      </c>
      <c r="BF106" s="12">
        <f t="shared" si="6"/>
        <v>0</v>
      </c>
      <c r="BG106" s="12">
        <f t="shared" si="6"/>
        <v>0</v>
      </c>
      <c r="BH106" s="12">
        <f t="shared" si="6"/>
        <v>0</v>
      </c>
      <c r="BI106" s="12">
        <f t="shared" si="6"/>
        <v>0</v>
      </c>
      <c r="BJ106" s="12">
        <f t="shared" si="6"/>
        <v>0</v>
      </c>
      <c r="BK106" s="12">
        <f t="shared" si="6"/>
        <v>0</v>
      </c>
      <c r="BL106" s="12">
        <f t="shared" si="6"/>
        <v>0</v>
      </c>
      <c r="BM106" s="12">
        <f t="shared" si="6"/>
        <v>0</v>
      </c>
      <c r="BN106" s="12">
        <f t="shared" si="6"/>
        <v>0</v>
      </c>
      <c r="BO106" s="12">
        <f t="shared" si="6"/>
        <v>0</v>
      </c>
      <c r="BP106" s="12">
        <f t="shared" si="6"/>
        <v>0</v>
      </c>
      <c r="BQ106" s="12">
        <f t="shared" si="6"/>
        <v>0</v>
      </c>
      <c r="BR106" s="12">
        <f t="shared" si="6"/>
        <v>0</v>
      </c>
      <c r="BS106" s="12">
        <f t="shared" si="6"/>
        <v>0</v>
      </c>
      <c r="BT106" s="12">
        <f t="shared" si="6"/>
        <v>0</v>
      </c>
      <c r="BU106" s="12">
        <f t="shared" si="6"/>
        <v>0</v>
      </c>
      <c r="BW106" s="12" t="e">
        <f>-[51]domredemp!BV100</f>
        <v>#REF!</v>
      </c>
    </row>
    <row r="107" spans="13:75" hidden="1" x14ac:dyDescent="0.2">
      <c r="M107" s="12">
        <f t="shared" si="7"/>
        <v>-2622353</v>
      </c>
      <c r="N107" s="12">
        <f t="shared" si="7"/>
        <v>0</v>
      </c>
      <c r="O107" s="12">
        <f t="shared" si="7"/>
        <v>0</v>
      </c>
      <c r="P107" s="12">
        <f t="shared" si="7"/>
        <v>0</v>
      </c>
      <c r="Q107" s="12">
        <f t="shared" si="7"/>
        <v>0</v>
      </c>
      <c r="R107" s="12">
        <f t="shared" si="7"/>
        <v>29682</v>
      </c>
      <c r="S107" s="12">
        <f t="shared" si="7"/>
        <v>0</v>
      </c>
      <c r="T107" s="12">
        <f t="shared" si="7"/>
        <v>0</v>
      </c>
      <c r="U107" s="12">
        <f t="shared" si="7"/>
        <v>0</v>
      </c>
      <c r="V107" s="12">
        <f t="shared" si="7"/>
        <v>0</v>
      </c>
      <c r="W107" s="12">
        <f t="shared" si="7"/>
        <v>28489</v>
      </c>
      <c r="X107" s="12">
        <f t="shared" si="6"/>
        <v>0</v>
      </c>
      <c r="Y107" s="12">
        <f t="shared" si="6"/>
        <v>0</v>
      </c>
      <c r="Z107" s="12">
        <f t="shared" si="6"/>
        <v>0</v>
      </c>
      <c r="AA107" s="12">
        <f t="shared" si="6"/>
        <v>0</v>
      </c>
      <c r="AB107" s="12">
        <f t="shared" si="6"/>
        <v>0</v>
      </c>
      <c r="AC107" s="12">
        <f t="shared" ref="AC107:BU112" si="8">AC36-CU36</f>
        <v>0</v>
      </c>
      <c r="AD107" s="12">
        <f t="shared" si="8"/>
        <v>0</v>
      </c>
      <c r="AE107" s="12">
        <f t="shared" si="8"/>
        <v>0</v>
      </c>
      <c r="AF107" s="12">
        <f t="shared" si="8"/>
        <v>0</v>
      </c>
      <c r="AG107" s="12">
        <f t="shared" si="8"/>
        <v>-248026</v>
      </c>
      <c r="AH107" s="12">
        <f t="shared" si="8"/>
        <v>0</v>
      </c>
      <c r="AI107" s="12">
        <f t="shared" si="8"/>
        <v>0</v>
      </c>
      <c r="AJ107" s="12">
        <f t="shared" si="8"/>
        <v>0</v>
      </c>
      <c r="AK107" s="12">
        <f t="shared" si="8"/>
        <v>0</v>
      </c>
      <c r="AL107" s="12">
        <f t="shared" si="8"/>
        <v>-216458</v>
      </c>
      <c r="AM107" s="12">
        <f t="shared" si="8"/>
        <v>0</v>
      </c>
      <c r="AN107" s="12">
        <f t="shared" si="8"/>
        <v>0</v>
      </c>
      <c r="AO107" s="12">
        <f t="shared" si="8"/>
        <v>0</v>
      </c>
      <c r="AP107" s="12">
        <f t="shared" si="8"/>
        <v>0</v>
      </c>
      <c r="AQ107" s="12">
        <f t="shared" si="8"/>
        <v>0</v>
      </c>
      <c r="AR107" s="12">
        <f t="shared" si="8"/>
        <v>0</v>
      </c>
      <c r="AS107" s="12">
        <f t="shared" si="8"/>
        <v>0</v>
      </c>
      <c r="AT107" s="12">
        <f t="shared" si="8"/>
        <v>0</v>
      </c>
      <c r="AU107" s="12">
        <f t="shared" si="8"/>
        <v>0</v>
      </c>
      <c r="AV107" s="12">
        <f t="shared" si="8"/>
        <v>21750</v>
      </c>
      <c r="AW107" s="12">
        <f t="shared" si="8"/>
        <v>0</v>
      </c>
      <c r="AX107" s="12">
        <f t="shared" si="8"/>
        <v>0</v>
      </c>
      <c r="AY107" s="12">
        <f t="shared" si="8"/>
        <v>0</v>
      </c>
      <c r="AZ107" s="12">
        <f t="shared" si="8"/>
        <v>0</v>
      </c>
      <c r="BA107" s="12">
        <f t="shared" si="8"/>
        <v>204461</v>
      </c>
      <c r="BB107" s="12">
        <f t="shared" si="8"/>
        <v>0</v>
      </c>
      <c r="BC107" s="12">
        <f t="shared" si="8"/>
        <v>0</v>
      </c>
      <c r="BD107" s="12">
        <f t="shared" si="8"/>
        <v>0</v>
      </c>
      <c r="BE107" s="12">
        <f t="shared" si="8"/>
        <v>0</v>
      </c>
      <c r="BF107" s="12">
        <f t="shared" si="8"/>
        <v>132680</v>
      </c>
      <c r="BG107" s="12">
        <f t="shared" si="8"/>
        <v>0</v>
      </c>
      <c r="BH107" s="12">
        <f t="shared" si="8"/>
        <v>0</v>
      </c>
      <c r="BI107" s="12">
        <f t="shared" si="8"/>
        <v>0</v>
      </c>
      <c r="BJ107" s="12">
        <f t="shared" si="8"/>
        <v>0</v>
      </c>
      <c r="BK107" s="12">
        <f t="shared" si="8"/>
        <v>1279237</v>
      </c>
      <c r="BL107" s="12">
        <f t="shared" si="8"/>
        <v>0</v>
      </c>
      <c r="BM107" s="12">
        <f t="shared" si="8"/>
        <v>0</v>
      </c>
      <c r="BN107" s="12">
        <f t="shared" si="8"/>
        <v>0</v>
      </c>
      <c r="BO107" s="12">
        <f t="shared" si="8"/>
        <v>0</v>
      </c>
      <c r="BP107" s="12">
        <f t="shared" si="8"/>
        <v>1921252</v>
      </c>
      <c r="BQ107" s="12">
        <f t="shared" si="8"/>
        <v>0</v>
      </c>
      <c r="BR107" s="12">
        <f t="shared" si="8"/>
        <v>0</v>
      </c>
      <c r="BS107" s="12">
        <f t="shared" si="8"/>
        <v>0</v>
      </c>
      <c r="BT107" s="12">
        <f t="shared" si="8"/>
        <v>0</v>
      </c>
      <c r="BU107" s="12">
        <f t="shared" si="8"/>
        <v>530714</v>
      </c>
    </row>
    <row r="108" spans="13:75" hidden="1" x14ac:dyDescent="0.2">
      <c r="M108" s="12">
        <f t="shared" si="7"/>
        <v>2622353</v>
      </c>
      <c r="N108" s="12">
        <f t="shared" si="7"/>
        <v>0</v>
      </c>
      <c r="O108" s="12">
        <f t="shared" si="7"/>
        <v>0</v>
      </c>
      <c r="P108" s="12">
        <f t="shared" si="7"/>
        <v>0</v>
      </c>
      <c r="Q108" s="12">
        <f t="shared" si="7"/>
        <v>0</v>
      </c>
      <c r="R108" s="12">
        <f t="shared" si="7"/>
        <v>-29682</v>
      </c>
      <c r="S108" s="12">
        <f t="shared" si="7"/>
        <v>0</v>
      </c>
      <c r="T108" s="12">
        <f t="shared" si="7"/>
        <v>0</v>
      </c>
      <c r="U108" s="12">
        <f t="shared" si="7"/>
        <v>0</v>
      </c>
      <c r="V108" s="12">
        <f t="shared" si="7"/>
        <v>0</v>
      </c>
      <c r="W108" s="12">
        <f t="shared" si="7"/>
        <v>-28489</v>
      </c>
      <c r="X108" s="12">
        <f t="shared" si="7"/>
        <v>0</v>
      </c>
      <c r="Y108" s="12">
        <f t="shared" si="7"/>
        <v>0</v>
      </c>
      <c r="Z108" s="12">
        <f t="shared" si="7"/>
        <v>0</v>
      </c>
      <c r="AA108" s="12">
        <f t="shared" si="7"/>
        <v>0</v>
      </c>
      <c r="AB108" s="12">
        <f t="shared" si="7"/>
        <v>0</v>
      </c>
      <c r="AC108" s="12">
        <f t="shared" si="8"/>
        <v>0</v>
      </c>
      <c r="AD108" s="12">
        <f t="shared" si="8"/>
        <v>0</v>
      </c>
      <c r="AE108" s="12">
        <f t="shared" si="8"/>
        <v>0</v>
      </c>
      <c r="AF108" s="12">
        <f t="shared" si="8"/>
        <v>0</v>
      </c>
      <c r="AG108" s="12">
        <f t="shared" si="8"/>
        <v>248026</v>
      </c>
      <c r="AH108" s="12">
        <f t="shared" si="8"/>
        <v>0</v>
      </c>
      <c r="AI108" s="12">
        <f t="shared" si="8"/>
        <v>0</v>
      </c>
      <c r="AJ108" s="12">
        <f t="shared" si="8"/>
        <v>0</v>
      </c>
      <c r="AK108" s="12">
        <f t="shared" si="8"/>
        <v>0</v>
      </c>
      <c r="AL108" s="12">
        <f t="shared" si="8"/>
        <v>216458</v>
      </c>
      <c r="AM108" s="12">
        <f t="shared" si="8"/>
        <v>0</v>
      </c>
      <c r="AN108" s="12">
        <f t="shared" si="8"/>
        <v>0</v>
      </c>
      <c r="AO108" s="12">
        <f t="shared" si="8"/>
        <v>0</v>
      </c>
      <c r="AP108" s="12">
        <f t="shared" si="8"/>
        <v>0</v>
      </c>
      <c r="AQ108" s="12">
        <f t="shared" si="8"/>
        <v>0</v>
      </c>
      <c r="AR108" s="12">
        <f t="shared" si="8"/>
        <v>0</v>
      </c>
      <c r="AS108" s="12">
        <f t="shared" si="8"/>
        <v>0</v>
      </c>
      <c r="AT108" s="12">
        <f t="shared" si="8"/>
        <v>0</v>
      </c>
      <c r="AU108" s="12">
        <f t="shared" si="8"/>
        <v>0</v>
      </c>
      <c r="AV108" s="12">
        <f t="shared" si="8"/>
        <v>64127</v>
      </c>
      <c r="AW108" s="12">
        <f t="shared" si="8"/>
        <v>0</v>
      </c>
      <c r="AX108" s="12">
        <f t="shared" si="8"/>
        <v>0</v>
      </c>
      <c r="AY108" s="12">
        <f t="shared" si="8"/>
        <v>0</v>
      </c>
      <c r="AZ108" s="12">
        <f t="shared" si="8"/>
        <v>0</v>
      </c>
      <c r="BA108" s="12">
        <f t="shared" si="8"/>
        <v>-290338</v>
      </c>
      <c r="BB108" s="12">
        <f t="shared" si="8"/>
        <v>0</v>
      </c>
      <c r="BC108" s="12">
        <f t="shared" si="8"/>
        <v>0</v>
      </c>
      <c r="BD108" s="12">
        <f t="shared" si="8"/>
        <v>0</v>
      </c>
      <c r="BE108" s="12">
        <f t="shared" si="8"/>
        <v>0</v>
      </c>
      <c r="BF108" s="12">
        <f t="shared" si="8"/>
        <v>-132680</v>
      </c>
      <c r="BG108" s="12">
        <f t="shared" si="8"/>
        <v>0</v>
      </c>
      <c r="BH108" s="12">
        <f t="shared" si="8"/>
        <v>0</v>
      </c>
      <c r="BI108" s="12">
        <f t="shared" si="8"/>
        <v>0</v>
      </c>
      <c r="BJ108" s="12">
        <f t="shared" si="8"/>
        <v>0</v>
      </c>
      <c r="BK108" s="12">
        <f t="shared" si="8"/>
        <v>-1279237</v>
      </c>
      <c r="BL108" s="12">
        <f t="shared" si="8"/>
        <v>0</v>
      </c>
      <c r="BM108" s="12">
        <f t="shared" si="8"/>
        <v>0</v>
      </c>
      <c r="BN108" s="12">
        <f t="shared" si="8"/>
        <v>0</v>
      </c>
      <c r="BO108" s="12">
        <f t="shared" si="8"/>
        <v>0</v>
      </c>
      <c r="BP108" s="12">
        <f t="shared" si="8"/>
        <v>-1921252</v>
      </c>
      <c r="BQ108" s="12">
        <f t="shared" si="8"/>
        <v>0</v>
      </c>
      <c r="BR108" s="12">
        <f t="shared" si="8"/>
        <v>0</v>
      </c>
      <c r="BS108" s="12">
        <f t="shared" si="8"/>
        <v>0</v>
      </c>
      <c r="BT108" s="12">
        <f t="shared" si="8"/>
        <v>0</v>
      </c>
      <c r="BU108" s="12">
        <f t="shared" si="8"/>
        <v>-530714</v>
      </c>
      <c r="BW108" s="12" t="e">
        <f>SUM(BW109:BW109)</f>
        <v>#REF!</v>
      </c>
    </row>
    <row r="109" spans="13:75" hidden="1" x14ac:dyDescent="0.2">
      <c r="M109" s="12">
        <f t="shared" si="7"/>
        <v>0</v>
      </c>
      <c r="N109" s="12">
        <f t="shared" si="7"/>
        <v>0</v>
      </c>
      <c r="O109" s="12">
        <f t="shared" si="7"/>
        <v>0</v>
      </c>
      <c r="P109" s="12">
        <f t="shared" si="7"/>
        <v>0</v>
      </c>
      <c r="Q109" s="12">
        <f t="shared" si="7"/>
        <v>0</v>
      </c>
      <c r="R109" s="12">
        <f t="shared" si="7"/>
        <v>0</v>
      </c>
      <c r="S109" s="12">
        <f t="shared" si="7"/>
        <v>0</v>
      </c>
      <c r="T109" s="12">
        <f t="shared" si="7"/>
        <v>0</v>
      </c>
      <c r="U109" s="12">
        <f t="shared" si="7"/>
        <v>0</v>
      </c>
      <c r="V109" s="12">
        <f t="shared" si="7"/>
        <v>0</v>
      </c>
      <c r="W109" s="12">
        <f t="shared" si="7"/>
        <v>0</v>
      </c>
      <c r="X109" s="12">
        <f t="shared" si="7"/>
        <v>0</v>
      </c>
      <c r="Y109" s="12">
        <f t="shared" si="7"/>
        <v>0</v>
      </c>
      <c r="Z109" s="12">
        <f t="shared" si="7"/>
        <v>0</v>
      </c>
      <c r="AA109" s="12">
        <f t="shared" si="7"/>
        <v>0</v>
      </c>
      <c r="AB109" s="12">
        <f t="shared" si="7"/>
        <v>0</v>
      </c>
      <c r="AC109" s="12">
        <f t="shared" si="8"/>
        <v>0</v>
      </c>
      <c r="AD109" s="12">
        <f t="shared" si="8"/>
        <v>0</v>
      </c>
      <c r="AE109" s="12">
        <f t="shared" si="8"/>
        <v>0</v>
      </c>
      <c r="AF109" s="12">
        <f t="shared" si="8"/>
        <v>0</v>
      </c>
      <c r="AG109" s="12">
        <f t="shared" si="8"/>
        <v>0</v>
      </c>
      <c r="AH109" s="12">
        <f t="shared" si="8"/>
        <v>0</v>
      </c>
      <c r="AI109" s="12">
        <f t="shared" si="8"/>
        <v>0</v>
      </c>
      <c r="AJ109" s="12">
        <f t="shared" si="8"/>
        <v>0</v>
      </c>
      <c r="AK109" s="12">
        <f t="shared" si="8"/>
        <v>0</v>
      </c>
      <c r="AL109" s="12">
        <f t="shared" si="8"/>
        <v>0</v>
      </c>
      <c r="AM109" s="12">
        <f t="shared" si="8"/>
        <v>0</v>
      </c>
      <c r="AN109" s="12">
        <f t="shared" si="8"/>
        <v>0</v>
      </c>
      <c r="AO109" s="12">
        <f t="shared" si="8"/>
        <v>0</v>
      </c>
      <c r="AP109" s="12">
        <f t="shared" si="8"/>
        <v>0</v>
      </c>
      <c r="AQ109" s="12">
        <f t="shared" si="8"/>
        <v>0</v>
      </c>
      <c r="AR109" s="12">
        <f t="shared" si="8"/>
        <v>0</v>
      </c>
      <c r="AS109" s="12">
        <f t="shared" si="8"/>
        <v>0</v>
      </c>
      <c r="AT109" s="12">
        <f t="shared" si="8"/>
        <v>0</v>
      </c>
      <c r="AU109" s="12">
        <f t="shared" si="8"/>
        <v>0</v>
      </c>
      <c r="AV109" s="12">
        <f t="shared" si="8"/>
        <v>0</v>
      </c>
      <c r="AW109" s="12">
        <f t="shared" si="8"/>
        <v>0</v>
      </c>
      <c r="AX109" s="12">
        <f t="shared" si="8"/>
        <v>0</v>
      </c>
      <c r="AY109" s="12">
        <f t="shared" si="8"/>
        <v>0</v>
      </c>
      <c r="AZ109" s="12">
        <f t="shared" si="8"/>
        <v>0</v>
      </c>
      <c r="BA109" s="12">
        <f t="shared" si="8"/>
        <v>0</v>
      </c>
      <c r="BB109" s="12">
        <f t="shared" si="8"/>
        <v>0</v>
      </c>
      <c r="BC109" s="12">
        <f t="shared" si="8"/>
        <v>0</v>
      </c>
      <c r="BD109" s="12">
        <f t="shared" si="8"/>
        <v>0</v>
      </c>
      <c r="BE109" s="12">
        <f t="shared" si="8"/>
        <v>0</v>
      </c>
      <c r="BF109" s="12">
        <f t="shared" si="8"/>
        <v>0</v>
      </c>
      <c r="BG109" s="12">
        <f t="shared" si="8"/>
        <v>0</v>
      </c>
      <c r="BH109" s="12">
        <f t="shared" si="8"/>
        <v>0</v>
      </c>
      <c r="BI109" s="12">
        <f t="shared" si="8"/>
        <v>0</v>
      </c>
      <c r="BJ109" s="12">
        <f t="shared" si="8"/>
        <v>0</v>
      </c>
      <c r="BK109" s="12">
        <f t="shared" si="8"/>
        <v>0</v>
      </c>
      <c r="BL109" s="12">
        <f t="shared" si="8"/>
        <v>0</v>
      </c>
      <c r="BM109" s="12">
        <f t="shared" si="8"/>
        <v>0</v>
      </c>
      <c r="BN109" s="12">
        <f t="shared" si="8"/>
        <v>0</v>
      </c>
      <c r="BO109" s="12">
        <f t="shared" si="8"/>
        <v>0</v>
      </c>
      <c r="BP109" s="12">
        <f>BP38-EH38</f>
        <v>0</v>
      </c>
      <c r="BQ109" s="12">
        <f t="shared" si="8"/>
        <v>0</v>
      </c>
      <c r="BR109" s="12">
        <f t="shared" si="8"/>
        <v>0</v>
      </c>
      <c r="BS109" s="12">
        <f t="shared" si="8"/>
        <v>0</v>
      </c>
      <c r="BT109" s="12">
        <f t="shared" si="8"/>
        <v>0</v>
      </c>
      <c r="BU109" s="12">
        <f t="shared" si="8"/>
        <v>0</v>
      </c>
      <c r="BW109" s="12" t="e">
        <f>[51]domlongtermissues!BV99</f>
        <v>#REF!</v>
      </c>
    </row>
    <row r="110" spans="13:75" hidden="1" x14ac:dyDescent="0.2">
      <c r="M110" s="12">
        <f t="shared" si="7"/>
        <v>0</v>
      </c>
      <c r="N110" s="12">
        <f t="shared" si="7"/>
        <v>0</v>
      </c>
      <c r="O110" s="12">
        <f t="shared" si="7"/>
        <v>0</v>
      </c>
      <c r="P110" s="12">
        <f t="shared" si="7"/>
        <v>0</v>
      </c>
      <c r="Q110" s="12">
        <f t="shared" si="7"/>
        <v>0</v>
      </c>
      <c r="R110" s="12">
        <f t="shared" si="7"/>
        <v>0</v>
      </c>
      <c r="S110" s="12">
        <f t="shared" si="7"/>
        <v>0</v>
      </c>
      <c r="T110" s="12">
        <f t="shared" si="7"/>
        <v>0</v>
      </c>
      <c r="U110" s="12">
        <f t="shared" si="7"/>
        <v>0</v>
      </c>
      <c r="V110" s="12">
        <f t="shared" si="7"/>
        <v>0</v>
      </c>
      <c r="W110" s="12">
        <f t="shared" si="7"/>
        <v>0</v>
      </c>
      <c r="X110" s="12">
        <f t="shared" si="7"/>
        <v>0</v>
      </c>
      <c r="Y110" s="12">
        <f t="shared" si="7"/>
        <v>0</v>
      </c>
      <c r="Z110" s="12">
        <f t="shared" si="7"/>
        <v>0</v>
      </c>
      <c r="AA110" s="12">
        <f t="shared" si="7"/>
        <v>0</v>
      </c>
      <c r="AB110" s="12">
        <f t="shared" si="7"/>
        <v>0</v>
      </c>
      <c r="AC110" s="12">
        <f t="shared" si="8"/>
        <v>0</v>
      </c>
      <c r="AD110" s="12">
        <f t="shared" si="8"/>
        <v>0</v>
      </c>
      <c r="AE110" s="12">
        <f t="shared" si="8"/>
        <v>0</v>
      </c>
      <c r="AF110" s="12">
        <f t="shared" si="8"/>
        <v>0</v>
      </c>
      <c r="AG110" s="12">
        <f t="shared" si="8"/>
        <v>0</v>
      </c>
      <c r="AH110" s="12">
        <f t="shared" si="8"/>
        <v>0</v>
      </c>
      <c r="AI110" s="12">
        <f t="shared" si="8"/>
        <v>0</v>
      </c>
      <c r="AJ110" s="12">
        <f t="shared" si="8"/>
        <v>0</v>
      </c>
      <c r="AK110" s="12">
        <f t="shared" si="8"/>
        <v>0</v>
      </c>
      <c r="AL110" s="12">
        <f t="shared" si="8"/>
        <v>0</v>
      </c>
      <c r="AM110" s="12">
        <f t="shared" si="8"/>
        <v>0</v>
      </c>
      <c r="AN110" s="12">
        <f t="shared" si="8"/>
        <v>0</v>
      </c>
      <c r="AO110" s="12">
        <f t="shared" si="8"/>
        <v>0</v>
      </c>
      <c r="AP110" s="12">
        <f t="shared" si="8"/>
        <v>0</v>
      </c>
      <c r="AQ110" s="12">
        <f t="shared" si="8"/>
        <v>0</v>
      </c>
      <c r="AR110" s="12">
        <f t="shared" si="8"/>
        <v>0</v>
      </c>
      <c r="AS110" s="12">
        <f t="shared" si="8"/>
        <v>0</v>
      </c>
      <c r="AT110" s="12">
        <f t="shared" si="8"/>
        <v>0</v>
      </c>
      <c r="AU110" s="12">
        <f t="shared" si="8"/>
        <v>0</v>
      </c>
      <c r="AV110" s="12">
        <f t="shared" si="8"/>
        <v>0</v>
      </c>
      <c r="AW110" s="12">
        <f t="shared" si="8"/>
        <v>0</v>
      </c>
      <c r="AX110" s="12">
        <f t="shared" si="8"/>
        <v>0</v>
      </c>
      <c r="AY110" s="12">
        <f t="shared" si="8"/>
        <v>0</v>
      </c>
      <c r="AZ110" s="12">
        <f t="shared" si="8"/>
        <v>0</v>
      </c>
      <c r="BA110" s="12">
        <f t="shared" si="8"/>
        <v>0</v>
      </c>
      <c r="BB110" s="12">
        <f t="shared" si="8"/>
        <v>0</v>
      </c>
      <c r="BC110" s="12">
        <f t="shared" si="8"/>
        <v>0</v>
      </c>
      <c r="BD110" s="12">
        <f t="shared" si="8"/>
        <v>0</v>
      </c>
      <c r="BE110" s="12">
        <f t="shared" si="8"/>
        <v>0</v>
      </c>
      <c r="BF110" s="12">
        <f t="shared" si="8"/>
        <v>0</v>
      </c>
      <c r="BG110" s="12">
        <f t="shared" si="8"/>
        <v>0</v>
      </c>
      <c r="BH110" s="12">
        <f t="shared" si="8"/>
        <v>0</v>
      </c>
      <c r="BI110" s="12">
        <f t="shared" si="8"/>
        <v>0</v>
      </c>
      <c r="BJ110" s="12">
        <f t="shared" si="8"/>
        <v>0</v>
      </c>
      <c r="BK110" s="12">
        <f t="shared" si="8"/>
        <v>0</v>
      </c>
      <c r="BL110" s="12">
        <f t="shared" si="8"/>
        <v>0</v>
      </c>
      <c r="BM110" s="12">
        <f t="shared" si="8"/>
        <v>0</v>
      </c>
      <c r="BN110" s="12">
        <f t="shared" si="8"/>
        <v>0</v>
      </c>
      <c r="BO110" s="12">
        <f t="shared" si="8"/>
        <v>0</v>
      </c>
      <c r="BP110" s="12">
        <f t="shared" si="8"/>
        <v>0</v>
      </c>
      <c r="BQ110" s="12">
        <f t="shared" si="8"/>
        <v>0</v>
      </c>
      <c r="BR110" s="12">
        <f t="shared" si="8"/>
        <v>0</v>
      </c>
      <c r="BS110" s="12">
        <f t="shared" si="8"/>
        <v>0</v>
      </c>
      <c r="BT110" s="12">
        <f t="shared" si="8"/>
        <v>0</v>
      </c>
      <c r="BU110" s="12">
        <f t="shared" si="8"/>
        <v>0</v>
      </c>
    </row>
    <row r="111" spans="13:75" hidden="1" x14ac:dyDescent="0.2">
      <c r="M111" s="12">
        <f t="shared" si="7"/>
        <v>0</v>
      </c>
      <c r="N111" s="12">
        <f t="shared" si="7"/>
        <v>0</v>
      </c>
      <c r="O111" s="12">
        <f t="shared" si="7"/>
        <v>0</v>
      </c>
      <c r="P111" s="12">
        <f t="shared" si="7"/>
        <v>0</v>
      </c>
      <c r="Q111" s="12">
        <f t="shared" si="7"/>
        <v>0</v>
      </c>
      <c r="R111" s="12">
        <f t="shared" si="7"/>
        <v>0</v>
      </c>
      <c r="S111" s="12">
        <f t="shared" si="7"/>
        <v>0</v>
      </c>
      <c r="T111" s="12">
        <f t="shared" si="7"/>
        <v>0</v>
      </c>
      <c r="U111" s="12">
        <f t="shared" si="7"/>
        <v>0</v>
      </c>
      <c r="V111" s="12">
        <f t="shared" si="7"/>
        <v>0</v>
      </c>
      <c r="W111" s="12">
        <f t="shared" si="7"/>
        <v>0</v>
      </c>
      <c r="X111" s="12">
        <f t="shared" si="7"/>
        <v>0</v>
      </c>
      <c r="Y111" s="12">
        <f t="shared" si="7"/>
        <v>0</v>
      </c>
      <c r="Z111" s="12">
        <f t="shared" si="7"/>
        <v>0</v>
      </c>
      <c r="AA111" s="12">
        <f t="shared" si="7"/>
        <v>0</v>
      </c>
      <c r="AB111" s="12">
        <f t="shared" si="7"/>
        <v>0</v>
      </c>
      <c r="AC111" s="12">
        <f t="shared" si="8"/>
        <v>0</v>
      </c>
      <c r="AD111" s="12">
        <f t="shared" si="8"/>
        <v>0</v>
      </c>
      <c r="AE111" s="12">
        <f t="shared" si="8"/>
        <v>0</v>
      </c>
      <c r="AF111" s="12">
        <f t="shared" si="8"/>
        <v>0</v>
      </c>
      <c r="AG111" s="12">
        <f t="shared" si="8"/>
        <v>0</v>
      </c>
      <c r="AH111" s="12">
        <f t="shared" si="8"/>
        <v>0</v>
      </c>
      <c r="AI111" s="12">
        <f t="shared" si="8"/>
        <v>0</v>
      </c>
      <c r="AJ111" s="12">
        <f t="shared" si="8"/>
        <v>0</v>
      </c>
      <c r="AK111" s="12">
        <f t="shared" si="8"/>
        <v>0</v>
      </c>
      <c r="AL111" s="12">
        <f t="shared" si="8"/>
        <v>0</v>
      </c>
      <c r="AM111" s="12">
        <f t="shared" si="8"/>
        <v>0</v>
      </c>
      <c r="AN111" s="12">
        <f t="shared" si="8"/>
        <v>0</v>
      </c>
      <c r="AO111" s="12">
        <f t="shared" si="8"/>
        <v>0</v>
      </c>
      <c r="AP111" s="12">
        <f t="shared" si="8"/>
        <v>0</v>
      </c>
      <c r="AQ111" s="12">
        <f t="shared" si="8"/>
        <v>0</v>
      </c>
      <c r="AR111" s="12">
        <f t="shared" si="8"/>
        <v>0</v>
      </c>
      <c r="AS111" s="12">
        <f t="shared" si="8"/>
        <v>0</v>
      </c>
      <c r="AT111" s="12">
        <f t="shared" si="8"/>
        <v>0</v>
      </c>
      <c r="AU111" s="12">
        <f t="shared" si="8"/>
        <v>0</v>
      </c>
      <c r="AV111" s="12">
        <f t="shared" si="8"/>
        <v>0</v>
      </c>
      <c r="AW111" s="12">
        <f t="shared" si="8"/>
        <v>0</v>
      </c>
      <c r="AX111" s="12">
        <f t="shared" si="8"/>
        <v>0</v>
      </c>
      <c r="AY111" s="12">
        <f t="shared" si="8"/>
        <v>0</v>
      </c>
      <c r="AZ111" s="12">
        <f t="shared" si="8"/>
        <v>0</v>
      </c>
      <c r="BA111" s="12">
        <f t="shared" si="8"/>
        <v>0</v>
      </c>
      <c r="BB111" s="12">
        <f t="shared" si="8"/>
        <v>0</v>
      </c>
      <c r="BC111" s="12">
        <f t="shared" si="8"/>
        <v>0</v>
      </c>
      <c r="BD111" s="12">
        <f t="shared" si="8"/>
        <v>0</v>
      </c>
      <c r="BE111" s="12">
        <f t="shared" si="8"/>
        <v>0</v>
      </c>
      <c r="BF111" s="12">
        <f t="shared" si="8"/>
        <v>0</v>
      </c>
      <c r="BG111" s="12">
        <f t="shared" si="8"/>
        <v>0</v>
      </c>
      <c r="BH111" s="12">
        <f t="shared" si="8"/>
        <v>0</v>
      </c>
      <c r="BI111" s="12">
        <f t="shared" si="8"/>
        <v>0</v>
      </c>
      <c r="BJ111" s="12">
        <f t="shared" si="8"/>
        <v>0</v>
      </c>
      <c r="BK111" s="12">
        <f t="shared" si="8"/>
        <v>0</v>
      </c>
      <c r="BL111" s="12">
        <f t="shared" si="8"/>
        <v>0</v>
      </c>
      <c r="BM111" s="12">
        <f t="shared" si="8"/>
        <v>0</v>
      </c>
      <c r="BN111" s="12">
        <f t="shared" si="8"/>
        <v>0</v>
      </c>
      <c r="BO111" s="12">
        <f t="shared" si="8"/>
        <v>0</v>
      </c>
      <c r="BP111" s="12">
        <f t="shared" si="8"/>
        <v>0</v>
      </c>
      <c r="BQ111" s="12">
        <f t="shared" si="8"/>
        <v>0</v>
      </c>
      <c r="BR111" s="12">
        <f t="shared" si="8"/>
        <v>0</v>
      </c>
      <c r="BS111" s="12">
        <f t="shared" si="8"/>
        <v>0</v>
      </c>
      <c r="BT111" s="12">
        <f t="shared" si="8"/>
        <v>0</v>
      </c>
      <c r="BU111" s="12">
        <f t="shared" si="8"/>
        <v>0</v>
      </c>
    </row>
    <row r="112" spans="13:75" hidden="1" x14ac:dyDescent="0.2">
      <c r="M112" s="12">
        <f t="shared" si="7"/>
        <v>0</v>
      </c>
      <c r="N112" s="12">
        <f t="shared" si="7"/>
        <v>0</v>
      </c>
      <c r="O112" s="12">
        <f t="shared" si="7"/>
        <v>0</v>
      </c>
      <c r="P112" s="12">
        <f t="shared" si="7"/>
        <v>0</v>
      </c>
      <c r="Q112" s="12">
        <f t="shared" si="7"/>
        <v>0</v>
      </c>
      <c r="R112" s="12">
        <f t="shared" si="7"/>
        <v>0</v>
      </c>
      <c r="S112" s="12">
        <f t="shared" si="7"/>
        <v>0</v>
      </c>
      <c r="T112" s="12">
        <f t="shared" si="7"/>
        <v>0</v>
      </c>
      <c r="U112" s="12">
        <f t="shared" si="7"/>
        <v>0</v>
      </c>
      <c r="V112" s="12">
        <f t="shared" si="7"/>
        <v>0</v>
      </c>
      <c r="W112" s="12">
        <f t="shared" si="7"/>
        <v>0</v>
      </c>
      <c r="X112" s="12">
        <f t="shared" si="7"/>
        <v>0</v>
      </c>
      <c r="Y112" s="12">
        <f t="shared" si="7"/>
        <v>0</v>
      </c>
      <c r="Z112" s="12">
        <f t="shared" si="7"/>
        <v>0</v>
      </c>
      <c r="AA112" s="12">
        <f t="shared" si="7"/>
        <v>0</v>
      </c>
      <c r="AB112" s="12">
        <f t="shared" si="7"/>
        <v>0</v>
      </c>
      <c r="AC112" s="12">
        <f t="shared" si="8"/>
        <v>0</v>
      </c>
      <c r="AD112" s="12">
        <f t="shared" si="8"/>
        <v>0</v>
      </c>
      <c r="AE112" s="12">
        <f t="shared" si="8"/>
        <v>0</v>
      </c>
      <c r="AF112" s="12">
        <f t="shared" si="8"/>
        <v>0</v>
      </c>
      <c r="AG112" s="12">
        <f t="shared" si="8"/>
        <v>0</v>
      </c>
      <c r="AH112" s="12">
        <f t="shared" si="8"/>
        <v>0</v>
      </c>
      <c r="AI112" s="12">
        <f t="shared" si="8"/>
        <v>0</v>
      </c>
      <c r="AJ112" s="12">
        <f t="shared" si="8"/>
        <v>0</v>
      </c>
      <c r="AK112" s="12">
        <f t="shared" si="8"/>
        <v>0</v>
      </c>
      <c r="AL112" s="12">
        <f t="shared" si="8"/>
        <v>0</v>
      </c>
      <c r="AM112" s="12">
        <f t="shared" si="8"/>
        <v>0</v>
      </c>
      <c r="AN112" s="12">
        <f t="shared" si="8"/>
        <v>0</v>
      </c>
      <c r="AO112" s="12">
        <f t="shared" si="8"/>
        <v>0</v>
      </c>
      <c r="AP112" s="12">
        <f t="shared" si="8"/>
        <v>0</v>
      </c>
      <c r="AQ112" s="12">
        <f t="shared" si="8"/>
        <v>0</v>
      </c>
      <c r="AR112" s="12">
        <f t="shared" si="8"/>
        <v>0</v>
      </c>
      <c r="AS112" s="12">
        <f t="shared" si="8"/>
        <v>0</v>
      </c>
      <c r="AT112" s="12">
        <f t="shared" si="8"/>
        <v>0</v>
      </c>
      <c r="AU112" s="12">
        <f t="shared" si="8"/>
        <v>0</v>
      </c>
      <c r="AV112" s="12">
        <f t="shared" si="8"/>
        <v>0</v>
      </c>
      <c r="AW112" s="12">
        <f t="shared" si="8"/>
        <v>0</v>
      </c>
      <c r="AX112" s="12">
        <f t="shared" si="8"/>
        <v>0</v>
      </c>
      <c r="AY112" s="12">
        <f t="shared" si="8"/>
        <v>0</v>
      </c>
      <c r="AZ112" s="12">
        <f t="shared" si="8"/>
        <v>0</v>
      </c>
      <c r="BA112" s="12">
        <f t="shared" si="8"/>
        <v>0</v>
      </c>
      <c r="BB112" s="12">
        <f t="shared" si="8"/>
        <v>0</v>
      </c>
      <c r="BC112" s="12">
        <f t="shared" si="8"/>
        <v>0</v>
      </c>
      <c r="BD112" s="12">
        <f t="shared" si="8"/>
        <v>0</v>
      </c>
      <c r="BE112" s="12">
        <f t="shared" si="8"/>
        <v>0</v>
      </c>
      <c r="BF112" s="12">
        <f t="shared" si="8"/>
        <v>0</v>
      </c>
      <c r="BG112" s="12">
        <f t="shared" si="8"/>
        <v>0</v>
      </c>
      <c r="BH112" s="12">
        <f t="shared" ref="BH112:BU112" si="9">BH41-DZ41</f>
        <v>0</v>
      </c>
      <c r="BI112" s="12">
        <f t="shared" si="9"/>
        <v>0</v>
      </c>
      <c r="BJ112" s="12">
        <f t="shared" si="9"/>
        <v>0</v>
      </c>
      <c r="BK112" s="12">
        <f t="shared" si="9"/>
        <v>0</v>
      </c>
      <c r="BL112" s="12">
        <f t="shared" si="9"/>
        <v>0</v>
      </c>
      <c r="BM112" s="12">
        <f t="shared" si="9"/>
        <v>0</v>
      </c>
      <c r="BN112" s="12">
        <f t="shared" si="9"/>
        <v>0</v>
      </c>
      <c r="BO112" s="12">
        <f t="shared" si="9"/>
        <v>0</v>
      </c>
      <c r="BP112" s="12">
        <f t="shared" si="9"/>
        <v>0</v>
      </c>
      <c r="BQ112" s="12">
        <f t="shared" si="9"/>
        <v>0</v>
      </c>
      <c r="BR112" s="12">
        <f t="shared" si="9"/>
        <v>0</v>
      </c>
      <c r="BS112" s="12">
        <f t="shared" si="9"/>
        <v>0</v>
      </c>
      <c r="BT112" s="12">
        <f t="shared" si="9"/>
        <v>0</v>
      </c>
      <c r="BU112" s="12">
        <f t="shared" si="9"/>
        <v>0</v>
      </c>
    </row>
    <row r="113" spans="75:75" hidden="1" x14ac:dyDescent="0.2">
      <c r="BW113" s="451" t="e">
        <f>+BW114+BW122+BW129</f>
        <v>#REF!</v>
      </c>
    </row>
    <row r="114" spans="75:75" hidden="1" x14ac:dyDescent="0.2">
      <c r="BW114" s="12" t="e">
        <f>SUM(BW115:BW120)</f>
        <v>#REF!</v>
      </c>
    </row>
    <row r="115" spans="75:75" hidden="1" x14ac:dyDescent="0.2">
      <c r="BW115" s="12" t="e">
        <f>+[51]foreigndebt!BV113</f>
        <v>#REF!</v>
      </c>
    </row>
    <row r="116" spans="75:75" hidden="1" x14ac:dyDescent="0.2">
      <c r="BW116" s="12" t="e">
        <f>-[51]foreigndebt!BV115</f>
        <v>#REF!</v>
      </c>
    </row>
    <row r="117" spans="75:75" hidden="1" x14ac:dyDescent="0.2"/>
    <row r="118" spans="75:75" hidden="1" x14ac:dyDescent="0.2"/>
    <row r="119" spans="75:75" hidden="1" x14ac:dyDescent="0.2">
      <c r="BW119" s="12" t="e">
        <f>-[51]foreigndebt!BV184</f>
        <v>#REF!</v>
      </c>
    </row>
    <row r="120" spans="75:75" hidden="1" x14ac:dyDescent="0.2">
      <c r="BW120" s="12" t="e">
        <f>-[51]foreigndebt!BV185</f>
        <v>#REF!</v>
      </c>
    </row>
    <row r="121" spans="75:75" hidden="1" x14ac:dyDescent="0.2"/>
    <row r="122" spans="75:75" hidden="1" x14ac:dyDescent="0.2">
      <c r="BW122" s="12" t="e">
        <f>SUM(BW123:BW127)</f>
        <v>#REF!</v>
      </c>
    </row>
    <row r="123" spans="75:75" hidden="1" x14ac:dyDescent="0.2">
      <c r="BW123" s="12" t="e">
        <f>[51]foreigndebt!BV134</f>
        <v>#REF!</v>
      </c>
    </row>
    <row r="124" spans="75:75" hidden="1" x14ac:dyDescent="0.2">
      <c r="BW124" s="12" t="e">
        <f>-[51]foreigndebt!BV136</f>
        <v>#REF!</v>
      </c>
    </row>
    <row r="125" spans="75:75" hidden="1" x14ac:dyDescent="0.2"/>
    <row r="126" spans="75:75" hidden="1" x14ac:dyDescent="0.2">
      <c r="BW126" s="12">
        <f>-[51]foreigndebt!BV227</f>
        <v>0</v>
      </c>
    </row>
    <row r="127" spans="75:75" hidden="1" x14ac:dyDescent="0.2">
      <c r="BW127" s="12">
        <f>-[51]foreigndebt!BV228</f>
        <v>0</v>
      </c>
    </row>
    <row r="128" spans="75:75" hidden="1" x14ac:dyDescent="0.2"/>
    <row r="129" spans="75:75" hidden="1" x14ac:dyDescent="0.2">
      <c r="BW129" s="12" t="e">
        <f>SUM(BW130:BW134)</f>
        <v>#REF!</v>
      </c>
    </row>
    <row r="130" spans="75:75" hidden="1" x14ac:dyDescent="0.2">
      <c r="BW130" s="12" t="e">
        <f>[51]foreigndebt!BV148</f>
        <v>#REF!</v>
      </c>
    </row>
    <row r="131" spans="75:75" hidden="1" x14ac:dyDescent="0.2">
      <c r="BW131" s="12" t="e">
        <f>-[51]foreigndebt!BV150</f>
        <v>#REF!</v>
      </c>
    </row>
    <row r="132" spans="75:75" hidden="1" x14ac:dyDescent="0.2"/>
    <row r="133" spans="75:75" hidden="1" x14ac:dyDescent="0.2">
      <c r="BW133" s="12">
        <f>-[51]foreigndebt!BV239</f>
        <v>0</v>
      </c>
    </row>
    <row r="134" spans="75:75" hidden="1" x14ac:dyDescent="0.2">
      <c r="BW134" s="12">
        <f>-[51]foreigndebt!BV240</f>
        <v>0</v>
      </c>
    </row>
    <row r="135" spans="75:75" hidden="1" x14ac:dyDescent="0.2"/>
    <row r="136" spans="75:75" hidden="1" x14ac:dyDescent="0.2"/>
    <row r="137" spans="75:75" hidden="1" x14ac:dyDescent="0.2">
      <c r="BW137" s="451">
        <f>SUM(BW138:BW145)</f>
        <v>1</v>
      </c>
    </row>
    <row r="138" spans="75:75" hidden="1" x14ac:dyDescent="0.2">
      <c r="BW138" s="12">
        <f>+[51]cashbalances!BW86</f>
        <v>0</v>
      </c>
    </row>
    <row r="139" spans="75:75" hidden="1" x14ac:dyDescent="0.2"/>
    <row r="140" spans="75:75" hidden="1" x14ac:dyDescent="0.2">
      <c r="BW140" s="12">
        <f>+[51]cashbalances!BW97</f>
        <v>0</v>
      </c>
    </row>
    <row r="141" spans="75:75" hidden="1" x14ac:dyDescent="0.2">
      <c r="BW141" s="12">
        <f>[51]cashbalances!BW99</f>
        <v>0</v>
      </c>
    </row>
    <row r="142" spans="75:75" hidden="1" x14ac:dyDescent="0.2">
      <c r="BW142" s="12">
        <f>+[51]cashbalances!BW101</f>
        <v>0</v>
      </c>
    </row>
    <row r="143" spans="75:75" hidden="1" x14ac:dyDescent="0.2">
      <c r="BW143" s="12">
        <f>+[51]cashbalances!BW106</f>
        <v>0</v>
      </c>
    </row>
    <row r="144" spans="75:75" hidden="1" x14ac:dyDescent="0.2"/>
    <row r="145" spans="75:75" x14ac:dyDescent="0.2">
      <c r="BW145" s="12">
        <f>+[51]cashbalances!BW112+1</f>
        <v>1</v>
      </c>
    </row>
    <row r="147" spans="75:75" x14ac:dyDescent="0.2">
      <c r="BW147" s="451" t="e">
        <f>+BW81+BW91+BW113+BW137</f>
        <v>#REF!</v>
      </c>
    </row>
  </sheetData>
  <mergeCells count="2">
    <mergeCell ref="H8:BU8"/>
    <mergeCell ref="BZ8:EM8"/>
  </mergeCells>
  <pageMargins left="0.70866141732283472" right="0.70866141732283472" top="0.74803149606299213" bottom="0.74803149606299213" header="0.31496062992125984" footer="0.31496062992125984"/>
  <pageSetup paperSize="9" scale="65" orientation="landscape"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T689"/>
  <sheetViews>
    <sheetView view="pageBreakPreview" topLeftCell="C318" zoomScale="120" zoomScaleNormal="100" zoomScaleSheetLayoutView="120" workbookViewId="0">
      <selection activeCell="BZ77" sqref="BZ77"/>
    </sheetView>
  </sheetViews>
  <sheetFormatPr defaultColWidth="10" defaultRowHeight="12.75" x14ac:dyDescent="0.2"/>
  <cols>
    <col min="1" max="1" width="1.85546875" style="12" hidden="1" customWidth="1"/>
    <col min="2" max="2" width="1.140625" style="12" hidden="1" customWidth="1"/>
    <col min="3" max="3" width="1" style="12" customWidth="1"/>
    <col min="4" max="4" width="56" style="12" customWidth="1"/>
    <col min="5" max="5" width="1" style="82" customWidth="1"/>
    <col min="6" max="6" width="1" style="12" customWidth="1"/>
    <col min="7" max="7" width="14.42578125" style="12" customWidth="1"/>
    <col min="8" max="9" width="1" style="12" customWidth="1"/>
    <col min="10" max="11" width="1" style="12" hidden="1" customWidth="1"/>
    <col min="12" max="12" width="17.85546875" style="12" hidden="1" customWidth="1"/>
    <col min="13" max="16" width="1" style="12" hidden="1" customWidth="1"/>
    <col min="17" max="17" width="14.42578125" style="12" hidden="1" customWidth="1"/>
    <col min="18" max="21" width="1" style="12" hidden="1" customWidth="1"/>
    <col min="22" max="22" width="17.85546875" style="12" hidden="1" customWidth="1"/>
    <col min="23" max="26" width="1" style="12" hidden="1" customWidth="1"/>
    <col min="27" max="27" width="17.85546875" style="12" hidden="1" customWidth="1"/>
    <col min="28" max="31" width="1" style="12" hidden="1" customWidth="1"/>
    <col min="32" max="32" width="17.85546875" style="12" hidden="1" customWidth="1"/>
    <col min="33" max="35" width="1" style="12" hidden="1" customWidth="1"/>
    <col min="36" max="36" width="1.140625" style="12" hidden="1" customWidth="1"/>
    <col min="37" max="37" width="17.85546875" style="12" hidden="1" customWidth="1"/>
    <col min="38" max="41" width="1" style="12" hidden="1" customWidth="1"/>
    <col min="42" max="42" width="17.85546875" style="12" hidden="1" customWidth="1"/>
    <col min="43" max="46" width="1" style="12" hidden="1" customWidth="1"/>
    <col min="47" max="47" width="17.85546875" style="12" hidden="1" customWidth="1"/>
    <col min="48" max="51" width="1" style="12" hidden="1" customWidth="1"/>
    <col min="52" max="52" width="17.85546875" style="12" hidden="1" customWidth="1"/>
    <col min="53" max="56" width="1" style="12" hidden="1" customWidth="1"/>
    <col min="57" max="57" width="17.85546875" style="12" hidden="1" customWidth="1"/>
    <col min="58" max="61" width="1" style="12" hidden="1" customWidth="1"/>
    <col min="62" max="62" width="17.85546875" style="12" hidden="1" customWidth="1"/>
    <col min="63" max="64" width="1" style="12" hidden="1" customWidth="1"/>
    <col min="65" max="66" width="1" style="12" customWidth="1"/>
    <col min="67" max="67" width="17.85546875" style="12" customWidth="1"/>
    <col min="68" max="71" width="1" style="12" customWidth="1"/>
    <col min="72" max="72" width="17.85546875" style="12" customWidth="1"/>
    <col min="73" max="76" width="1" style="12" customWidth="1"/>
    <col min="77" max="77" width="17.85546875" style="12" customWidth="1"/>
    <col min="78" max="79" width="1" style="12" customWidth="1"/>
    <col min="80" max="81" width="1" style="12" hidden="1" customWidth="1"/>
    <col min="82" max="82" width="17.85546875" style="12" hidden="1" customWidth="1"/>
    <col min="83" max="86" width="1" style="12" hidden="1" customWidth="1"/>
    <col min="87" max="87" width="14.42578125" style="12" hidden="1" customWidth="1"/>
    <col min="88" max="91" width="1" style="12" hidden="1" customWidth="1"/>
    <col min="92" max="92" width="17.85546875" style="12" hidden="1" customWidth="1"/>
    <col min="93" max="96" width="1" style="12" hidden="1" customWidth="1"/>
    <col min="97" max="97" width="17.85546875" style="12" hidden="1" customWidth="1"/>
    <col min="98" max="98" width="0.7109375" style="12" hidden="1" customWidth="1"/>
    <col min="99" max="101" width="1" style="12" hidden="1" customWidth="1"/>
    <col min="102" max="102" width="17.85546875" style="12" hidden="1" customWidth="1"/>
    <col min="103" max="106" width="1" style="12" hidden="1" customWidth="1"/>
    <col min="107" max="107" width="17.85546875" style="12" hidden="1" customWidth="1"/>
    <col min="108" max="111" width="1" style="12" hidden="1" customWidth="1"/>
    <col min="112" max="112" width="17.85546875" style="12" hidden="1" customWidth="1"/>
    <col min="113" max="116" width="1" style="12" hidden="1" customWidth="1"/>
    <col min="117" max="117" width="17.85546875" style="12" hidden="1" customWidth="1"/>
    <col min="118" max="121" width="1" style="12" hidden="1" customWidth="1"/>
    <col min="122" max="122" width="17.85546875" style="12" hidden="1" customWidth="1"/>
    <col min="123" max="126" width="1" style="12" hidden="1" customWidth="1"/>
    <col min="127" max="127" width="17.85546875" style="12" hidden="1" customWidth="1"/>
    <col min="128" max="131" width="1" style="12" hidden="1" customWidth="1"/>
    <col min="132" max="132" width="17.85546875" style="12" hidden="1" customWidth="1"/>
    <col min="133" max="134" width="1" style="12" hidden="1" customWidth="1"/>
    <col min="135" max="136" width="1" style="12" customWidth="1"/>
    <col min="137" max="137" width="17.85546875" style="12" customWidth="1"/>
    <col min="138" max="141" width="1" style="12" customWidth="1"/>
    <col min="142" max="142" width="14.42578125" style="12" customWidth="1"/>
    <col min="143" max="144" width="1" style="12" customWidth="1"/>
    <col min="145" max="145" width="2" style="12" customWidth="1"/>
    <col min="146" max="146" width="3.85546875" style="12" customWidth="1"/>
    <col min="147" max="147" width="15.7109375" style="12" customWidth="1"/>
    <col min="148" max="148" width="13.42578125" style="12" bestFit="1" customWidth="1"/>
    <col min="149" max="149" width="13.85546875" style="12" customWidth="1"/>
    <col min="150" max="150" width="13.42578125" style="12" bestFit="1" customWidth="1"/>
    <col min="151" max="256" width="10" style="12"/>
    <col min="257" max="258" width="0" style="12" hidden="1" customWidth="1"/>
    <col min="259" max="259" width="1" style="12" customWidth="1"/>
    <col min="260" max="260" width="56" style="12" customWidth="1"/>
    <col min="261" max="262" width="1" style="12" customWidth="1"/>
    <col min="263" max="263" width="14.42578125" style="12" customWidth="1"/>
    <col min="264" max="265" width="1" style="12" customWidth="1"/>
    <col min="266" max="320" width="0" style="12" hidden="1" customWidth="1"/>
    <col min="321" max="322" width="1" style="12" customWidth="1"/>
    <col min="323" max="323" width="17.85546875" style="12" customWidth="1"/>
    <col min="324" max="327" width="1" style="12" customWidth="1"/>
    <col min="328" max="328" width="17.85546875" style="12" customWidth="1"/>
    <col min="329" max="332" width="1" style="12" customWidth="1"/>
    <col min="333" max="333" width="17.85546875" style="12" customWidth="1"/>
    <col min="334" max="335" width="1" style="12" customWidth="1"/>
    <col min="336" max="390" width="0" style="12" hidden="1" customWidth="1"/>
    <col min="391" max="392" width="1" style="12" customWidth="1"/>
    <col min="393" max="393" width="17.85546875" style="12" customWidth="1"/>
    <col min="394" max="397" width="1" style="12" customWidth="1"/>
    <col min="398" max="398" width="14.42578125" style="12" customWidth="1"/>
    <col min="399" max="400" width="1" style="12" customWidth="1"/>
    <col min="401" max="401" width="2" style="12" customWidth="1"/>
    <col min="402" max="402" width="3.85546875" style="12" customWidth="1"/>
    <col min="403" max="403" width="15.7109375" style="12" customWidth="1"/>
    <col min="404" max="404" width="13.42578125" style="12" bestFit="1" customWidth="1"/>
    <col min="405" max="405" width="13.85546875" style="12" customWidth="1"/>
    <col min="406" max="406" width="13.42578125" style="12" bestFit="1" customWidth="1"/>
    <col min="407" max="512" width="10" style="12"/>
    <col min="513" max="514" width="0" style="12" hidden="1" customWidth="1"/>
    <col min="515" max="515" width="1" style="12" customWidth="1"/>
    <col min="516" max="516" width="56" style="12" customWidth="1"/>
    <col min="517" max="518" width="1" style="12" customWidth="1"/>
    <col min="519" max="519" width="14.42578125" style="12" customWidth="1"/>
    <col min="520" max="521" width="1" style="12" customWidth="1"/>
    <col min="522" max="576" width="0" style="12" hidden="1" customWidth="1"/>
    <col min="577" max="578" width="1" style="12" customWidth="1"/>
    <col min="579" max="579" width="17.85546875" style="12" customWidth="1"/>
    <col min="580" max="583" width="1" style="12" customWidth="1"/>
    <col min="584" max="584" width="17.85546875" style="12" customWidth="1"/>
    <col min="585" max="588" width="1" style="12" customWidth="1"/>
    <col min="589" max="589" width="17.85546875" style="12" customWidth="1"/>
    <col min="590" max="591" width="1" style="12" customWidth="1"/>
    <col min="592" max="646" width="0" style="12" hidden="1" customWidth="1"/>
    <col min="647" max="648" width="1" style="12" customWidth="1"/>
    <col min="649" max="649" width="17.85546875" style="12" customWidth="1"/>
    <col min="650" max="653" width="1" style="12" customWidth="1"/>
    <col min="654" max="654" width="14.42578125" style="12" customWidth="1"/>
    <col min="655" max="656" width="1" style="12" customWidth="1"/>
    <col min="657" max="657" width="2" style="12" customWidth="1"/>
    <col min="658" max="658" width="3.85546875" style="12" customWidth="1"/>
    <col min="659" max="659" width="15.7109375" style="12" customWidth="1"/>
    <col min="660" max="660" width="13.42578125" style="12" bestFit="1" customWidth="1"/>
    <col min="661" max="661" width="13.85546875" style="12" customWidth="1"/>
    <col min="662" max="662" width="13.42578125" style="12" bestFit="1" customWidth="1"/>
    <col min="663" max="768" width="10" style="12"/>
    <col min="769" max="770" width="0" style="12" hidden="1" customWidth="1"/>
    <col min="771" max="771" width="1" style="12" customWidth="1"/>
    <col min="772" max="772" width="56" style="12" customWidth="1"/>
    <col min="773" max="774" width="1" style="12" customWidth="1"/>
    <col min="775" max="775" width="14.42578125" style="12" customWidth="1"/>
    <col min="776" max="777" width="1" style="12" customWidth="1"/>
    <col min="778" max="832" width="0" style="12" hidden="1" customWidth="1"/>
    <col min="833" max="834" width="1" style="12" customWidth="1"/>
    <col min="835" max="835" width="17.85546875" style="12" customWidth="1"/>
    <col min="836" max="839" width="1" style="12" customWidth="1"/>
    <col min="840" max="840" width="17.85546875" style="12" customWidth="1"/>
    <col min="841" max="844" width="1" style="12" customWidth="1"/>
    <col min="845" max="845" width="17.85546875" style="12" customWidth="1"/>
    <col min="846" max="847" width="1" style="12" customWidth="1"/>
    <col min="848" max="902" width="0" style="12" hidden="1" customWidth="1"/>
    <col min="903" max="904" width="1" style="12" customWidth="1"/>
    <col min="905" max="905" width="17.85546875" style="12" customWidth="1"/>
    <col min="906" max="909" width="1" style="12" customWidth="1"/>
    <col min="910" max="910" width="14.42578125" style="12" customWidth="1"/>
    <col min="911" max="912" width="1" style="12" customWidth="1"/>
    <col min="913" max="913" width="2" style="12" customWidth="1"/>
    <col min="914" max="914" width="3.85546875" style="12" customWidth="1"/>
    <col min="915" max="915" width="15.7109375" style="12" customWidth="1"/>
    <col min="916" max="916" width="13.42578125" style="12" bestFit="1" customWidth="1"/>
    <col min="917" max="917" width="13.85546875" style="12" customWidth="1"/>
    <col min="918" max="918" width="13.42578125" style="12" bestFit="1" customWidth="1"/>
    <col min="919" max="1024" width="10" style="12"/>
    <col min="1025" max="1026" width="0" style="12" hidden="1" customWidth="1"/>
    <col min="1027" max="1027" width="1" style="12" customWidth="1"/>
    <col min="1028" max="1028" width="56" style="12" customWidth="1"/>
    <col min="1029" max="1030" width="1" style="12" customWidth="1"/>
    <col min="1031" max="1031" width="14.42578125" style="12" customWidth="1"/>
    <col min="1032" max="1033" width="1" style="12" customWidth="1"/>
    <col min="1034" max="1088" width="0" style="12" hidden="1" customWidth="1"/>
    <col min="1089" max="1090" width="1" style="12" customWidth="1"/>
    <col min="1091" max="1091" width="17.85546875" style="12" customWidth="1"/>
    <col min="1092" max="1095" width="1" style="12" customWidth="1"/>
    <col min="1096" max="1096" width="17.85546875" style="12" customWidth="1"/>
    <col min="1097" max="1100" width="1" style="12" customWidth="1"/>
    <col min="1101" max="1101" width="17.85546875" style="12" customWidth="1"/>
    <col min="1102" max="1103" width="1" style="12" customWidth="1"/>
    <col min="1104" max="1158" width="0" style="12" hidden="1" customWidth="1"/>
    <col min="1159" max="1160" width="1" style="12" customWidth="1"/>
    <col min="1161" max="1161" width="17.85546875" style="12" customWidth="1"/>
    <col min="1162" max="1165" width="1" style="12" customWidth="1"/>
    <col min="1166" max="1166" width="14.42578125" style="12" customWidth="1"/>
    <col min="1167" max="1168" width="1" style="12" customWidth="1"/>
    <col min="1169" max="1169" width="2" style="12" customWidth="1"/>
    <col min="1170" max="1170" width="3.85546875" style="12" customWidth="1"/>
    <col min="1171" max="1171" width="15.7109375" style="12" customWidth="1"/>
    <col min="1172" max="1172" width="13.42578125" style="12" bestFit="1" customWidth="1"/>
    <col min="1173" max="1173" width="13.85546875" style="12" customWidth="1"/>
    <col min="1174" max="1174" width="13.42578125" style="12" bestFit="1" customWidth="1"/>
    <col min="1175" max="1280" width="10" style="12"/>
    <col min="1281" max="1282" width="0" style="12" hidden="1" customWidth="1"/>
    <col min="1283" max="1283" width="1" style="12" customWidth="1"/>
    <col min="1284" max="1284" width="56" style="12" customWidth="1"/>
    <col min="1285" max="1286" width="1" style="12" customWidth="1"/>
    <col min="1287" max="1287" width="14.42578125" style="12" customWidth="1"/>
    <col min="1288" max="1289" width="1" style="12" customWidth="1"/>
    <col min="1290" max="1344" width="0" style="12" hidden="1" customWidth="1"/>
    <col min="1345" max="1346" width="1" style="12" customWidth="1"/>
    <col min="1347" max="1347" width="17.85546875" style="12" customWidth="1"/>
    <col min="1348" max="1351" width="1" style="12" customWidth="1"/>
    <col min="1352" max="1352" width="17.85546875" style="12" customWidth="1"/>
    <col min="1353" max="1356" width="1" style="12" customWidth="1"/>
    <col min="1357" max="1357" width="17.85546875" style="12" customWidth="1"/>
    <col min="1358" max="1359" width="1" style="12" customWidth="1"/>
    <col min="1360" max="1414" width="0" style="12" hidden="1" customWidth="1"/>
    <col min="1415" max="1416" width="1" style="12" customWidth="1"/>
    <col min="1417" max="1417" width="17.85546875" style="12" customWidth="1"/>
    <col min="1418" max="1421" width="1" style="12" customWidth="1"/>
    <col min="1422" max="1422" width="14.42578125" style="12" customWidth="1"/>
    <col min="1423" max="1424" width="1" style="12" customWidth="1"/>
    <col min="1425" max="1425" width="2" style="12" customWidth="1"/>
    <col min="1426" max="1426" width="3.85546875" style="12" customWidth="1"/>
    <col min="1427" max="1427" width="15.7109375" style="12" customWidth="1"/>
    <col min="1428" max="1428" width="13.42578125" style="12" bestFit="1" customWidth="1"/>
    <col min="1429" max="1429" width="13.85546875" style="12" customWidth="1"/>
    <col min="1430" max="1430" width="13.42578125" style="12" bestFit="1" customWidth="1"/>
    <col min="1431" max="1536" width="10" style="12"/>
    <col min="1537" max="1538" width="0" style="12" hidden="1" customWidth="1"/>
    <col min="1539" max="1539" width="1" style="12" customWidth="1"/>
    <col min="1540" max="1540" width="56" style="12" customWidth="1"/>
    <col min="1541" max="1542" width="1" style="12" customWidth="1"/>
    <col min="1543" max="1543" width="14.42578125" style="12" customWidth="1"/>
    <col min="1544" max="1545" width="1" style="12" customWidth="1"/>
    <col min="1546" max="1600" width="0" style="12" hidden="1" customWidth="1"/>
    <col min="1601" max="1602" width="1" style="12" customWidth="1"/>
    <col min="1603" max="1603" width="17.85546875" style="12" customWidth="1"/>
    <col min="1604" max="1607" width="1" style="12" customWidth="1"/>
    <col min="1608" max="1608" width="17.85546875" style="12" customWidth="1"/>
    <col min="1609" max="1612" width="1" style="12" customWidth="1"/>
    <col min="1613" max="1613" width="17.85546875" style="12" customWidth="1"/>
    <col min="1614" max="1615" width="1" style="12" customWidth="1"/>
    <col min="1616" max="1670" width="0" style="12" hidden="1" customWidth="1"/>
    <col min="1671" max="1672" width="1" style="12" customWidth="1"/>
    <col min="1673" max="1673" width="17.85546875" style="12" customWidth="1"/>
    <col min="1674" max="1677" width="1" style="12" customWidth="1"/>
    <col min="1678" max="1678" width="14.42578125" style="12" customWidth="1"/>
    <col min="1679" max="1680" width="1" style="12" customWidth="1"/>
    <col min="1681" max="1681" width="2" style="12" customWidth="1"/>
    <col min="1682" max="1682" width="3.85546875" style="12" customWidth="1"/>
    <col min="1683" max="1683" width="15.7109375" style="12" customWidth="1"/>
    <col min="1684" max="1684" width="13.42578125" style="12" bestFit="1" customWidth="1"/>
    <col min="1685" max="1685" width="13.85546875" style="12" customWidth="1"/>
    <col min="1686" max="1686" width="13.42578125" style="12" bestFit="1" customWidth="1"/>
    <col min="1687" max="1792" width="10" style="12"/>
    <col min="1793" max="1794" width="0" style="12" hidden="1" customWidth="1"/>
    <col min="1795" max="1795" width="1" style="12" customWidth="1"/>
    <col min="1796" max="1796" width="56" style="12" customWidth="1"/>
    <col min="1797" max="1798" width="1" style="12" customWidth="1"/>
    <col min="1799" max="1799" width="14.42578125" style="12" customWidth="1"/>
    <col min="1800" max="1801" width="1" style="12" customWidth="1"/>
    <col min="1802" max="1856" width="0" style="12" hidden="1" customWidth="1"/>
    <col min="1857" max="1858" width="1" style="12" customWidth="1"/>
    <col min="1859" max="1859" width="17.85546875" style="12" customWidth="1"/>
    <col min="1860" max="1863" width="1" style="12" customWidth="1"/>
    <col min="1864" max="1864" width="17.85546875" style="12" customWidth="1"/>
    <col min="1865" max="1868" width="1" style="12" customWidth="1"/>
    <col min="1869" max="1869" width="17.85546875" style="12" customWidth="1"/>
    <col min="1870" max="1871" width="1" style="12" customWidth="1"/>
    <col min="1872" max="1926" width="0" style="12" hidden="1" customWidth="1"/>
    <col min="1927" max="1928" width="1" style="12" customWidth="1"/>
    <col min="1929" max="1929" width="17.85546875" style="12" customWidth="1"/>
    <col min="1930" max="1933" width="1" style="12" customWidth="1"/>
    <col min="1934" max="1934" width="14.42578125" style="12" customWidth="1"/>
    <col min="1935" max="1936" width="1" style="12" customWidth="1"/>
    <col min="1937" max="1937" width="2" style="12" customWidth="1"/>
    <col min="1938" max="1938" width="3.85546875" style="12" customWidth="1"/>
    <col min="1939" max="1939" width="15.7109375" style="12" customWidth="1"/>
    <col min="1940" max="1940" width="13.42578125" style="12" bestFit="1" customWidth="1"/>
    <col min="1941" max="1941" width="13.85546875" style="12" customWidth="1"/>
    <col min="1942" max="1942" width="13.42578125" style="12" bestFit="1" customWidth="1"/>
    <col min="1943" max="2048" width="10" style="12"/>
    <col min="2049" max="2050" width="0" style="12" hidden="1" customWidth="1"/>
    <col min="2051" max="2051" width="1" style="12" customWidth="1"/>
    <col min="2052" max="2052" width="56" style="12" customWidth="1"/>
    <col min="2053" max="2054" width="1" style="12" customWidth="1"/>
    <col min="2055" max="2055" width="14.42578125" style="12" customWidth="1"/>
    <col min="2056" max="2057" width="1" style="12" customWidth="1"/>
    <col min="2058" max="2112" width="0" style="12" hidden="1" customWidth="1"/>
    <col min="2113" max="2114" width="1" style="12" customWidth="1"/>
    <col min="2115" max="2115" width="17.85546875" style="12" customWidth="1"/>
    <col min="2116" max="2119" width="1" style="12" customWidth="1"/>
    <col min="2120" max="2120" width="17.85546875" style="12" customWidth="1"/>
    <col min="2121" max="2124" width="1" style="12" customWidth="1"/>
    <col min="2125" max="2125" width="17.85546875" style="12" customWidth="1"/>
    <col min="2126" max="2127" width="1" style="12" customWidth="1"/>
    <col min="2128" max="2182" width="0" style="12" hidden="1" customWidth="1"/>
    <col min="2183" max="2184" width="1" style="12" customWidth="1"/>
    <col min="2185" max="2185" width="17.85546875" style="12" customWidth="1"/>
    <col min="2186" max="2189" width="1" style="12" customWidth="1"/>
    <col min="2190" max="2190" width="14.42578125" style="12" customWidth="1"/>
    <col min="2191" max="2192" width="1" style="12" customWidth="1"/>
    <col min="2193" max="2193" width="2" style="12" customWidth="1"/>
    <col min="2194" max="2194" width="3.85546875" style="12" customWidth="1"/>
    <col min="2195" max="2195" width="15.7109375" style="12" customWidth="1"/>
    <col min="2196" max="2196" width="13.42578125" style="12" bestFit="1" customWidth="1"/>
    <col min="2197" max="2197" width="13.85546875" style="12" customWidth="1"/>
    <col min="2198" max="2198" width="13.42578125" style="12" bestFit="1" customWidth="1"/>
    <col min="2199" max="2304" width="10" style="12"/>
    <col min="2305" max="2306" width="0" style="12" hidden="1" customWidth="1"/>
    <col min="2307" max="2307" width="1" style="12" customWidth="1"/>
    <col min="2308" max="2308" width="56" style="12" customWidth="1"/>
    <col min="2309" max="2310" width="1" style="12" customWidth="1"/>
    <col min="2311" max="2311" width="14.42578125" style="12" customWidth="1"/>
    <col min="2312" max="2313" width="1" style="12" customWidth="1"/>
    <col min="2314" max="2368" width="0" style="12" hidden="1" customWidth="1"/>
    <col min="2369" max="2370" width="1" style="12" customWidth="1"/>
    <col min="2371" max="2371" width="17.85546875" style="12" customWidth="1"/>
    <col min="2372" max="2375" width="1" style="12" customWidth="1"/>
    <col min="2376" max="2376" width="17.85546875" style="12" customWidth="1"/>
    <col min="2377" max="2380" width="1" style="12" customWidth="1"/>
    <col min="2381" max="2381" width="17.85546875" style="12" customWidth="1"/>
    <col min="2382" max="2383" width="1" style="12" customWidth="1"/>
    <col min="2384" max="2438" width="0" style="12" hidden="1" customWidth="1"/>
    <col min="2439" max="2440" width="1" style="12" customWidth="1"/>
    <col min="2441" max="2441" width="17.85546875" style="12" customWidth="1"/>
    <col min="2442" max="2445" width="1" style="12" customWidth="1"/>
    <col min="2446" max="2446" width="14.42578125" style="12" customWidth="1"/>
    <col min="2447" max="2448" width="1" style="12" customWidth="1"/>
    <col min="2449" max="2449" width="2" style="12" customWidth="1"/>
    <col min="2450" max="2450" width="3.85546875" style="12" customWidth="1"/>
    <col min="2451" max="2451" width="15.7109375" style="12" customWidth="1"/>
    <col min="2452" max="2452" width="13.42578125" style="12" bestFit="1" customWidth="1"/>
    <col min="2453" max="2453" width="13.85546875" style="12" customWidth="1"/>
    <col min="2454" max="2454" width="13.42578125" style="12" bestFit="1" customWidth="1"/>
    <col min="2455" max="2560" width="10" style="12"/>
    <col min="2561" max="2562" width="0" style="12" hidden="1" customWidth="1"/>
    <col min="2563" max="2563" width="1" style="12" customWidth="1"/>
    <col min="2564" max="2564" width="56" style="12" customWidth="1"/>
    <col min="2565" max="2566" width="1" style="12" customWidth="1"/>
    <col min="2567" max="2567" width="14.42578125" style="12" customWidth="1"/>
    <col min="2568" max="2569" width="1" style="12" customWidth="1"/>
    <col min="2570" max="2624" width="0" style="12" hidden="1" customWidth="1"/>
    <col min="2625" max="2626" width="1" style="12" customWidth="1"/>
    <col min="2627" max="2627" width="17.85546875" style="12" customWidth="1"/>
    <col min="2628" max="2631" width="1" style="12" customWidth="1"/>
    <col min="2632" max="2632" width="17.85546875" style="12" customWidth="1"/>
    <col min="2633" max="2636" width="1" style="12" customWidth="1"/>
    <col min="2637" max="2637" width="17.85546875" style="12" customWidth="1"/>
    <col min="2638" max="2639" width="1" style="12" customWidth="1"/>
    <col min="2640" max="2694" width="0" style="12" hidden="1" customWidth="1"/>
    <col min="2695" max="2696" width="1" style="12" customWidth="1"/>
    <col min="2697" max="2697" width="17.85546875" style="12" customWidth="1"/>
    <col min="2698" max="2701" width="1" style="12" customWidth="1"/>
    <col min="2702" max="2702" width="14.42578125" style="12" customWidth="1"/>
    <col min="2703" max="2704" width="1" style="12" customWidth="1"/>
    <col min="2705" max="2705" width="2" style="12" customWidth="1"/>
    <col min="2706" max="2706" width="3.85546875" style="12" customWidth="1"/>
    <col min="2707" max="2707" width="15.7109375" style="12" customWidth="1"/>
    <col min="2708" max="2708" width="13.42578125" style="12" bestFit="1" customWidth="1"/>
    <col min="2709" max="2709" width="13.85546875" style="12" customWidth="1"/>
    <col min="2710" max="2710" width="13.42578125" style="12" bestFit="1" customWidth="1"/>
    <col min="2711" max="2816" width="10" style="12"/>
    <col min="2817" max="2818" width="0" style="12" hidden="1" customWidth="1"/>
    <col min="2819" max="2819" width="1" style="12" customWidth="1"/>
    <col min="2820" max="2820" width="56" style="12" customWidth="1"/>
    <col min="2821" max="2822" width="1" style="12" customWidth="1"/>
    <col min="2823" max="2823" width="14.42578125" style="12" customWidth="1"/>
    <col min="2824" max="2825" width="1" style="12" customWidth="1"/>
    <col min="2826" max="2880" width="0" style="12" hidden="1" customWidth="1"/>
    <col min="2881" max="2882" width="1" style="12" customWidth="1"/>
    <col min="2883" max="2883" width="17.85546875" style="12" customWidth="1"/>
    <col min="2884" max="2887" width="1" style="12" customWidth="1"/>
    <col min="2888" max="2888" width="17.85546875" style="12" customWidth="1"/>
    <col min="2889" max="2892" width="1" style="12" customWidth="1"/>
    <col min="2893" max="2893" width="17.85546875" style="12" customWidth="1"/>
    <col min="2894" max="2895" width="1" style="12" customWidth="1"/>
    <col min="2896" max="2950" width="0" style="12" hidden="1" customWidth="1"/>
    <col min="2951" max="2952" width="1" style="12" customWidth="1"/>
    <col min="2953" max="2953" width="17.85546875" style="12" customWidth="1"/>
    <col min="2954" max="2957" width="1" style="12" customWidth="1"/>
    <col min="2958" max="2958" width="14.42578125" style="12" customWidth="1"/>
    <col min="2959" max="2960" width="1" style="12" customWidth="1"/>
    <col min="2961" max="2961" width="2" style="12" customWidth="1"/>
    <col min="2962" max="2962" width="3.85546875" style="12" customWidth="1"/>
    <col min="2963" max="2963" width="15.7109375" style="12" customWidth="1"/>
    <col min="2964" max="2964" width="13.42578125" style="12" bestFit="1" customWidth="1"/>
    <col min="2965" max="2965" width="13.85546875" style="12" customWidth="1"/>
    <col min="2966" max="2966" width="13.42578125" style="12" bestFit="1" customWidth="1"/>
    <col min="2967" max="3072" width="10" style="12"/>
    <col min="3073" max="3074" width="0" style="12" hidden="1" customWidth="1"/>
    <col min="3075" max="3075" width="1" style="12" customWidth="1"/>
    <col min="3076" max="3076" width="56" style="12" customWidth="1"/>
    <col min="3077" max="3078" width="1" style="12" customWidth="1"/>
    <col min="3079" max="3079" width="14.42578125" style="12" customWidth="1"/>
    <col min="3080" max="3081" width="1" style="12" customWidth="1"/>
    <col min="3082" max="3136" width="0" style="12" hidden="1" customWidth="1"/>
    <col min="3137" max="3138" width="1" style="12" customWidth="1"/>
    <col min="3139" max="3139" width="17.85546875" style="12" customWidth="1"/>
    <col min="3140" max="3143" width="1" style="12" customWidth="1"/>
    <col min="3144" max="3144" width="17.85546875" style="12" customWidth="1"/>
    <col min="3145" max="3148" width="1" style="12" customWidth="1"/>
    <col min="3149" max="3149" width="17.85546875" style="12" customWidth="1"/>
    <col min="3150" max="3151" width="1" style="12" customWidth="1"/>
    <col min="3152" max="3206" width="0" style="12" hidden="1" customWidth="1"/>
    <col min="3207" max="3208" width="1" style="12" customWidth="1"/>
    <col min="3209" max="3209" width="17.85546875" style="12" customWidth="1"/>
    <col min="3210" max="3213" width="1" style="12" customWidth="1"/>
    <col min="3214" max="3214" width="14.42578125" style="12" customWidth="1"/>
    <col min="3215" max="3216" width="1" style="12" customWidth="1"/>
    <col min="3217" max="3217" width="2" style="12" customWidth="1"/>
    <col min="3218" max="3218" width="3.85546875" style="12" customWidth="1"/>
    <col min="3219" max="3219" width="15.7109375" style="12" customWidth="1"/>
    <col min="3220" max="3220" width="13.42578125" style="12" bestFit="1" customWidth="1"/>
    <col min="3221" max="3221" width="13.85546875" style="12" customWidth="1"/>
    <col min="3222" max="3222" width="13.42578125" style="12" bestFit="1" customWidth="1"/>
    <col min="3223" max="3328" width="10" style="12"/>
    <col min="3329" max="3330" width="0" style="12" hidden="1" customWidth="1"/>
    <col min="3331" max="3331" width="1" style="12" customWidth="1"/>
    <col min="3332" max="3332" width="56" style="12" customWidth="1"/>
    <col min="3333" max="3334" width="1" style="12" customWidth="1"/>
    <col min="3335" max="3335" width="14.42578125" style="12" customWidth="1"/>
    <col min="3336" max="3337" width="1" style="12" customWidth="1"/>
    <col min="3338" max="3392" width="0" style="12" hidden="1" customWidth="1"/>
    <col min="3393" max="3394" width="1" style="12" customWidth="1"/>
    <col min="3395" max="3395" width="17.85546875" style="12" customWidth="1"/>
    <col min="3396" max="3399" width="1" style="12" customWidth="1"/>
    <col min="3400" max="3400" width="17.85546875" style="12" customWidth="1"/>
    <col min="3401" max="3404" width="1" style="12" customWidth="1"/>
    <col min="3405" max="3405" width="17.85546875" style="12" customWidth="1"/>
    <col min="3406" max="3407" width="1" style="12" customWidth="1"/>
    <col min="3408" max="3462" width="0" style="12" hidden="1" customWidth="1"/>
    <col min="3463" max="3464" width="1" style="12" customWidth="1"/>
    <col min="3465" max="3465" width="17.85546875" style="12" customWidth="1"/>
    <col min="3466" max="3469" width="1" style="12" customWidth="1"/>
    <col min="3470" max="3470" width="14.42578125" style="12" customWidth="1"/>
    <col min="3471" max="3472" width="1" style="12" customWidth="1"/>
    <col min="3473" max="3473" width="2" style="12" customWidth="1"/>
    <col min="3474" max="3474" width="3.85546875" style="12" customWidth="1"/>
    <col min="3475" max="3475" width="15.7109375" style="12" customWidth="1"/>
    <col min="3476" max="3476" width="13.42578125" style="12" bestFit="1" customWidth="1"/>
    <col min="3477" max="3477" width="13.85546875" style="12" customWidth="1"/>
    <col min="3478" max="3478" width="13.42578125" style="12" bestFit="1" customWidth="1"/>
    <col min="3479" max="3584" width="10" style="12"/>
    <col min="3585" max="3586" width="0" style="12" hidden="1" customWidth="1"/>
    <col min="3587" max="3587" width="1" style="12" customWidth="1"/>
    <col min="3588" max="3588" width="56" style="12" customWidth="1"/>
    <col min="3589" max="3590" width="1" style="12" customWidth="1"/>
    <col min="3591" max="3591" width="14.42578125" style="12" customWidth="1"/>
    <col min="3592" max="3593" width="1" style="12" customWidth="1"/>
    <col min="3594" max="3648" width="0" style="12" hidden="1" customWidth="1"/>
    <col min="3649" max="3650" width="1" style="12" customWidth="1"/>
    <col min="3651" max="3651" width="17.85546875" style="12" customWidth="1"/>
    <col min="3652" max="3655" width="1" style="12" customWidth="1"/>
    <col min="3656" max="3656" width="17.85546875" style="12" customWidth="1"/>
    <col min="3657" max="3660" width="1" style="12" customWidth="1"/>
    <col min="3661" max="3661" width="17.85546875" style="12" customWidth="1"/>
    <col min="3662" max="3663" width="1" style="12" customWidth="1"/>
    <col min="3664" max="3718" width="0" style="12" hidden="1" customWidth="1"/>
    <col min="3719" max="3720" width="1" style="12" customWidth="1"/>
    <col min="3721" max="3721" width="17.85546875" style="12" customWidth="1"/>
    <col min="3722" max="3725" width="1" style="12" customWidth="1"/>
    <col min="3726" max="3726" width="14.42578125" style="12" customWidth="1"/>
    <col min="3727" max="3728" width="1" style="12" customWidth="1"/>
    <col min="3729" max="3729" width="2" style="12" customWidth="1"/>
    <col min="3730" max="3730" width="3.85546875" style="12" customWidth="1"/>
    <col min="3731" max="3731" width="15.7109375" style="12" customWidth="1"/>
    <col min="3732" max="3732" width="13.42578125" style="12" bestFit="1" customWidth="1"/>
    <col min="3733" max="3733" width="13.85546875" style="12" customWidth="1"/>
    <col min="3734" max="3734" width="13.42578125" style="12" bestFit="1" customWidth="1"/>
    <col min="3735" max="3840" width="10" style="12"/>
    <col min="3841" max="3842" width="0" style="12" hidden="1" customWidth="1"/>
    <col min="3843" max="3843" width="1" style="12" customWidth="1"/>
    <col min="3844" max="3844" width="56" style="12" customWidth="1"/>
    <col min="3845" max="3846" width="1" style="12" customWidth="1"/>
    <col min="3847" max="3847" width="14.42578125" style="12" customWidth="1"/>
    <col min="3848" max="3849" width="1" style="12" customWidth="1"/>
    <col min="3850" max="3904" width="0" style="12" hidden="1" customWidth="1"/>
    <col min="3905" max="3906" width="1" style="12" customWidth="1"/>
    <col min="3907" max="3907" width="17.85546875" style="12" customWidth="1"/>
    <col min="3908" max="3911" width="1" style="12" customWidth="1"/>
    <col min="3912" max="3912" width="17.85546875" style="12" customWidth="1"/>
    <col min="3913" max="3916" width="1" style="12" customWidth="1"/>
    <col min="3917" max="3917" width="17.85546875" style="12" customWidth="1"/>
    <col min="3918" max="3919" width="1" style="12" customWidth="1"/>
    <col min="3920" max="3974" width="0" style="12" hidden="1" customWidth="1"/>
    <col min="3975" max="3976" width="1" style="12" customWidth="1"/>
    <col min="3977" max="3977" width="17.85546875" style="12" customWidth="1"/>
    <col min="3978" max="3981" width="1" style="12" customWidth="1"/>
    <col min="3982" max="3982" width="14.42578125" style="12" customWidth="1"/>
    <col min="3983" max="3984" width="1" style="12" customWidth="1"/>
    <col min="3985" max="3985" width="2" style="12" customWidth="1"/>
    <col min="3986" max="3986" width="3.85546875" style="12" customWidth="1"/>
    <col min="3987" max="3987" width="15.7109375" style="12" customWidth="1"/>
    <col min="3988" max="3988" width="13.42578125" style="12" bestFit="1" customWidth="1"/>
    <col min="3989" max="3989" width="13.85546875" style="12" customWidth="1"/>
    <col min="3990" max="3990" width="13.42578125" style="12" bestFit="1" customWidth="1"/>
    <col min="3991" max="4096" width="10" style="12"/>
    <col min="4097" max="4098" width="0" style="12" hidden="1" customWidth="1"/>
    <col min="4099" max="4099" width="1" style="12" customWidth="1"/>
    <col min="4100" max="4100" width="56" style="12" customWidth="1"/>
    <col min="4101" max="4102" width="1" style="12" customWidth="1"/>
    <col min="4103" max="4103" width="14.42578125" style="12" customWidth="1"/>
    <col min="4104" max="4105" width="1" style="12" customWidth="1"/>
    <col min="4106" max="4160" width="0" style="12" hidden="1" customWidth="1"/>
    <col min="4161" max="4162" width="1" style="12" customWidth="1"/>
    <col min="4163" max="4163" width="17.85546875" style="12" customWidth="1"/>
    <col min="4164" max="4167" width="1" style="12" customWidth="1"/>
    <col min="4168" max="4168" width="17.85546875" style="12" customWidth="1"/>
    <col min="4169" max="4172" width="1" style="12" customWidth="1"/>
    <col min="4173" max="4173" width="17.85546875" style="12" customWidth="1"/>
    <col min="4174" max="4175" width="1" style="12" customWidth="1"/>
    <col min="4176" max="4230" width="0" style="12" hidden="1" customWidth="1"/>
    <col min="4231" max="4232" width="1" style="12" customWidth="1"/>
    <col min="4233" max="4233" width="17.85546875" style="12" customWidth="1"/>
    <col min="4234" max="4237" width="1" style="12" customWidth="1"/>
    <col min="4238" max="4238" width="14.42578125" style="12" customWidth="1"/>
    <col min="4239" max="4240" width="1" style="12" customWidth="1"/>
    <col min="4241" max="4241" width="2" style="12" customWidth="1"/>
    <col min="4242" max="4242" width="3.85546875" style="12" customWidth="1"/>
    <col min="4243" max="4243" width="15.7109375" style="12" customWidth="1"/>
    <col min="4244" max="4244" width="13.42578125" style="12" bestFit="1" customWidth="1"/>
    <col min="4245" max="4245" width="13.85546875" style="12" customWidth="1"/>
    <col min="4246" max="4246" width="13.42578125" style="12" bestFit="1" customWidth="1"/>
    <col min="4247" max="4352" width="10" style="12"/>
    <col min="4353" max="4354" width="0" style="12" hidden="1" customWidth="1"/>
    <col min="4355" max="4355" width="1" style="12" customWidth="1"/>
    <col min="4356" max="4356" width="56" style="12" customWidth="1"/>
    <col min="4357" max="4358" width="1" style="12" customWidth="1"/>
    <col min="4359" max="4359" width="14.42578125" style="12" customWidth="1"/>
    <col min="4360" max="4361" width="1" style="12" customWidth="1"/>
    <col min="4362" max="4416" width="0" style="12" hidden="1" customWidth="1"/>
    <col min="4417" max="4418" width="1" style="12" customWidth="1"/>
    <col min="4419" max="4419" width="17.85546875" style="12" customWidth="1"/>
    <col min="4420" max="4423" width="1" style="12" customWidth="1"/>
    <col min="4424" max="4424" width="17.85546875" style="12" customWidth="1"/>
    <col min="4425" max="4428" width="1" style="12" customWidth="1"/>
    <col min="4429" max="4429" width="17.85546875" style="12" customWidth="1"/>
    <col min="4430" max="4431" width="1" style="12" customWidth="1"/>
    <col min="4432" max="4486" width="0" style="12" hidden="1" customWidth="1"/>
    <col min="4487" max="4488" width="1" style="12" customWidth="1"/>
    <col min="4489" max="4489" width="17.85546875" style="12" customWidth="1"/>
    <col min="4490" max="4493" width="1" style="12" customWidth="1"/>
    <col min="4494" max="4494" width="14.42578125" style="12" customWidth="1"/>
    <col min="4495" max="4496" width="1" style="12" customWidth="1"/>
    <col min="4497" max="4497" width="2" style="12" customWidth="1"/>
    <col min="4498" max="4498" width="3.85546875" style="12" customWidth="1"/>
    <col min="4499" max="4499" width="15.7109375" style="12" customWidth="1"/>
    <col min="4500" max="4500" width="13.42578125" style="12" bestFit="1" customWidth="1"/>
    <col min="4501" max="4501" width="13.85546875" style="12" customWidth="1"/>
    <col min="4502" max="4502" width="13.42578125" style="12" bestFit="1" customWidth="1"/>
    <col min="4503" max="4608" width="10" style="12"/>
    <col min="4609" max="4610" width="0" style="12" hidden="1" customWidth="1"/>
    <col min="4611" max="4611" width="1" style="12" customWidth="1"/>
    <col min="4612" max="4612" width="56" style="12" customWidth="1"/>
    <col min="4613" max="4614" width="1" style="12" customWidth="1"/>
    <col min="4615" max="4615" width="14.42578125" style="12" customWidth="1"/>
    <col min="4616" max="4617" width="1" style="12" customWidth="1"/>
    <col min="4618" max="4672" width="0" style="12" hidden="1" customWidth="1"/>
    <col min="4673" max="4674" width="1" style="12" customWidth="1"/>
    <col min="4675" max="4675" width="17.85546875" style="12" customWidth="1"/>
    <col min="4676" max="4679" width="1" style="12" customWidth="1"/>
    <col min="4680" max="4680" width="17.85546875" style="12" customWidth="1"/>
    <col min="4681" max="4684" width="1" style="12" customWidth="1"/>
    <col min="4685" max="4685" width="17.85546875" style="12" customWidth="1"/>
    <col min="4686" max="4687" width="1" style="12" customWidth="1"/>
    <col min="4688" max="4742" width="0" style="12" hidden="1" customWidth="1"/>
    <col min="4743" max="4744" width="1" style="12" customWidth="1"/>
    <col min="4745" max="4745" width="17.85546875" style="12" customWidth="1"/>
    <col min="4746" max="4749" width="1" style="12" customWidth="1"/>
    <col min="4750" max="4750" width="14.42578125" style="12" customWidth="1"/>
    <col min="4751" max="4752" width="1" style="12" customWidth="1"/>
    <col min="4753" max="4753" width="2" style="12" customWidth="1"/>
    <col min="4754" max="4754" width="3.85546875" style="12" customWidth="1"/>
    <col min="4755" max="4755" width="15.7109375" style="12" customWidth="1"/>
    <col min="4756" max="4756" width="13.42578125" style="12" bestFit="1" customWidth="1"/>
    <col min="4757" max="4757" width="13.85546875" style="12" customWidth="1"/>
    <col min="4758" max="4758" width="13.42578125" style="12" bestFit="1" customWidth="1"/>
    <col min="4759" max="4864" width="10" style="12"/>
    <col min="4865" max="4866" width="0" style="12" hidden="1" customWidth="1"/>
    <col min="4867" max="4867" width="1" style="12" customWidth="1"/>
    <col min="4868" max="4868" width="56" style="12" customWidth="1"/>
    <col min="4869" max="4870" width="1" style="12" customWidth="1"/>
    <col min="4871" max="4871" width="14.42578125" style="12" customWidth="1"/>
    <col min="4872" max="4873" width="1" style="12" customWidth="1"/>
    <col min="4874" max="4928" width="0" style="12" hidden="1" customWidth="1"/>
    <col min="4929" max="4930" width="1" style="12" customWidth="1"/>
    <col min="4931" max="4931" width="17.85546875" style="12" customWidth="1"/>
    <col min="4932" max="4935" width="1" style="12" customWidth="1"/>
    <col min="4936" max="4936" width="17.85546875" style="12" customWidth="1"/>
    <col min="4937" max="4940" width="1" style="12" customWidth="1"/>
    <col min="4941" max="4941" width="17.85546875" style="12" customWidth="1"/>
    <col min="4942" max="4943" width="1" style="12" customWidth="1"/>
    <col min="4944" max="4998" width="0" style="12" hidden="1" customWidth="1"/>
    <col min="4999" max="5000" width="1" style="12" customWidth="1"/>
    <col min="5001" max="5001" width="17.85546875" style="12" customWidth="1"/>
    <col min="5002" max="5005" width="1" style="12" customWidth="1"/>
    <col min="5006" max="5006" width="14.42578125" style="12" customWidth="1"/>
    <col min="5007" max="5008" width="1" style="12" customWidth="1"/>
    <col min="5009" max="5009" width="2" style="12" customWidth="1"/>
    <col min="5010" max="5010" width="3.85546875" style="12" customWidth="1"/>
    <col min="5011" max="5011" width="15.7109375" style="12" customWidth="1"/>
    <col min="5012" max="5012" width="13.42578125" style="12" bestFit="1" customWidth="1"/>
    <col min="5013" max="5013" width="13.85546875" style="12" customWidth="1"/>
    <col min="5014" max="5014" width="13.42578125" style="12" bestFit="1" customWidth="1"/>
    <col min="5015" max="5120" width="10" style="12"/>
    <col min="5121" max="5122" width="0" style="12" hidden="1" customWidth="1"/>
    <col min="5123" max="5123" width="1" style="12" customWidth="1"/>
    <col min="5124" max="5124" width="56" style="12" customWidth="1"/>
    <col min="5125" max="5126" width="1" style="12" customWidth="1"/>
    <col min="5127" max="5127" width="14.42578125" style="12" customWidth="1"/>
    <col min="5128" max="5129" width="1" style="12" customWidth="1"/>
    <col min="5130" max="5184" width="0" style="12" hidden="1" customWidth="1"/>
    <col min="5185" max="5186" width="1" style="12" customWidth="1"/>
    <col min="5187" max="5187" width="17.85546875" style="12" customWidth="1"/>
    <col min="5188" max="5191" width="1" style="12" customWidth="1"/>
    <col min="5192" max="5192" width="17.85546875" style="12" customWidth="1"/>
    <col min="5193" max="5196" width="1" style="12" customWidth="1"/>
    <col min="5197" max="5197" width="17.85546875" style="12" customWidth="1"/>
    <col min="5198" max="5199" width="1" style="12" customWidth="1"/>
    <col min="5200" max="5254" width="0" style="12" hidden="1" customWidth="1"/>
    <col min="5255" max="5256" width="1" style="12" customWidth="1"/>
    <col min="5257" max="5257" width="17.85546875" style="12" customWidth="1"/>
    <col min="5258" max="5261" width="1" style="12" customWidth="1"/>
    <col min="5262" max="5262" width="14.42578125" style="12" customWidth="1"/>
    <col min="5263" max="5264" width="1" style="12" customWidth="1"/>
    <col min="5265" max="5265" width="2" style="12" customWidth="1"/>
    <col min="5266" max="5266" width="3.85546875" style="12" customWidth="1"/>
    <col min="5267" max="5267" width="15.7109375" style="12" customWidth="1"/>
    <col min="5268" max="5268" width="13.42578125" style="12" bestFit="1" customWidth="1"/>
    <col min="5269" max="5269" width="13.85546875" style="12" customWidth="1"/>
    <col min="5270" max="5270" width="13.42578125" style="12" bestFit="1" customWidth="1"/>
    <col min="5271" max="5376" width="10" style="12"/>
    <col min="5377" max="5378" width="0" style="12" hidden="1" customWidth="1"/>
    <col min="5379" max="5379" width="1" style="12" customWidth="1"/>
    <col min="5380" max="5380" width="56" style="12" customWidth="1"/>
    <col min="5381" max="5382" width="1" style="12" customWidth="1"/>
    <col min="5383" max="5383" width="14.42578125" style="12" customWidth="1"/>
    <col min="5384" max="5385" width="1" style="12" customWidth="1"/>
    <col min="5386" max="5440" width="0" style="12" hidden="1" customWidth="1"/>
    <col min="5441" max="5442" width="1" style="12" customWidth="1"/>
    <col min="5443" max="5443" width="17.85546875" style="12" customWidth="1"/>
    <col min="5444" max="5447" width="1" style="12" customWidth="1"/>
    <col min="5448" max="5448" width="17.85546875" style="12" customWidth="1"/>
    <col min="5449" max="5452" width="1" style="12" customWidth="1"/>
    <col min="5453" max="5453" width="17.85546875" style="12" customWidth="1"/>
    <col min="5454" max="5455" width="1" style="12" customWidth="1"/>
    <col min="5456" max="5510" width="0" style="12" hidden="1" customWidth="1"/>
    <col min="5511" max="5512" width="1" style="12" customWidth="1"/>
    <col min="5513" max="5513" width="17.85546875" style="12" customWidth="1"/>
    <col min="5514" max="5517" width="1" style="12" customWidth="1"/>
    <col min="5518" max="5518" width="14.42578125" style="12" customWidth="1"/>
    <col min="5519" max="5520" width="1" style="12" customWidth="1"/>
    <col min="5521" max="5521" width="2" style="12" customWidth="1"/>
    <col min="5522" max="5522" width="3.85546875" style="12" customWidth="1"/>
    <col min="5523" max="5523" width="15.7109375" style="12" customWidth="1"/>
    <col min="5524" max="5524" width="13.42578125" style="12" bestFit="1" customWidth="1"/>
    <col min="5525" max="5525" width="13.85546875" style="12" customWidth="1"/>
    <col min="5526" max="5526" width="13.42578125" style="12" bestFit="1" customWidth="1"/>
    <col min="5527" max="5632" width="10" style="12"/>
    <col min="5633" max="5634" width="0" style="12" hidden="1" customWidth="1"/>
    <col min="5635" max="5635" width="1" style="12" customWidth="1"/>
    <col min="5636" max="5636" width="56" style="12" customWidth="1"/>
    <col min="5637" max="5638" width="1" style="12" customWidth="1"/>
    <col min="5639" max="5639" width="14.42578125" style="12" customWidth="1"/>
    <col min="5640" max="5641" width="1" style="12" customWidth="1"/>
    <col min="5642" max="5696" width="0" style="12" hidden="1" customWidth="1"/>
    <col min="5697" max="5698" width="1" style="12" customWidth="1"/>
    <col min="5699" max="5699" width="17.85546875" style="12" customWidth="1"/>
    <col min="5700" max="5703" width="1" style="12" customWidth="1"/>
    <col min="5704" max="5704" width="17.85546875" style="12" customWidth="1"/>
    <col min="5705" max="5708" width="1" style="12" customWidth="1"/>
    <col min="5709" max="5709" width="17.85546875" style="12" customWidth="1"/>
    <col min="5710" max="5711" width="1" style="12" customWidth="1"/>
    <col min="5712" max="5766" width="0" style="12" hidden="1" customWidth="1"/>
    <col min="5767" max="5768" width="1" style="12" customWidth="1"/>
    <col min="5769" max="5769" width="17.85546875" style="12" customWidth="1"/>
    <col min="5770" max="5773" width="1" style="12" customWidth="1"/>
    <col min="5774" max="5774" width="14.42578125" style="12" customWidth="1"/>
    <col min="5775" max="5776" width="1" style="12" customWidth="1"/>
    <col min="5777" max="5777" width="2" style="12" customWidth="1"/>
    <col min="5778" max="5778" width="3.85546875" style="12" customWidth="1"/>
    <col min="5779" max="5779" width="15.7109375" style="12" customWidth="1"/>
    <col min="5780" max="5780" width="13.42578125" style="12" bestFit="1" customWidth="1"/>
    <col min="5781" max="5781" width="13.85546875" style="12" customWidth="1"/>
    <col min="5782" max="5782" width="13.42578125" style="12" bestFit="1" customWidth="1"/>
    <col min="5783" max="5888" width="10" style="12"/>
    <col min="5889" max="5890" width="0" style="12" hidden="1" customWidth="1"/>
    <col min="5891" max="5891" width="1" style="12" customWidth="1"/>
    <col min="5892" max="5892" width="56" style="12" customWidth="1"/>
    <col min="5893" max="5894" width="1" style="12" customWidth="1"/>
    <col min="5895" max="5895" width="14.42578125" style="12" customWidth="1"/>
    <col min="5896" max="5897" width="1" style="12" customWidth="1"/>
    <col min="5898" max="5952" width="0" style="12" hidden="1" customWidth="1"/>
    <col min="5953" max="5954" width="1" style="12" customWidth="1"/>
    <col min="5955" max="5955" width="17.85546875" style="12" customWidth="1"/>
    <col min="5956" max="5959" width="1" style="12" customWidth="1"/>
    <col min="5960" max="5960" width="17.85546875" style="12" customWidth="1"/>
    <col min="5961" max="5964" width="1" style="12" customWidth="1"/>
    <col min="5965" max="5965" width="17.85546875" style="12" customWidth="1"/>
    <col min="5966" max="5967" width="1" style="12" customWidth="1"/>
    <col min="5968" max="6022" width="0" style="12" hidden="1" customWidth="1"/>
    <col min="6023" max="6024" width="1" style="12" customWidth="1"/>
    <col min="6025" max="6025" width="17.85546875" style="12" customWidth="1"/>
    <col min="6026" max="6029" width="1" style="12" customWidth="1"/>
    <col min="6030" max="6030" width="14.42578125" style="12" customWidth="1"/>
    <col min="6031" max="6032" width="1" style="12" customWidth="1"/>
    <col min="6033" max="6033" width="2" style="12" customWidth="1"/>
    <col min="6034" max="6034" width="3.85546875" style="12" customWidth="1"/>
    <col min="6035" max="6035" width="15.7109375" style="12" customWidth="1"/>
    <col min="6036" max="6036" width="13.42578125" style="12" bestFit="1" customWidth="1"/>
    <col min="6037" max="6037" width="13.85546875" style="12" customWidth="1"/>
    <col min="6038" max="6038" width="13.42578125" style="12" bestFit="1" customWidth="1"/>
    <col min="6039" max="6144" width="10" style="12"/>
    <col min="6145" max="6146" width="0" style="12" hidden="1" customWidth="1"/>
    <col min="6147" max="6147" width="1" style="12" customWidth="1"/>
    <col min="6148" max="6148" width="56" style="12" customWidth="1"/>
    <col min="6149" max="6150" width="1" style="12" customWidth="1"/>
    <col min="6151" max="6151" width="14.42578125" style="12" customWidth="1"/>
    <col min="6152" max="6153" width="1" style="12" customWidth="1"/>
    <col min="6154" max="6208" width="0" style="12" hidden="1" customWidth="1"/>
    <col min="6209" max="6210" width="1" style="12" customWidth="1"/>
    <col min="6211" max="6211" width="17.85546875" style="12" customWidth="1"/>
    <col min="6212" max="6215" width="1" style="12" customWidth="1"/>
    <col min="6216" max="6216" width="17.85546875" style="12" customWidth="1"/>
    <col min="6217" max="6220" width="1" style="12" customWidth="1"/>
    <col min="6221" max="6221" width="17.85546875" style="12" customWidth="1"/>
    <col min="6222" max="6223" width="1" style="12" customWidth="1"/>
    <col min="6224" max="6278" width="0" style="12" hidden="1" customWidth="1"/>
    <col min="6279" max="6280" width="1" style="12" customWidth="1"/>
    <col min="6281" max="6281" width="17.85546875" style="12" customWidth="1"/>
    <col min="6282" max="6285" width="1" style="12" customWidth="1"/>
    <col min="6286" max="6286" width="14.42578125" style="12" customWidth="1"/>
    <col min="6287" max="6288" width="1" style="12" customWidth="1"/>
    <col min="6289" max="6289" width="2" style="12" customWidth="1"/>
    <col min="6290" max="6290" width="3.85546875" style="12" customWidth="1"/>
    <col min="6291" max="6291" width="15.7109375" style="12" customWidth="1"/>
    <col min="6292" max="6292" width="13.42578125" style="12" bestFit="1" customWidth="1"/>
    <col min="6293" max="6293" width="13.85546875" style="12" customWidth="1"/>
    <col min="6294" max="6294" width="13.42578125" style="12" bestFit="1" customWidth="1"/>
    <col min="6295" max="6400" width="10" style="12"/>
    <col min="6401" max="6402" width="0" style="12" hidden="1" customWidth="1"/>
    <col min="6403" max="6403" width="1" style="12" customWidth="1"/>
    <col min="6404" max="6404" width="56" style="12" customWidth="1"/>
    <col min="6405" max="6406" width="1" style="12" customWidth="1"/>
    <col min="6407" max="6407" width="14.42578125" style="12" customWidth="1"/>
    <col min="6408" max="6409" width="1" style="12" customWidth="1"/>
    <col min="6410" max="6464" width="0" style="12" hidden="1" customWidth="1"/>
    <col min="6465" max="6466" width="1" style="12" customWidth="1"/>
    <col min="6467" max="6467" width="17.85546875" style="12" customWidth="1"/>
    <col min="6468" max="6471" width="1" style="12" customWidth="1"/>
    <col min="6472" max="6472" width="17.85546875" style="12" customWidth="1"/>
    <col min="6473" max="6476" width="1" style="12" customWidth="1"/>
    <col min="6477" max="6477" width="17.85546875" style="12" customWidth="1"/>
    <col min="6478" max="6479" width="1" style="12" customWidth="1"/>
    <col min="6480" max="6534" width="0" style="12" hidden="1" customWidth="1"/>
    <col min="6535" max="6536" width="1" style="12" customWidth="1"/>
    <col min="6537" max="6537" width="17.85546875" style="12" customWidth="1"/>
    <col min="6538" max="6541" width="1" style="12" customWidth="1"/>
    <col min="6542" max="6542" width="14.42578125" style="12" customWidth="1"/>
    <col min="6543" max="6544" width="1" style="12" customWidth="1"/>
    <col min="6545" max="6545" width="2" style="12" customWidth="1"/>
    <col min="6546" max="6546" width="3.85546875" style="12" customWidth="1"/>
    <col min="6547" max="6547" width="15.7109375" style="12" customWidth="1"/>
    <col min="6548" max="6548" width="13.42578125" style="12" bestFit="1" customWidth="1"/>
    <col min="6549" max="6549" width="13.85546875" style="12" customWidth="1"/>
    <col min="6550" max="6550" width="13.42578125" style="12" bestFit="1" customWidth="1"/>
    <col min="6551" max="6656" width="10" style="12"/>
    <col min="6657" max="6658" width="0" style="12" hidden="1" customWidth="1"/>
    <col min="6659" max="6659" width="1" style="12" customWidth="1"/>
    <col min="6660" max="6660" width="56" style="12" customWidth="1"/>
    <col min="6661" max="6662" width="1" style="12" customWidth="1"/>
    <col min="6663" max="6663" width="14.42578125" style="12" customWidth="1"/>
    <col min="6664" max="6665" width="1" style="12" customWidth="1"/>
    <col min="6666" max="6720" width="0" style="12" hidden="1" customWidth="1"/>
    <col min="6721" max="6722" width="1" style="12" customWidth="1"/>
    <col min="6723" max="6723" width="17.85546875" style="12" customWidth="1"/>
    <col min="6724" max="6727" width="1" style="12" customWidth="1"/>
    <col min="6728" max="6728" width="17.85546875" style="12" customWidth="1"/>
    <col min="6729" max="6732" width="1" style="12" customWidth="1"/>
    <col min="6733" max="6733" width="17.85546875" style="12" customWidth="1"/>
    <col min="6734" max="6735" width="1" style="12" customWidth="1"/>
    <col min="6736" max="6790" width="0" style="12" hidden="1" customWidth="1"/>
    <col min="6791" max="6792" width="1" style="12" customWidth="1"/>
    <col min="6793" max="6793" width="17.85546875" style="12" customWidth="1"/>
    <col min="6794" max="6797" width="1" style="12" customWidth="1"/>
    <col min="6798" max="6798" width="14.42578125" style="12" customWidth="1"/>
    <col min="6799" max="6800" width="1" style="12" customWidth="1"/>
    <col min="6801" max="6801" width="2" style="12" customWidth="1"/>
    <col min="6802" max="6802" width="3.85546875" style="12" customWidth="1"/>
    <col min="6803" max="6803" width="15.7109375" style="12" customWidth="1"/>
    <col min="6804" max="6804" width="13.42578125" style="12" bestFit="1" customWidth="1"/>
    <col min="6805" max="6805" width="13.85546875" style="12" customWidth="1"/>
    <col min="6806" max="6806" width="13.42578125" style="12" bestFit="1" customWidth="1"/>
    <col min="6807" max="6912" width="10" style="12"/>
    <col min="6913" max="6914" width="0" style="12" hidden="1" customWidth="1"/>
    <col min="6915" max="6915" width="1" style="12" customWidth="1"/>
    <col min="6916" max="6916" width="56" style="12" customWidth="1"/>
    <col min="6917" max="6918" width="1" style="12" customWidth="1"/>
    <col min="6919" max="6919" width="14.42578125" style="12" customWidth="1"/>
    <col min="6920" max="6921" width="1" style="12" customWidth="1"/>
    <col min="6922" max="6976" width="0" style="12" hidden="1" customWidth="1"/>
    <col min="6977" max="6978" width="1" style="12" customWidth="1"/>
    <col min="6979" max="6979" width="17.85546875" style="12" customWidth="1"/>
    <col min="6980" max="6983" width="1" style="12" customWidth="1"/>
    <col min="6984" max="6984" width="17.85546875" style="12" customWidth="1"/>
    <col min="6985" max="6988" width="1" style="12" customWidth="1"/>
    <col min="6989" max="6989" width="17.85546875" style="12" customWidth="1"/>
    <col min="6990" max="6991" width="1" style="12" customWidth="1"/>
    <col min="6992" max="7046" width="0" style="12" hidden="1" customWidth="1"/>
    <col min="7047" max="7048" width="1" style="12" customWidth="1"/>
    <col min="7049" max="7049" width="17.85546875" style="12" customWidth="1"/>
    <col min="7050" max="7053" width="1" style="12" customWidth="1"/>
    <col min="7054" max="7054" width="14.42578125" style="12" customWidth="1"/>
    <col min="7055" max="7056" width="1" style="12" customWidth="1"/>
    <col min="7057" max="7057" width="2" style="12" customWidth="1"/>
    <col min="7058" max="7058" width="3.85546875" style="12" customWidth="1"/>
    <col min="7059" max="7059" width="15.7109375" style="12" customWidth="1"/>
    <col min="7060" max="7060" width="13.42578125" style="12" bestFit="1" customWidth="1"/>
    <col min="7061" max="7061" width="13.85546875" style="12" customWidth="1"/>
    <col min="7062" max="7062" width="13.42578125" style="12" bestFit="1" customWidth="1"/>
    <col min="7063" max="7168" width="10" style="12"/>
    <col min="7169" max="7170" width="0" style="12" hidden="1" customWidth="1"/>
    <col min="7171" max="7171" width="1" style="12" customWidth="1"/>
    <col min="7172" max="7172" width="56" style="12" customWidth="1"/>
    <col min="7173" max="7174" width="1" style="12" customWidth="1"/>
    <col min="7175" max="7175" width="14.42578125" style="12" customWidth="1"/>
    <col min="7176" max="7177" width="1" style="12" customWidth="1"/>
    <col min="7178" max="7232" width="0" style="12" hidden="1" customWidth="1"/>
    <col min="7233" max="7234" width="1" style="12" customWidth="1"/>
    <col min="7235" max="7235" width="17.85546875" style="12" customWidth="1"/>
    <col min="7236" max="7239" width="1" style="12" customWidth="1"/>
    <col min="7240" max="7240" width="17.85546875" style="12" customWidth="1"/>
    <col min="7241" max="7244" width="1" style="12" customWidth="1"/>
    <col min="7245" max="7245" width="17.85546875" style="12" customWidth="1"/>
    <col min="7246" max="7247" width="1" style="12" customWidth="1"/>
    <col min="7248" max="7302" width="0" style="12" hidden="1" customWidth="1"/>
    <col min="7303" max="7304" width="1" style="12" customWidth="1"/>
    <col min="7305" max="7305" width="17.85546875" style="12" customWidth="1"/>
    <col min="7306" max="7309" width="1" style="12" customWidth="1"/>
    <col min="7310" max="7310" width="14.42578125" style="12" customWidth="1"/>
    <col min="7311" max="7312" width="1" style="12" customWidth="1"/>
    <col min="7313" max="7313" width="2" style="12" customWidth="1"/>
    <col min="7314" max="7314" width="3.85546875" style="12" customWidth="1"/>
    <col min="7315" max="7315" width="15.7109375" style="12" customWidth="1"/>
    <col min="7316" max="7316" width="13.42578125" style="12" bestFit="1" customWidth="1"/>
    <col min="7317" max="7317" width="13.85546875" style="12" customWidth="1"/>
    <col min="7318" max="7318" width="13.42578125" style="12" bestFit="1" customWidth="1"/>
    <col min="7319" max="7424" width="10" style="12"/>
    <col min="7425" max="7426" width="0" style="12" hidden="1" customWidth="1"/>
    <col min="7427" max="7427" width="1" style="12" customWidth="1"/>
    <col min="7428" max="7428" width="56" style="12" customWidth="1"/>
    <col min="7429" max="7430" width="1" style="12" customWidth="1"/>
    <col min="7431" max="7431" width="14.42578125" style="12" customWidth="1"/>
    <col min="7432" max="7433" width="1" style="12" customWidth="1"/>
    <col min="7434" max="7488" width="0" style="12" hidden="1" customWidth="1"/>
    <col min="7489" max="7490" width="1" style="12" customWidth="1"/>
    <col min="7491" max="7491" width="17.85546875" style="12" customWidth="1"/>
    <col min="7492" max="7495" width="1" style="12" customWidth="1"/>
    <col min="7496" max="7496" width="17.85546875" style="12" customWidth="1"/>
    <col min="7497" max="7500" width="1" style="12" customWidth="1"/>
    <col min="7501" max="7501" width="17.85546875" style="12" customWidth="1"/>
    <col min="7502" max="7503" width="1" style="12" customWidth="1"/>
    <col min="7504" max="7558" width="0" style="12" hidden="1" customWidth="1"/>
    <col min="7559" max="7560" width="1" style="12" customWidth="1"/>
    <col min="7561" max="7561" width="17.85546875" style="12" customWidth="1"/>
    <col min="7562" max="7565" width="1" style="12" customWidth="1"/>
    <col min="7566" max="7566" width="14.42578125" style="12" customWidth="1"/>
    <col min="7567" max="7568" width="1" style="12" customWidth="1"/>
    <col min="7569" max="7569" width="2" style="12" customWidth="1"/>
    <col min="7570" max="7570" width="3.85546875" style="12" customWidth="1"/>
    <col min="7571" max="7571" width="15.7109375" style="12" customWidth="1"/>
    <col min="7572" max="7572" width="13.42578125" style="12" bestFit="1" customWidth="1"/>
    <col min="7573" max="7573" width="13.85546875" style="12" customWidth="1"/>
    <col min="7574" max="7574" width="13.42578125" style="12" bestFit="1" customWidth="1"/>
    <col min="7575" max="7680" width="10" style="12"/>
    <col min="7681" max="7682" width="0" style="12" hidden="1" customWidth="1"/>
    <col min="7683" max="7683" width="1" style="12" customWidth="1"/>
    <col min="7684" max="7684" width="56" style="12" customWidth="1"/>
    <col min="7685" max="7686" width="1" style="12" customWidth="1"/>
    <col min="7687" max="7687" width="14.42578125" style="12" customWidth="1"/>
    <col min="7688" max="7689" width="1" style="12" customWidth="1"/>
    <col min="7690" max="7744" width="0" style="12" hidden="1" customWidth="1"/>
    <col min="7745" max="7746" width="1" style="12" customWidth="1"/>
    <col min="7747" max="7747" width="17.85546875" style="12" customWidth="1"/>
    <col min="7748" max="7751" width="1" style="12" customWidth="1"/>
    <col min="7752" max="7752" width="17.85546875" style="12" customWidth="1"/>
    <col min="7753" max="7756" width="1" style="12" customWidth="1"/>
    <col min="7757" max="7757" width="17.85546875" style="12" customWidth="1"/>
    <col min="7758" max="7759" width="1" style="12" customWidth="1"/>
    <col min="7760" max="7814" width="0" style="12" hidden="1" customWidth="1"/>
    <col min="7815" max="7816" width="1" style="12" customWidth="1"/>
    <col min="7817" max="7817" width="17.85546875" style="12" customWidth="1"/>
    <col min="7818" max="7821" width="1" style="12" customWidth="1"/>
    <col min="7822" max="7822" width="14.42578125" style="12" customWidth="1"/>
    <col min="7823" max="7824" width="1" style="12" customWidth="1"/>
    <col min="7825" max="7825" width="2" style="12" customWidth="1"/>
    <col min="7826" max="7826" width="3.85546875" style="12" customWidth="1"/>
    <col min="7827" max="7827" width="15.7109375" style="12" customWidth="1"/>
    <col min="7828" max="7828" width="13.42578125" style="12" bestFit="1" customWidth="1"/>
    <col min="7829" max="7829" width="13.85546875" style="12" customWidth="1"/>
    <col min="7830" max="7830" width="13.42578125" style="12" bestFit="1" customWidth="1"/>
    <col min="7831" max="7936" width="10" style="12"/>
    <col min="7937" max="7938" width="0" style="12" hidden="1" customWidth="1"/>
    <col min="7939" max="7939" width="1" style="12" customWidth="1"/>
    <col min="7940" max="7940" width="56" style="12" customWidth="1"/>
    <col min="7941" max="7942" width="1" style="12" customWidth="1"/>
    <col min="7943" max="7943" width="14.42578125" style="12" customWidth="1"/>
    <col min="7944" max="7945" width="1" style="12" customWidth="1"/>
    <col min="7946" max="8000" width="0" style="12" hidden="1" customWidth="1"/>
    <col min="8001" max="8002" width="1" style="12" customWidth="1"/>
    <col min="8003" max="8003" width="17.85546875" style="12" customWidth="1"/>
    <col min="8004" max="8007" width="1" style="12" customWidth="1"/>
    <col min="8008" max="8008" width="17.85546875" style="12" customWidth="1"/>
    <col min="8009" max="8012" width="1" style="12" customWidth="1"/>
    <col min="8013" max="8013" width="17.85546875" style="12" customWidth="1"/>
    <col min="8014" max="8015" width="1" style="12" customWidth="1"/>
    <col min="8016" max="8070" width="0" style="12" hidden="1" customWidth="1"/>
    <col min="8071" max="8072" width="1" style="12" customWidth="1"/>
    <col min="8073" max="8073" width="17.85546875" style="12" customWidth="1"/>
    <col min="8074" max="8077" width="1" style="12" customWidth="1"/>
    <col min="8078" max="8078" width="14.42578125" style="12" customWidth="1"/>
    <col min="8079" max="8080" width="1" style="12" customWidth="1"/>
    <col min="8081" max="8081" width="2" style="12" customWidth="1"/>
    <col min="8082" max="8082" width="3.85546875" style="12" customWidth="1"/>
    <col min="8083" max="8083" width="15.7109375" style="12" customWidth="1"/>
    <col min="8084" max="8084" width="13.42578125" style="12" bestFit="1" customWidth="1"/>
    <col min="8085" max="8085" width="13.85546875" style="12" customWidth="1"/>
    <col min="8086" max="8086" width="13.42578125" style="12" bestFit="1" customWidth="1"/>
    <col min="8087" max="8192" width="10" style="12"/>
    <col min="8193" max="8194" width="0" style="12" hidden="1" customWidth="1"/>
    <col min="8195" max="8195" width="1" style="12" customWidth="1"/>
    <col min="8196" max="8196" width="56" style="12" customWidth="1"/>
    <col min="8197" max="8198" width="1" style="12" customWidth="1"/>
    <col min="8199" max="8199" width="14.42578125" style="12" customWidth="1"/>
    <col min="8200" max="8201" width="1" style="12" customWidth="1"/>
    <col min="8202" max="8256" width="0" style="12" hidden="1" customWidth="1"/>
    <col min="8257" max="8258" width="1" style="12" customWidth="1"/>
    <col min="8259" max="8259" width="17.85546875" style="12" customWidth="1"/>
    <col min="8260" max="8263" width="1" style="12" customWidth="1"/>
    <col min="8264" max="8264" width="17.85546875" style="12" customWidth="1"/>
    <col min="8265" max="8268" width="1" style="12" customWidth="1"/>
    <col min="8269" max="8269" width="17.85546875" style="12" customWidth="1"/>
    <col min="8270" max="8271" width="1" style="12" customWidth="1"/>
    <col min="8272" max="8326" width="0" style="12" hidden="1" customWidth="1"/>
    <col min="8327" max="8328" width="1" style="12" customWidth="1"/>
    <col min="8329" max="8329" width="17.85546875" style="12" customWidth="1"/>
    <col min="8330" max="8333" width="1" style="12" customWidth="1"/>
    <col min="8334" max="8334" width="14.42578125" style="12" customWidth="1"/>
    <col min="8335" max="8336" width="1" style="12" customWidth="1"/>
    <col min="8337" max="8337" width="2" style="12" customWidth="1"/>
    <col min="8338" max="8338" width="3.85546875" style="12" customWidth="1"/>
    <col min="8339" max="8339" width="15.7109375" style="12" customWidth="1"/>
    <col min="8340" max="8340" width="13.42578125" style="12" bestFit="1" customWidth="1"/>
    <col min="8341" max="8341" width="13.85546875" style="12" customWidth="1"/>
    <col min="8342" max="8342" width="13.42578125" style="12" bestFit="1" customWidth="1"/>
    <col min="8343" max="8448" width="10" style="12"/>
    <col min="8449" max="8450" width="0" style="12" hidden="1" customWidth="1"/>
    <col min="8451" max="8451" width="1" style="12" customWidth="1"/>
    <col min="8452" max="8452" width="56" style="12" customWidth="1"/>
    <col min="8453" max="8454" width="1" style="12" customWidth="1"/>
    <col min="8455" max="8455" width="14.42578125" style="12" customWidth="1"/>
    <col min="8456" max="8457" width="1" style="12" customWidth="1"/>
    <col min="8458" max="8512" width="0" style="12" hidden="1" customWidth="1"/>
    <col min="8513" max="8514" width="1" style="12" customWidth="1"/>
    <col min="8515" max="8515" width="17.85546875" style="12" customWidth="1"/>
    <col min="8516" max="8519" width="1" style="12" customWidth="1"/>
    <col min="8520" max="8520" width="17.85546875" style="12" customWidth="1"/>
    <col min="8521" max="8524" width="1" style="12" customWidth="1"/>
    <col min="8525" max="8525" width="17.85546875" style="12" customWidth="1"/>
    <col min="8526" max="8527" width="1" style="12" customWidth="1"/>
    <col min="8528" max="8582" width="0" style="12" hidden="1" customWidth="1"/>
    <col min="8583" max="8584" width="1" style="12" customWidth="1"/>
    <col min="8585" max="8585" width="17.85546875" style="12" customWidth="1"/>
    <col min="8586" max="8589" width="1" style="12" customWidth="1"/>
    <col min="8590" max="8590" width="14.42578125" style="12" customWidth="1"/>
    <col min="8591" max="8592" width="1" style="12" customWidth="1"/>
    <col min="8593" max="8593" width="2" style="12" customWidth="1"/>
    <col min="8594" max="8594" width="3.85546875" style="12" customWidth="1"/>
    <col min="8595" max="8595" width="15.7109375" style="12" customWidth="1"/>
    <col min="8596" max="8596" width="13.42578125" style="12" bestFit="1" customWidth="1"/>
    <col min="8597" max="8597" width="13.85546875" style="12" customWidth="1"/>
    <col min="8598" max="8598" width="13.42578125" style="12" bestFit="1" customWidth="1"/>
    <col min="8599" max="8704" width="10" style="12"/>
    <col min="8705" max="8706" width="0" style="12" hidden="1" customWidth="1"/>
    <col min="8707" max="8707" width="1" style="12" customWidth="1"/>
    <col min="8708" max="8708" width="56" style="12" customWidth="1"/>
    <col min="8709" max="8710" width="1" style="12" customWidth="1"/>
    <col min="8711" max="8711" width="14.42578125" style="12" customWidth="1"/>
    <col min="8712" max="8713" width="1" style="12" customWidth="1"/>
    <col min="8714" max="8768" width="0" style="12" hidden="1" customWidth="1"/>
    <col min="8769" max="8770" width="1" style="12" customWidth="1"/>
    <col min="8771" max="8771" width="17.85546875" style="12" customWidth="1"/>
    <col min="8772" max="8775" width="1" style="12" customWidth="1"/>
    <col min="8776" max="8776" width="17.85546875" style="12" customWidth="1"/>
    <col min="8777" max="8780" width="1" style="12" customWidth="1"/>
    <col min="8781" max="8781" width="17.85546875" style="12" customWidth="1"/>
    <col min="8782" max="8783" width="1" style="12" customWidth="1"/>
    <col min="8784" max="8838" width="0" style="12" hidden="1" customWidth="1"/>
    <col min="8839" max="8840" width="1" style="12" customWidth="1"/>
    <col min="8841" max="8841" width="17.85546875" style="12" customWidth="1"/>
    <col min="8842" max="8845" width="1" style="12" customWidth="1"/>
    <col min="8846" max="8846" width="14.42578125" style="12" customWidth="1"/>
    <col min="8847" max="8848" width="1" style="12" customWidth="1"/>
    <col min="8849" max="8849" width="2" style="12" customWidth="1"/>
    <col min="8850" max="8850" width="3.85546875" style="12" customWidth="1"/>
    <col min="8851" max="8851" width="15.7109375" style="12" customWidth="1"/>
    <col min="8852" max="8852" width="13.42578125" style="12" bestFit="1" customWidth="1"/>
    <col min="8853" max="8853" width="13.85546875" style="12" customWidth="1"/>
    <col min="8854" max="8854" width="13.42578125" style="12" bestFit="1" customWidth="1"/>
    <col min="8855" max="8960" width="10" style="12"/>
    <col min="8961" max="8962" width="0" style="12" hidden="1" customWidth="1"/>
    <col min="8963" max="8963" width="1" style="12" customWidth="1"/>
    <col min="8964" max="8964" width="56" style="12" customWidth="1"/>
    <col min="8965" max="8966" width="1" style="12" customWidth="1"/>
    <col min="8967" max="8967" width="14.42578125" style="12" customWidth="1"/>
    <col min="8968" max="8969" width="1" style="12" customWidth="1"/>
    <col min="8970" max="9024" width="0" style="12" hidden="1" customWidth="1"/>
    <col min="9025" max="9026" width="1" style="12" customWidth="1"/>
    <col min="9027" max="9027" width="17.85546875" style="12" customWidth="1"/>
    <col min="9028" max="9031" width="1" style="12" customWidth="1"/>
    <col min="9032" max="9032" width="17.85546875" style="12" customWidth="1"/>
    <col min="9033" max="9036" width="1" style="12" customWidth="1"/>
    <col min="9037" max="9037" width="17.85546875" style="12" customWidth="1"/>
    <col min="9038" max="9039" width="1" style="12" customWidth="1"/>
    <col min="9040" max="9094" width="0" style="12" hidden="1" customWidth="1"/>
    <col min="9095" max="9096" width="1" style="12" customWidth="1"/>
    <col min="9097" max="9097" width="17.85546875" style="12" customWidth="1"/>
    <col min="9098" max="9101" width="1" style="12" customWidth="1"/>
    <col min="9102" max="9102" width="14.42578125" style="12" customWidth="1"/>
    <col min="9103" max="9104" width="1" style="12" customWidth="1"/>
    <col min="9105" max="9105" width="2" style="12" customWidth="1"/>
    <col min="9106" max="9106" width="3.85546875" style="12" customWidth="1"/>
    <col min="9107" max="9107" width="15.7109375" style="12" customWidth="1"/>
    <col min="9108" max="9108" width="13.42578125" style="12" bestFit="1" customWidth="1"/>
    <col min="9109" max="9109" width="13.85546875" style="12" customWidth="1"/>
    <col min="9110" max="9110" width="13.42578125" style="12" bestFit="1" customWidth="1"/>
    <col min="9111" max="9216" width="10" style="12"/>
    <col min="9217" max="9218" width="0" style="12" hidden="1" customWidth="1"/>
    <col min="9219" max="9219" width="1" style="12" customWidth="1"/>
    <col min="9220" max="9220" width="56" style="12" customWidth="1"/>
    <col min="9221" max="9222" width="1" style="12" customWidth="1"/>
    <col min="9223" max="9223" width="14.42578125" style="12" customWidth="1"/>
    <col min="9224" max="9225" width="1" style="12" customWidth="1"/>
    <col min="9226" max="9280" width="0" style="12" hidden="1" customWidth="1"/>
    <col min="9281" max="9282" width="1" style="12" customWidth="1"/>
    <col min="9283" max="9283" width="17.85546875" style="12" customWidth="1"/>
    <col min="9284" max="9287" width="1" style="12" customWidth="1"/>
    <col min="9288" max="9288" width="17.85546875" style="12" customWidth="1"/>
    <col min="9289" max="9292" width="1" style="12" customWidth="1"/>
    <col min="9293" max="9293" width="17.85546875" style="12" customWidth="1"/>
    <col min="9294" max="9295" width="1" style="12" customWidth="1"/>
    <col min="9296" max="9350" width="0" style="12" hidden="1" customWidth="1"/>
    <col min="9351" max="9352" width="1" style="12" customWidth="1"/>
    <col min="9353" max="9353" width="17.85546875" style="12" customWidth="1"/>
    <col min="9354" max="9357" width="1" style="12" customWidth="1"/>
    <col min="9358" max="9358" width="14.42578125" style="12" customWidth="1"/>
    <col min="9359" max="9360" width="1" style="12" customWidth="1"/>
    <col min="9361" max="9361" width="2" style="12" customWidth="1"/>
    <col min="9362" max="9362" width="3.85546875" style="12" customWidth="1"/>
    <col min="9363" max="9363" width="15.7109375" style="12" customWidth="1"/>
    <col min="9364" max="9364" width="13.42578125" style="12" bestFit="1" customWidth="1"/>
    <col min="9365" max="9365" width="13.85546875" style="12" customWidth="1"/>
    <col min="9366" max="9366" width="13.42578125" style="12" bestFit="1" customWidth="1"/>
    <col min="9367" max="9472" width="10" style="12"/>
    <col min="9473" max="9474" width="0" style="12" hidden="1" customWidth="1"/>
    <col min="9475" max="9475" width="1" style="12" customWidth="1"/>
    <col min="9476" max="9476" width="56" style="12" customWidth="1"/>
    <col min="9477" max="9478" width="1" style="12" customWidth="1"/>
    <col min="9479" max="9479" width="14.42578125" style="12" customWidth="1"/>
    <col min="9480" max="9481" width="1" style="12" customWidth="1"/>
    <col min="9482" max="9536" width="0" style="12" hidden="1" customWidth="1"/>
    <col min="9537" max="9538" width="1" style="12" customWidth="1"/>
    <col min="9539" max="9539" width="17.85546875" style="12" customWidth="1"/>
    <col min="9540" max="9543" width="1" style="12" customWidth="1"/>
    <col min="9544" max="9544" width="17.85546875" style="12" customWidth="1"/>
    <col min="9545" max="9548" width="1" style="12" customWidth="1"/>
    <col min="9549" max="9549" width="17.85546875" style="12" customWidth="1"/>
    <col min="9550" max="9551" width="1" style="12" customWidth="1"/>
    <col min="9552" max="9606" width="0" style="12" hidden="1" customWidth="1"/>
    <col min="9607" max="9608" width="1" style="12" customWidth="1"/>
    <col min="9609" max="9609" width="17.85546875" style="12" customWidth="1"/>
    <col min="9610" max="9613" width="1" style="12" customWidth="1"/>
    <col min="9614" max="9614" width="14.42578125" style="12" customWidth="1"/>
    <col min="9615" max="9616" width="1" style="12" customWidth="1"/>
    <col min="9617" max="9617" width="2" style="12" customWidth="1"/>
    <col min="9618" max="9618" width="3.85546875" style="12" customWidth="1"/>
    <col min="9619" max="9619" width="15.7109375" style="12" customWidth="1"/>
    <col min="9620" max="9620" width="13.42578125" style="12" bestFit="1" customWidth="1"/>
    <col min="9621" max="9621" width="13.85546875" style="12" customWidth="1"/>
    <col min="9622" max="9622" width="13.42578125" style="12" bestFit="1" customWidth="1"/>
    <col min="9623" max="9728" width="10" style="12"/>
    <col min="9729" max="9730" width="0" style="12" hidden="1" customWidth="1"/>
    <col min="9731" max="9731" width="1" style="12" customWidth="1"/>
    <col min="9732" max="9732" width="56" style="12" customWidth="1"/>
    <col min="9733" max="9734" width="1" style="12" customWidth="1"/>
    <col min="9735" max="9735" width="14.42578125" style="12" customWidth="1"/>
    <col min="9736" max="9737" width="1" style="12" customWidth="1"/>
    <col min="9738" max="9792" width="0" style="12" hidden="1" customWidth="1"/>
    <col min="9793" max="9794" width="1" style="12" customWidth="1"/>
    <col min="9795" max="9795" width="17.85546875" style="12" customWidth="1"/>
    <col min="9796" max="9799" width="1" style="12" customWidth="1"/>
    <col min="9800" max="9800" width="17.85546875" style="12" customWidth="1"/>
    <col min="9801" max="9804" width="1" style="12" customWidth="1"/>
    <col min="9805" max="9805" width="17.85546875" style="12" customWidth="1"/>
    <col min="9806" max="9807" width="1" style="12" customWidth="1"/>
    <col min="9808" max="9862" width="0" style="12" hidden="1" customWidth="1"/>
    <col min="9863" max="9864" width="1" style="12" customWidth="1"/>
    <col min="9865" max="9865" width="17.85546875" style="12" customWidth="1"/>
    <col min="9866" max="9869" width="1" style="12" customWidth="1"/>
    <col min="9870" max="9870" width="14.42578125" style="12" customWidth="1"/>
    <col min="9871" max="9872" width="1" style="12" customWidth="1"/>
    <col min="9873" max="9873" width="2" style="12" customWidth="1"/>
    <col min="9874" max="9874" width="3.85546875" style="12" customWidth="1"/>
    <col min="9875" max="9875" width="15.7109375" style="12" customWidth="1"/>
    <col min="9876" max="9876" width="13.42578125" style="12" bestFit="1" customWidth="1"/>
    <col min="9877" max="9877" width="13.85546875" style="12" customWidth="1"/>
    <col min="9878" max="9878" width="13.42578125" style="12" bestFit="1" customWidth="1"/>
    <col min="9879" max="9984" width="10" style="12"/>
    <col min="9985" max="9986" width="0" style="12" hidden="1" customWidth="1"/>
    <col min="9987" max="9987" width="1" style="12" customWidth="1"/>
    <col min="9988" max="9988" width="56" style="12" customWidth="1"/>
    <col min="9989" max="9990" width="1" style="12" customWidth="1"/>
    <col min="9991" max="9991" width="14.42578125" style="12" customWidth="1"/>
    <col min="9992" max="9993" width="1" style="12" customWidth="1"/>
    <col min="9994" max="10048" width="0" style="12" hidden="1" customWidth="1"/>
    <col min="10049" max="10050" width="1" style="12" customWidth="1"/>
    <col min="10051" max="10051" width="17.85546875" style="12" customWidth="1"/>
    <col min="10052" max="10055" width="1" style="12" customWidth="1"/>
    <col min="10056" max="10056" width="17.85546875" style="12" customWidth="1"/>
    <col min="10057" max="10060" width="1" style="12" customWidth="1"/>
    <col min="10061" max="10061" width="17.85546875" style="12" customWidth="1"/>
    <col min="10062" max="10063" width="1" style="12" customWidth="1"/>
    <col min="10064" max="10118" width="0" style="12" hidden="1" customWidth="1"/>
    <col min="10119" max="10120" width="1" style="12" customWidth="1"/>
    <col min="10121" max="10121" width="17.85546875" style="12" customWidth="1"/>
    <col min="10122" max="10125" width="1" style="12" customWidth="1"/>
    <col min="10126" max="10126" width="14.42578125" style="12" customWidth="1"/>
    <col min="10127" max="10128" width="1" style="12" customWidth="1"/>
    <col min="10129" max="10129" width="2" style="12" customWidth="1"/>
    <col min="10130" max="10130" width="3.85546875" style="12" customWidth="1"/>
    <col min="10131" max="10131" width="15.7109375" style="12" customWidth="1"/>
    <col min="10132" max="10132" width="13.42578125" style="12" bestFit="1" customWidth="1"/>
    <col min="10133" max="10133" width="13.85546875" style="12" customWidth="1"/>
    <col min="10134" max="10134" width="13.42578125" style="12" bestFit="1" customWidth="1"/>
    <col min="10135" max="10240" width="10" style="12"/>
    <col min="10241" max="10242" width="0" style="12" hidden="1" customWidth="1"/>
    <col min="10243" max="10243" width="1" style="12" customWidth="1"/>
    <col min="10244" max="10244" width="56" style="12" customWidth="1"/>
    <col min="10245" max="10246" width="1" style="12" customWidth="1"/>
    <col min="10247" max="10247" width="14.42578125" style="12" customWidth="1"/>
    <col min="10248" max="10249" width="1" style="12" customWidth="1"/>
    <col min="10250" max="10304" width="0" style="12" hidden="1" customWidth="1"/>
    <col min="10305" max="10306" width="1" style="12" customWidth="1"/>
    <col min="10307" max="10307" width="17.85546875" style="12" customWidth="1"/>
    <col min="10308" max="10311" width="1" style="12" customWidth="1"/>
    <col min="10312" max="10312" width="17.85546875" style="12" customWidth="1"/>
    <col min="10313" max="10316" width="1" style="12" customWidth="1"/>
    <col min="10317" max="10317" width="17.85546875" style="12" customWidth="1"/>
    <col min="10318" max="10319" width="1" style="12" customWidth="1"/>
    <col min="10320" max="10374" width="0" style="12" hidden="1" customWidth="1"/>
    <col min="10375" max="10376" width="1" style="12" customWidth="1"/>
    <col min="10377" max="10377" width="17.85546875" style="12" customWidth="1"/>
    <col min="10378" max="10381" width="1" style="12" customWidth="1"/>
    <col min="10382" max="10382" width="14.42578125" style="12" customWidth="1"/>
    <col min="10383" max="10384" width="1" style="12" customWidth="1"/>
    <col min="10385" max="10385" width="2" style="12" customWidth="1"/>
    <col min="10386" max="10386" width="3.85546875" style="12" customWidth="1"/>
    <col min="10387" max="10387" width="15.7109375" style="12" customWidth="1"/>
    <col min="10388" max="10388" width="13.42578125" style="12" bestFit="1" customWidth="1"/>
    <col min="10389" max="10389" width="13.85546875" style="12" customWidth="1"/>
    <col min="10390" max="10390" width="13.42578125" style="12" bestFit="1" customWidth="1"/>
    <col min="10391" max="10496" width="10" style="12"/>
    <col min="10497" max="10498" width="0" style="12" hidden="1" customWidth="1"/>
    <col min="10499" max="10499" width="1" style="12" customWidth="1"/>
    <col min="10500" max="10500" width="56" style="12" customWidth="1"/>
    <col min="10501" max="10502" width="1" style="12" customWidth="1"/>
    <col min="10503" max="10503" width="14.42578125" style="12" customWidth="1"/>
    <col min="10504" max="10505" width="1" style="12" customWidth="1"/>
    <col min="10506" max="10560" width="0" style="12" hidden="1" customWidth="1"/>
    <col min="10561" max="10562" width="1" style="12" customWidth="1"/>
    <col min="10563" max="10563" width="17.85546875" style="12" customWidth="1"/>
    <col min="10564" max="10567" width="1" style="12" customWidth="1"/>
    <col min="10568" max="10568" width="17.85546875" style="12" customWidth="1"/>
    <col min="10569" max="10572" width="1" style="12" customWidth="1"/>
    <col min="10573" max="10573" width="17.85546875" style="12" customWidth="1"/>
    <col min="10574" max="10575" width="1" style="12" customWidth="1"/>
    <col min="10576" max="10630" width="0" style="12" hidden="1" customWidth="1"/>
    <col min="10631" max="10632" width="1" style="12" customWidth="1"/>
    <col min="10633" max="10633" width="17.85546875" style="12" customWidth="1"/>
    <col min="10634" max="10637" width="1" style="12" customWidth="1"/>
    <col min="10638" max="10638" width="14.42578125" style="12" customWidth="1"/>
    <col min="10639" max="10640" width="1" style="12" customWidth="1"/>
    <col min="10641" max="10641" width="2" style="12" customWidth="1"/>
    <col min="10642" max="10642" width="3.85546875" style="12" customWidth="1"/>
    <col min="10643" max="10643" width="15.7109375" style="12" customWidth="1"/>
    <col min="10644" max="10644" width="13.42578125" style="12" bestFit="1" customWidth="1"/>
    <col min="10645" max="10645" width="13.85546875" style="12" customWidth="1"/>
    <col min="10646" max="10646" width="13.42578125" style="12" bestFit="1" customWidth="1"/>
    <col min="10647" max="10752" width="10" style="12"/>
    <col min="10753" max="10754" width="0" style="12" hidden="1" customWidth="1"/>
    <col min="10755" max="10755" width="1" style="12" customWidth="1"/>
    <col min="10756" max="10756" width="56" style="12" customWidth="1"/>
    <col min="10757" max="10758" width="1" style="12" customWidth="1"/>
    <col min="10759" max="10759" width="14.42578125" style="12" customWidth="1"/>
    <col min="10760" max="10761" width="1" style="12" customWidth="1"/>
    <col min="10762" max="10816" width="0" style="12" hidden="1" customWidth="1"/>
    <col min="10817" max="10818" width="1" style="12" customWidth="1"/>
    <col min="10819" max="10819" width="17.85546875" style="12" customWidth="1"/>
    <col min="10820" max="10823" width="1" style="12" customWidth="1"/>
    <col min="10824" max="10824" width="17.85546875" style="12" customWidth="1"/>
    <col min="10825" max="10828" width="1" style="12" customWidth="1"/>
    <col min="10829" max="10829" width="17.85546875" style="12" customWidth="1"/>
    <col min="10830" max="10831" width="1" style="12" customWidth="1"/>
    <col min="10832" max="10886" width="0" style="12" hidden="1" customWidth="1"/>
    <col min="10887" max="10888" width="1" style="12" customWidth="1"/>
    <col min="10889" max="10889" width="17.85546875" style="12" customWidth="1"/>
    <col min="10890" max="10893" width="1" style="12" customWidth="1"/>
    <col min="10894" max="10894" width="14.42578125" style="12" customWidth="1"/>
    <col min="10895" max="10896" width="1" style="12" customWidth="1"/>
    <col min="10897" max="10897" width="2" style="12" customWidth="1"/>
    <col min="10898" max="10898" width="3.85546875" style="12" customWidth="1"/>
    <col min="10899" max="10899" width="15.7109375" style="12" customWidth="1"/>
    <col min="10900" max="10900" width="13.42578125" style="12" bestFit="1" customWidth="1"/>
    <col min="10901" max="10901" width="13.85546875" style="12" customWidth="1"/>
    <col min="10902" max="10902" width="13.42578125" style="12" bestFit="1" customWidth="1"/>
    <col min="10903" max="11008" width="10" style="12"/>
    <col min="11009" max="11010" width="0" style="12" hidden="1" customWidth="1"/>
    <col min="11011" max="11011" width="1" style="12" customWidth="1"/>
    <col min="11012" max="11012" width="56" style="12" customWidth="1"/>
    <col min="11013" max="11014" width="1" style="12" customWidth="1"/>
    <col min="11015" max="11015" width="14.42578125" style="12" customWidth="1"/>
    <col min="11016" max="11017" width="1" style="12" customWidth="1"/>
    <col min="11018" max="11072" width="0" style="12" hidden="1" customWidth="1"/>
    <col min="11073" max="11074" width="1" style="12" customWidth="1"/>
    <col min="11075" max="11075" width="17.85546875" style="12" customWidth="1"/>
    <col min="11076" max="11079" width="1" style="12" customWidth="1"/>
    <col min="11080" max="11080" width="17.85546875" style="12" customWidth="1"/>
    <col min="11081" max="11084" width="1" style="12" customWidth="1"/>
    <col min="11085" max="11085" width="17.85546875" style="12" customWidth="1"/>
    <col min="11086" max="11087" width="1" style="12" customWidth="1"/>
    <col min="11088" max="11142" width="0" style="12" hidden="1" customWidth="1"/>
    <col min="11143" max="11144" width="1" style="12" customWidth="1"/>
    <col min="11145" max="11145" width="17.85546875" style="12" customWidth="1"/>
    <col min="11146" max="11149" width="1" style="12" customWidth="1"/>
    <col min="11150" max="11150" width="14.42578125" style="12" customWidth="1"/>
    <col min="11151" max="11152" width="1" style="12" customWidth="1"/>
    <col min="11153" max="11153" width="2" style="12" customWidth="1"/>
    <col min="11154" max="11154" width="3.85546875" style="12" customWidth="1"/>
    <col min="11155" max="11155" width="15.7109375" style="12" customWidth="1"/>
    <col min="11156" max="11156" width="13.42578125" style="12" bestFit="1" customWidth="1"/>
    <col min="11157" max="11157" width="13.85546875" style="12" customWidth="1"/>
    <col min="11158" max="11158" width="13.42578125" style="12" bestFit="1" customWidth="1"/>
    <col min="11159" max="11264" width="10" style="12"/>
    <col min="11265" max="11266" width="0" style="12" hidden="1" customWidth="1"/>
    <col min="11267" max="11267" width="1" style="12" customWidth="1"/>
    <col min="11268" max="11268" width="56" style="12" customWidth="1"/>
    <col min="11269" max="11270" width="1" style="12" customWidth="1"/>
    <col min="11271" max="11271" width="14.42578125" style="12" customWidth="1"/>
    <col min="11272" max="11273" width="1" style="12" customWidth="1"/>
    <col min="11274" max="11328" width="0" style="12" hidden="1" customWidth="1"/>
    <col min="11329" max="11330" width="1" style="12" customWidth="1"/>
    <col min="11331" max="11331" width="17.85546875" style="12" customWidth="1"/>
    <col min="11332" max="11335" width="1" style="12" customWidth="1"/>
    <col min="11336" max="11336" width="17.85546875" style="12" customWidth="1"/>
    <col min="11337" max="11340" width="1" style="12" customWidth="1"/>
    <col min="11341" max="11341" width="17.85546875" style="12" customWidth="1"/>
    <col min="11342" max="11343" width="1" style="12" customWidth="1"/>
    <col min="11344" max="11398" width="0" style="12" hidden="1" customWidth="1"/>
    <col min="11399" max="11400" width="1" style="12" customWidth="1"/>
    <col min="11401" max="11401" width="17.85546875" style="12" customWidth="1"/>
    <col min="11402" max="11405" width="1" style="12" customWidth="1"/>
    <col min="11406" max="11406" width="14.42578125" style="12" customWidth="1"/>
    <col min="11407" max="11408" width="1" style="12" customWidth="1"/>
    <col min="11409" max="11409" width="2" style="12" customWidth="1"/>
    <col min="11410" max="11410" width="3.85546875" style="12" customWidth="1"/>
    <col min="11411" max="11411" width="15.7109375" style="12" customWidth="1"/>
    <col min="11412" max="11412" width="13.42578125" style="12" bestFit="1" customWidth="1"/>
    <col min="11413" max="11413" width="13.85546875" style="12" customWidth="1"/>
    <col min="11414" max="11414" width="13.42578125" style="12" bestFit="1" customWidth="1"/>
    <col min="11415" max="11520" width="10" style="12"/>
    <col min="11521" max="11522" width="0" style="12" hidden="1" customWidth="1"/>
    <col min="11523" max="11523" width="1" style="12" customWidth="1"/>
    <col min="11524" max="11524" width="56" style="12" customWidth="1"/>
    <col min="11525" max="11526" width="1" style="12" customWidth="1"/>
    <col min="11527" max="11527" width="14.42578125" style="12" customWidth="1"/>
    <col min="11528" max="11529" width="1" style="12" customWidth="1"/>
    <col min="11530" max="11584" width="0" style="12" hidden="1" customWidth="1"/>
    <col min="11585" max="11586" width="1" style="12" customWidth="1"/>
    <col min="11587" max="11587" width="17.85546875" style="12" customWidth="1"/>
    <col min="11588" max="11591" width="1" style="12" customWidth="1"/>
    <col min="11592" max="11592" width="17.85546875" style="12" customWidth="1"/>
    <col min="11593" max="11596" width="1" style="12" customWidth="1"/>
    <col min="11597" max="11597" width="17.85546875" style="12" customWidth="1"/>
    <col min="11598" max="11599" width="1" style="12" customWidth="1"/>
    <col min="11600" max="11654" width="0" style="12" hidden="1" customWidth="1"/>
    <col min="11655" max="11656" width="1" style="12" customWidth="1"/>
    <col min="11657" max="11657" width="17.85546875" style="12" customWidth="1"/>
    <col min="11658" max="11661" width="1" style="12" customWidth="1"/>
    <col min="11662" max="11662" width="14.42578125" style="12" customWidth="1"/>
    <col min="11663" max="11664" width="1" style="12" customWidth="1"/>
    <col min="11665" max="11665" width="2" style="12" customWidth="1"/>
    <col min="11666" max="11666" width="3.85546875" style="12" customWidth="1"/>
    <col min="11667" max="11667" width="15.7109375" style="12" customWidth="1"/>
    <col min="11668" max="11668" width="13.42578125" style="12" bestFit="1" customWidth="1"/>
    <col min="11669" max="11669" width="13.85546875" style="12" customWidth="1"/>
    <col min="11670" max="11670" width="13.42578125" style="12" bestFit="1" customWidth="1"/>
    <col min="11671" max="11776" width="10" style="12"/>
    <col min="11777" max="11778" width="0" style="12" hidden="1" customWidth="1"/>
    <col min="11779" max="11779" width="1" style="12" customWidth="1"/>
    <col min="11780" max="11780" width="56" style="12" customWidth="1"/>
    <col min="11781" max="11782" width="1" style="12" customWidth="1"/>
    <col min="11783" max="11783" width="14.42578125" style="12" customWidth="1"/>
    <col min="11784" max="11785" width="1" style="12" customWidth="1"/>
    <col min="11786" max="11840" width="0" style="12" hidden="1" customWidth="1"/>
    <col min="11841" max="11842" width="1" style="12" customWidth="1"/>
    <col min="11843" max="11843" width="17.85546875" style="12" customWidth="1"/>
    <col min="11844" max="11847" width="1" style="12" customWidth="1"/>
    <col min="11848" max="11848" width="17.85546875" style="12" customWidth="1"/>
    <col min="11849" max="11852" width="1" style="12" customWidth="1"/>
    <col min="11853" max="11853" width="17.85546875" style="12" customWidth="1"/>
    <col min="11854" max="11855" width="1" style="12" customWidth="1"/>
    <col min="11856" max="11910" width="0" style="12" hidden="1" customWidth="1"/>
    <col min="11911" max="11912" width="1" style="12" customWidth="1"/>
    <col min="11913" max="11913" width="17.85546875" style="12" customWidth="1"/>
    <col min="11914" max="11917" width="1" style="12" customWidth="1"/>
    <col min="11918" max="11918" width="14.42578125" style="12" customWidth="1"/>
    <col min="11919" max="11920" width="1" style="12" customWidth="1"/>
    <col min="11921" max="11921" width="2" style="12" customWidth="1"/>
    <col min="11922" max="11922" width="3.85546875" style="12" customWidth="1"/>
    <col min="11923" max="11923" width="15.7109375" style="12" customWidth="1"/>
    <col min="11924" max="11924" width="13.42578125" style="12" bestFit="1" customWidth="1"/>
    <col min="11925" max="11925" width="13.85546875" style="12" customWidth="1"/>
    <col min="11926" max="11926" width="13.42578125" style="12" bestFit="1" customWidth="1"/>
    <col min="11927" max="12032" width="10" style="12"/>
    <col min="12033" max="12034" width="0" style="12" hidden="1" customWidth="1"/>
    <col min="12035" max="12035" width="1" style="12" customWidth="1"/>
    <col min="12036" max="12036" width="56" style="12" customWidth="1"/>
    <col min="12037" max="12038" width="1" style="12" customWidth="1"/>
    <col min="12039" max="12039" width="14.42578125" style="12" customWidth="1"/>
    <col min="12040" max="12041" width="1" style="12" customWidth="1"/>
    <col min="12042" max="12096" width="0" style="12" hidden="1" customWidth="1"/>
    <col min="12097" max="12098" width="1" style="12" customWidth="1"/>
    <col min="12099" max="12099" width="17.85546875" style="12" customWidth="1"/>
    <col min="12100" max="12103" width="1" style="12" customWidth="1"/>
    <col min="12104" max="12104" width="17.85546875" style="12" customWidth="1"/>
    <col min="12105" max="12108" width="1" style="12" customWidth="1"/>
    <col min="12109" max="12109" width="17.85546875" style="12" customWidth="1"/>
    <col min="12110" max="12111" width="1" style="12" customWidth="1"/>
    <col min="12112" max="12166" width="0" style="12" hidden="1" customWidth="1"/>
    <col min="12167" max="12168" width="1" style="12" customWidth="1"/>
    <col min="12169" max="12169" width="17.85546875" style="12" customWidth="1"/>
    <col min="12170" max="12173" width="1" style="12" customWidth="1"/>
    <col min="12174" max="12174" width="14.42578125" style="12" customWidth="1"/>
    <col min="12175" max="12176" width="1" style="12" customWidth="1"/>
    <col min="12177" max="12177" width="2" style="12" customWidth="1"/>
    <col min="12178" max="12178" width="3.85546875" style="12" customWidth="1"/>
    <col min="12179" max="12179" width="15.7109375" style="12" customWidth="1"/>
    <col min="12180" max="12180" width="13.42578125" style="12" bestFit="1" customWidth="1"/>
    <col min="12181" max="12181" width="13.85546875" style="12" customWidth="1"/>
    <col min="12182" max="12182" width="13.42578125" style="12" bestFit="1" customWidth="1"/>
    <col min="12183" max="12288" width="10" style="12"/>
    <col min="12289" max="12290" width="0" style="12" hidden="1" customWidth="1"/>
    <col min="12291" max="12291" width="1" style="12" customWidth="1"/>
    <col min="12292" max="12292" width="56" style="12" customWidth="1"/>
    <col min="12293" max="12294" width="1" style="12" customWidth="1"/>
    <col min="12295" max="12295" width="14.42578125" style="12" customWidth="1"/>
    <col min="12296" max="12297" width="1" style="12" customWidth="1"/>
    <col min="12298" max="12352" width="0" style="12" hidden="1" customWidth="1"/>
    <col min="12353" max="12354" width="1" style="12" customWidth="1"/>
    <col min="12355" max="12355" width="17.85546875" style="12" customWidth="1"/>
    <col min="12356" max="12359" width="1" style="12" customWidth="1"/>
    <col min="12360" max="12360" width="17.85546875" style="12" customWidth="1"/>
    <col min="12361" max="12364" width="1" style="12" customWidth="1"/>
    <col min="12365" max="12365" width="17.85546875" style="12" customWidth="1"/>
    <col min="12366" max="12367" width="1" style="12" customWidth="1"/>
    <col min="12368" max="12422" width="0" style="12" hidden="1" customWidth="1"/>
    <col min="12423" max="12424" width="1" style="12" customWidth="1"/>
    <col min="12425" max="12425" width="17.85546875" style="12" customWidth="1"/>
    <col min="12426" max="12429" width="1" style="12" customWidth="1"/>
    <col min="12430" max="12430" width="14.42578125" style="12" customWidth="1"/>
    <col min="12431" max="12432" width="1" style="12" customWidth="1"/>
    <col min="12433" max="12433" width="2" style="12" customWidth="1"/>
    <col min="12434" max="12434" width="3.85546875" style="12" customWidth="1"/>
    <col min="12435" max="12435" width="15.7109375" style="12" customWidth="1"/>
    <col min="12436" max="12436" width="13.42578125" style="12" bestFit="1" customWidth="1"/>
    <col min="12437" max="12437" width="13.85546875" style="12" customWidth="1"/>
    <col min="12438" max="12438" width="13.42578125" style="12" bestFit="1" customWidth="1"/>
    <col min="12439" max="12544" width="10" style="12"/>
    <col min="12545" max="12546" width="0" style="12" hidden="1" customWidth="1"/>
    <col min="12547" max="12547" width="1" style="12" customWidth="1"/>
    <col min="12548" max="12548" width="56" style="12" customWidth="1"/>
    <col min="12549" max="12550" width="1" style="12" customWidth="1"/>
    <col min="12551" max="12551" width="14.42578125" style="12" customWidth="1"/>
    <col min="12552" max="12553" width="1" style="12" customWidth="1"/>
    <col min="12554" max="12608" width="0" style="12" hidden="1" customWidth="1"/>
    <col min="12609" max="12610" width="1" style="12" customWidth="1"/>
    <col min="12611" max="12611" width="17.85546875" style="12" customWidth="1"/>
    <col min="12612" max="12615" width="1" style="12" customWidth="1"/>
    <col min="12616" max="12616" width="17.85546875" style="12" customWidth="1"/>
    <col min="12617" max="12620" width="1" style="12" customWidth="1"/>
    <col min="12621" max="12621" width="17.85546875" style="12" customWidth="1"/>
    <col min="12622" max="12623" width="1" style="12" customWidth="1"/>
    <col min="12624" max="12678" width="0" style="12" hidden="1" customWidth="1"/>
    <col min="12679" max="12680" width="1" style="12" customWidth="1"/>
    <col min="12681" max="12681" width="17.85546875" style="12" customWidth="1"/>
    <col min="12682" max="12685" width="1" style="12" customWidth="1"/>
    <col min="12686" max="12686" width="14.42578125" style="12" customWidth="1"/>
    <col min="12687" max="12688" width="1" style="12" customWidth="1"/>
    <col min="12689" max="12689" width="2" style="12" customWidth="1"/>
    <col min="12690" max="12690" width="3.85546875" style="12" customWidth="1"/>
    <col min="12691" max="12691" width="15.7109375" style="12" customWidth="1"/>
    <col min="12692" max="12692" width="13.42578125" style="12" bestFit="1" customWidth="1"/>
    <col min="12693" max="12693" width="13.85546875" style="12" customWidth="1"/>
    <col min="12694" max="12694" width="13.42578125" style="12" bestFit="1" customWidth="1"/>
    <col min="12695" max="12800" width="10" style="12"/>
    <col min="12801" max="12802" width="0" style="12" hidden="1" customWidth="1"/>
    <col min="12803" max="12803" width="1" style="12" customWidth="1"/>
    <col min="12804" max="12804" width="56" style="12" customWidth="1"/>
    <col min="12805" max="12806" width="1" style="12" customWidth="1"/>
    <col min="12807" max="12807" width="14.42578125" style="12" customWidth="1"/>
    <col min="12808" max="12809" width="1" style="12" customWidth="1"/>
    <col min="12810" max="12864" width="0" style="12" hidden="1" customWidth="1"/>
    <col min="12865" max="12866" width="1" style="12" customWidth="1"/>
    <col min="12867" max="12867" width="17.85546875" style="12" customWidth="1"/>
    <col min="12868" max="12871" width="1" style="12" customWidth="1"/>
    <col min="12872" max="12872" width="17.85546875" style="12" customWidth="1"/>
    <col min="12873" max="12876" width="1" style="12" customWidth="1"/>
    <col min="12877" max="12877" width="17.85546875" style="12" customWidth="1"/>
    <col min="12878" max="12879" width="1" style="12" customWidth="1"/>
    <col min="12880" max="12934" width="0" style="12" hidden="1" customWidth="1"/>
    <col min="12935" max="12936" width="1" style="12" customWidth="1"/>
    <col min="12937" max="12937" width="17.85546875" style="12" customWidth="1"/>
    <col min="12938" max="12941" width="1" style="12" customWidth="1"/>
    <col min="12942" max="12942" width="14.42578125" style="12" customWidth="1"/>
    <col min="12943" max="12944" width="1" style="12" customWidth="1"/>
    <col min="12945" max="12945" width="2" style="12" customWidth="1"/>
    <col min="12946" max="12946" width="3.85546875" style="12" customWidth="1"/>
    <col min="12947" max="12947" width="15.7109375" style="12" customWidth="1"/>
    <col min="12948" max="12948" width="13.42578125" style="12" bestFit="1" customWidth="1"/>
    <col min="12949" max="12949" width="13.85546875" style="12" customWidth="1"/>
    <col min="12950" max="12950" width="13.42578125" style="12" bestFit="1" customWidth="1"/>
    <col min="12951" max="13056" width="10" style="12"/>
    <col min="13057" max="13058" width="0" style="12" hidden="1" customWidth="1"/>
    <col min="13059" max="13059" width="1" style="12" customWidth="1"/>
    <col min="13060" max="13060" width="56" style="12" customWidth="1"/>
    <col min="13061" max="13062" width="1" style="12" customWidth="1"/>
    <col min="13063" max="13063" width="14.42578125" style="12" customWidth="1"/>
    <col min="13064" max="13065" width="1" style="12" customWidth="1"/>
    <col min="13066" max="13120" width="0" style="12" hidden="1" customWidth="1"/>
    <col min="13121" max="13122" width="1" style="12" customWidth="1"/>
    <col min="13123" max="13123" width="17.85546875" style="12" customWidth="1"/>
    <col min="13124" max="13127" width="1" style="12" customWidth="1"/>
    <col min="13128" max="13128" width="17.85546875" style="12" customWidth="1"/>
    <col min="13129" max="13132" width="1" style="12" customWidth="1"/>
    <col min="13133" max="13133" width="17.85546875" style="12" customWidth="1"/>
    <col min="13134" max="13135" width="1" style="12" customWidth="1"/>
    <col min="13136" max="13190" width="0" style="12" hidden="1" customWidth="1"/>
    <col min="13191" max="13192" width="1" style="12" customWidth="1"/>
    <col min="13193" max="13193" width="17.85546875" style="12" customWidth="1"/>
    <col min="13194" max="13197" width="1" style="12" customWidth="1"/>
    <col min="13198" max="13198" width="14.42578125" style="12" customWidth="1"/>
    <col min="13199" max="13200" width="1" style="12" customWidth="1"/>
    <col min="13201" max="13201" width="2" style="12" customWidth="1"/>
    <col min="13202" max="13202" width="3.85546875" style="12" customWidth="1"/>
    <col min="13203" max="13203" width="15.7109375" style="12" customWidth="1"/>
    <col min="13204" max="13204" width="13.42578125" style="12" bestFit="1" customWidth="1"/>
    <col min="13205" max="13205" width="13.85546875" style="12" customWidth="1"/>
    <col min="13206" max="13206" width="13.42578125" style="12" bestFit="1" customWidth="1"/>
    <col min="13207" max="13312" width="10" style="12"/>
    <col min="13313" max="13314" width="0" style="12" hidden="1" customWidth="1"/>
    <col min="13315" max="13315" width="1" style="12" customWidth="1"/>
    <col min="13316" max="13316" width="56" style="12" customWidth="1"/>
    <col min="13317" max="13318" width="1" style="12" customWidth="1"/>
    <col min="13319" max="13319" width="14.42578125" style="12" customWidth="1"/>
    <col min="13320" max="13321" width="1" style="12" customWidth="1"/>
    <col min="13322" max="13376" width="0" style="12" hidden="1" customWidth="1"/>
    <col min="13377" max="13378" width="1" style="12" customWidth="1"/>
    <col min="13379" max="13379" width="17.85546875" style="12" customWidth="1"/>
    <col min="13380" max="13383" width="1" style="12" customWidth="1"/>
    <col min="13384" max="13384" width="17.85546875" style="12" customWidth="1"/>
    <col min="13385" max="13388" width="1" style="12" customWidth="1"/>
    <col min="13389" max="13389" width="17.85546875" style="12" customWidth="1"/>
    <col min="13390" max="13391" width="1" style="12" customWidth="1"/>
    <col min="13392" max="13446" width="0" style="12" hidden="1" customWidth="1"/>
    <col min="13447" max="13448" width="1" style="12" customWidth="1"/>
    <col min="13449" max="13449" width="17.85546875" style="12" customWidth="1"/>
    <col min="13450" max="13453" width="1" style="12" customWidth="1"/>
    <col min="13454" max="13454" width="14.42578125" style="12" customWidth="1"/>
    <col min="13455" max="13456" width="1" style="12" customWidth="1"/>
    <col min="13457" max="13457" width="2" style="12" customWidth="1"/>
    <col min="13458" max="13458" width="3.85546875" style="12" customWidth="1"/>
    <col min="13459" max="13459" width="15.7109375" style="12" customWidth="1"/>
    <col min="13460" max="13460" width="13.42578125" style="12" bestFit="1" customWidth="1"/>
    <col min="13461" max="13461" width="13.85546875" style="12" customWidth="1"/>
    <col min="13462" max="13462" width="13.42578125" style="12" bestFit="1" customWidth="1"/>
    <col min="13463" max="13568" width="10" style="12"/>
    <col min="13569" max="13570" width="0" style="12" hidden="1" customWidth="1"/>
    <col min="13571" max="13571" width="1" style="12" customWidth="1"/>
    <col min="13572" max="13572" width="56" style="12" customWidth="1"/>
    <col min="13573" max="13574" width="1" style="12" customWidth="1"/>
    <col min="13575" max="13575" width="14.42578125" style="12" customWidth="1"/>
    <col min="13576" max="13577" width="1" style="12" customWidth="1"/>
    <col min="13578" max="13632" width="0" style="12" hidden="1" customWidth="1"/>
    <col min="13633" max="13634" width="1" style="12" customWidth="1"/>
    <col min="13635" max="13635" width="17.85546875" style="12" customWidth="1"/>
    <col min="13636" max="13639" width="1" style="12" customWidth="1"/>
    <col min="13640" max="13640" width="17.85546875" style="12" customWidth="1"/>
    <col min="13641" max="13644" width="1" style="12" customWidth="1"/>
    <col min="13645" max="13645" width="17.85546875" style="12" customWidth="1"/>
    <col min="13646" max="13647" width="1" style="12" customWidth="1"/>
    <col min="13648" max="13702" width="0" style="12" hidden="1" customWidth="1"/>
    <col min="13703" max="13704" width="1" style="12" customWidth="1"/>
    <col min="13705" max="13705" width="17.85546875" style="12" customWidth="1"/>
    <col min="13706" max="13709" width="1" style="12" customWidth="1"/>
    <col min="13710" max="13710" width="14.42578125" style="12" customWidth="1"/>
    <col min="13711" max="13712" width="1" style="12" customWidth="1"/>
    <col min="13713" max="13713" width="2" style="12" customWidth="1"/>
    <col min="13714" max="13714" width="3.85546875" style="12" customWidth="1"/>
    <col min="13715" max="13715" width="15.7109375" style="12" customWidth="1"/>
    <col min="13716" max="13716" width="13.42578125" style="12" bestFit="1" customWidth="1"/>
    <col min="13717" max="13717" width="13.85546875" style="12" customWidth="1"/>
    <col min="13718" max="13718" width="13.42578125" style="12" bestFit="1" customWidth="1"/>
    <col min="13719" max="13824" width="10" style="12"/>
    <col min="13825" max="13826" width="0" style="12" hidden="1" customWidth="1"/>
    <col min="13827" max="13827" width="1" style="12" customWidth="1"/>
    <col min="13828" max="13828" width="56" style="12" customWidth="1"/>
    <col min="13829" max="13830" width="1" style="12" customWidth="1"/>
    <col min="13831" max="13831" width="14.42578125" style="12" customWidth="1"/>
    <col min="13832" max="13833" width="1" style="12" customWidth="1"/>
    <col min="13834" max="13888" width="0" style="12" hidden="1" customWidth="1"/>
    <col min="13889" max="13890" width="1" style="12" customWidth="1"/>
    <col min="13891" max="13891" width="17.85546875" style="12" customWidth="1"/>
    <col min="13892" max="13895" width="1" style="12" customWidth="1"/>
    <col min="13896" max="13896" width="17.85546875" style="12" customWidth="1"/>
    <col min="13897" max="13900" width="1" style="12" customWidth="1"/>
    <col min="13901" max="13901" width="17.85546875" style="12" customWidth="1"/>
    <col min="13902" max="13903" width="1" style="12" customWidth="1"/>
    <col min="13904" max="13958" width="0" style="12" hidden="1" customWidth="1"/>
    <col min="13959" max="13960" width="1" style="12" customWidth="1"/>
    <col min="13961" max="13961" width="17.85546875" style="12" customWidth="1"/>
    <col min="13962" max="13965" width="1" style="12" customWidth="1"/>
    <col min="13966" max="13966" width="14.42578125" style="12" customWidth="1"/>
    <col min="13967" max="13968" width="1" style="12" customWidth="1"/>
    <col min="13969" max="13969" width="2" style="12" customWidth="1"/>
    <col min="13970" max="13970" width="3.85546875" style="12" customWidth="1"/>
    <col min="13971" max="13971" width="15.7109375" style="12" customWidth="1"/>
    <col min="13972" max="13972" width="13.42578125" style="12" bestFit="1" customWidth="1"/>
    <col min="13973" max="13973" width="13.85546875" style="12" customWidth="1"/>
    <col min="13974" max="13974" width="13.42578125" style="12" bestFit="1" customWidth="1"/>
    <col min="13975" max="14080" width="10" style="12"/>
    <col min="14081" max="14082" width="0" style="12" hidden="1" customWidth="1"/>
    <col min="14083" max="14083" width="1" style="12" customWidth="1"/>
    <col min="14084" max="14084" width="56" style="12" customWidth="1"/>
    <col min="14085" max="14086" width="1" style="12" customWidth="1"/>
    <col min="14087" max="14087" width="14.42578125" style="12" customWidth="1"/>
    <col min="14088" max="14089" width="1" style="12" customWidth="1"/>
    <col min="14090" max="14144" width="0" style="12" hidden="1" customWidth="1"/>
    <col min="14145" max="14146" width="1" style="12" customWidth="1"/>
    <col min="14147" max="14147" width="17.85546875" style="12" customWidth="1"/>
    <col min="14148" max="14151" width="1" style="12" customWidth="1"/>
    <col min="14152" max="14152" width="17.85546875" style="12" customWidth="1"/>
    <col min="14153" max="14156" width="1" style="12" customWidth="1"/>
    <col min="14157" max="14157" width="17.85546875" style="12" customWidth="1"/>
    <col min="14158" max="14159" width="1" style="12" customWidth="1"/>
    <col min="14160" max="14214" width="0" style="12" hidden="1" customWidth="1"/>
    <col min="14215" max="14216" width="1" style="12" customWidth="1"/>
    <col min="14217" max="14217" width="17.85546875" style="12" customWidth="1"/>
    <col min="14218" max="14221" width="1" style="12" customWidth="1"/>
    <col min="14222" max="14222" width="14.42578125" style="12" customWidth="1"/>
    <col min="14223" max="14224" width="1" style="12" customWidth="1"/>
    <col min="14225" max="14225" width="2" style="12" customWidth="1"/>
    <col min="14226" max="14226" width="3.85546875" style="12" customWidth="1"/>
    <col min="14227" max="14227" width="15.7109375" style="12" customWidth="1"/>
    <col min="14228" max="14228" width="13.42578125" style="12" bestFit="1" customWidth="1"/>
    <col min="14229" max="14229" width="13.85546875" style="12" customWidth="1"/>
    <col min="14230" max="14230" width="13.42578125" style="12" bestFit="1" customWidth="1"/>
    <col min="14231" max="14336" width="10" style="12"/>
    <col min="14337" max="14338" width="0" style="12" hidden="1" customWidth="1"/>
    <col min="14339" max="14339" width="1" style="12" customWidth="1"/>
    <col min="14340" max="14340" width="56" style="12" customWidth="1"/>
    <col min="14341" max="14342" width="1" style="12" customWidth="1"/>
    <col min="14343" max="14343" width="14.42578125" style="12" customWidth="1"/>
    <col min="14344" max="14345" width="1" style="12" customWidth="1"/>
    <col min="14346" max="14400" width="0" style="12" hidden="1" customWidth="1"/>
    <col min="14401" max="14402" width="1" style="12" customWidth="1"/>
    <col min="14403" max="14403" width="17.85546875" style="12" customWidth="1"/>
    <col min="14404" max="14407" width="1" style="12" customWidth="1"/>
    <col min="14408" max="14408" width="17.85546875" style="12" customWidth="1"/>
    <col min="14409" max="14412" width="1" style="12" customWidth="1"/>
    <col min="14413" max="14413" width="17.85546875" style="12" customWidth="1"/>
    <col min="14414" max="14415" width="1" style="12" customWidth="1"/>
    <col min="14416" max="14470" width="0" style="12" hidden="1" customWidth="1"/>
    <col min="14471" max="14472" width="1" style="12" customWidth="1"/>
    <col min="14473" max="14473" width="17.85546875" style="12" customWidth="1"/>
    <col min="14474" max="14477" width="1" style="12" customWidth="1"/>
    <col min="14478" max="14478" width="14.42578125" style="12" customWidth="1"/>
    <col min="14479" max="14480" width="1" style="12" customWidth="1"/>
    <col min="14481" max="14481" width="2" style="12" customWidth="1"/>
    <col min="14482" max="14482" width="3.85546875" style="12" customWidth="1"/>
    <col min="14483" max="14483" width="15.7109375" style="12" customWidth="1"/>
    <col min="14484" max="14484" width="13.42578125" style="12" bestFit="1" customWidth="1"/>
    <col min="14485" max="14485" width="13.85546875" style="12" customWidth="1"/>
    <col min="14486" max="14486" width="13.42578125" style="12" bestFit="1" customWidth="1"/>
    <col min="14487" max="14592" width="10" style="12"/>
    <col min="14593" max="14594" width="0" style="12" hidden="1" customWidth="1"/>
    <col min="14595" max="14595" width="1" style="12" customWidth="1"/>
    <col min="14596" max="14596" width="56" style="12" customWidth="1"/>
    <col min="14597" max="14598" width="1" style="12" customWidth="1"/>
    <col min="14599" max="14599" width="14.42578125" style="12" customWidth="1"/>
    <col min="14600" max="14601" width="1" style="12" customWidth="1"/>
    <col min="14602" max="14656" width="0" style="12" hidden="1" customWidth="1"/>
    <col min="14657" max="14658" width="1" style="12" customWidth="1"/>
    <col min="14659" max="14659" width="17.85546875" style="12" customWidth="1"/>
    <col min="14660" max="14663" width="1" style="12" customWidth="1"/>
    <col min="14664" max="14664" width="17.85546875" style="12" customWidth="1"/>
    <col min="14665" max="14668" width="1" style="12" customWidth="1"/>
    <col min="14669" max="14669" width="17.85546875" style="12" customWidth="1"/>
    <col min="14670" max="14671" width="1" style="12" customWidth="1"/>
    <col min="14672" max="14726" width="0" style="12" hidden="1" customWidth="1"/>
    <col min="14727" max="14728" width="1" style="12" customWidth="1"/>
    <col min="14729" max="14729" width="17.85546875" style="12" customWidth="1"/>
    <col min="14730" max="14733" width="1" style="12" customWidth="1"/>
    <col min="14734" max="14734" width="14.42578125" style="12" customWidth="1"/>
    <col min="14735" max="14736" width="1" style="12" customWidth="1"/>
    <col min="14737" max="14737" width="2" style="12" customWidth="1"/>
    <col min="14738" max="14738" width="3.85546875" style="12" customWidth="1"/>
    <col min="14739" max="14739" width="15.7109375" style="12" customWidth="1"/>
    <col min="14740" max="14740" width="13.42578125" style="12" bestFit="1" customWidth="1"/>
    <col min="14741" max="14741" width="13.85546875" style="12" customWidth="1"/>
    <col min="14742" max="14742" width="13.42578125" style="12" bestFit="1" customWidth="1"/>
    <col min="14743" max="14848" width="10" style="12"/>
    <col min="14849" max="14850" width="0" style="12" hidden="1" customWidth="1"/>
    <col min="14851" max="14851" width="1" style="12" customWidth="1"/>
    <col min="14852" max="14852" width="56" style="12" customWidth="1"/>
    <col min="14853" max="14854" width="1" style="12" customWidth="1"/>
    <col min="14855" max="14855" width="14.42578125" style="12" customWidth="1"/>
    <col min="14856" max="14857" width="1" style="12" customWidth="1"/>
    <col min="14858" max="14912" width="0" style="12" hidden="1" customWidth="1"/>
    <col min="14913" max="14914" width="1" style="12" customWidth="1"/>
    <col min="14915" max="14915" width="17.85546875" style="12" customWidth="1"/>
    <col min="14916" max="14919" width="1" style="12" customWidth="1"/>
    <col min="14920" max="14920" width="17.85546875" style="12" customWidth="1"/>
    <col min="14921" max="14924" width="1" style="12" customWidth="1"/>
    <col min="14925" max="14925" width="17.85546875" style="12" customWidth="1"/>
    <col min="14926" max="14927" width="1" style="12" customWidth="1"/>
    <col min="14928" max="14982" width="0" style="12" hidden="1" customWidth="1"/>
    <col min="14983" max="14984" width="1" style="12" customWidth="1"/>
    <col min="14985" max="14985" width="17.85546875" style="12" customWidth="1"/>
    <col min="14986" max="14989" width="1" style="12" customWidth="1"/>
    <col min="14990" max="14990" width="14.42578125" style="12" customWidth="1"/>
    <col min="14991" max="14992" width="1" style="12" customWidth="1"/>
    <col min="14993" max="14993" width="2" style="12" customWidth="1"/>
    <col min="14994" max="14994" width="3.85546875" style="12" customWidth="1"/>
    <col min="14995" max="14995" width="15.7109375" style="12" customWidth="1"/>
    <col min="14996" max="14996" width="13.42578125" style="12" bestFit="1" customWidth="1"/>
    <col min="14997" max="14997" width="13.85546875" style="12" customWidth="1"/>
    <col min="14998" max="14998" width="13.42578125" style="12" bestFit="1" customWidth="1"/>
    <col min="14999" max="15104" width="10" style="12"/>
    <col min="15105" max="15106" width="0" style="12" hidden="1" customWidth="1"/>
    <col min="15107" max="15107" width="1" style="12" customWidth="1"/>
    <col min="15108" max="15108" width="56" style="12" customWidth="1"/>
    <col min="15109" max="15110" width="1" style="12" customWidth="1"/>
    <col min="15111" max="15111" width="14.42578125" style="12" customWidth="1"/>
    <col min="15112" max="15113" width="1" style="12" customWidth="1"/>
    <col min="15114" max="15168" width="0" style="12" hidden="1" customWidth="1"/>
    <col min="15169" max="15170" width="1" style="12" customWidth="1"/>
    <col min="15171" max="15171" width="17.85546875" style="12" customWidth="1"/>
    <col min="15172" max="15175" width="1" style="12" customWidth="1"/>
    <col min="15176" max="15176" width="17.85546875" style="12" customWidth="1"/>
    <col min="15177" max="15180" width="1" style="12" customWidth="1"/>
    <col min="15181" max="15181" width="17.85546875" style="12" customWidth="1"/>
    <col min="15182" max="15183" width="1" style="12" customWidth="1"/>
    <col min="15184" max="15238" width="0" style="12" hidden="1" customWidth="1"/>
    <col min="15239" max="15240" width="1" style="12" customWidth="1"/>
    <col min="15241" max="15241" width="17.85546875" style="12" customWidth="1"/>
    <col min="15242" max="15245" width="1" style="12" customWidth="1"/>
    <col min="15246" max="15246" width="14.42578125" style="12" customWidth="1"/>
    <col min="15247" max="15248" width="1" style="12" customWidth="1"/>
    <col min="15249" max="15249" width="2" style="12" customWidth="1"/>
    <col min="15250" max="15250" width="3.85546875" style="12" customWidth="1"/>
    <col min="15251" max="15251" width="15.7109375" style="12" customWidth="1"/>
    <col min="15252" max="15252" width="13.42578125" style="12" bestFit="1" customWidth="1"/>
    <col min="15253" max="15253" width="13.85546875" style="12" customWidth="1"/>
    <col min="15254" max="15254" width="13.42578125" style="12" bestFit="1" customWidth="1"/>
    <col min="15255" max="15360" width="10" style="12"/>
    <col min="15361" max="15362" width="0" style="12" hidden="1" customWidth="1"/>
    <col min="15363" max="15363" width="1" style="12" customWidth="1"/>
    <col min="15364" max="15364" width="56" style="12" customWidth="1"/>
    <col min="15365" max="15366" width="1" style="12" customWidth="1"/>
    <col min="15367" max="15367" width="14.42578125" style="12" customWidth="1"/>
    <col min="15368" max="15369" width="1" style="12" customWidth="1"/>
    <col min="15370" max="15424" width="0" style="12" hidden="1" customWidth="1"/>
    <col min="15425" max="15426" width="1" style="12" customWidth="1"/>
    <col min="15427" max="15427" width="17.85546875" style="12" customWidth="1"/>
    <col min="15428" max="15431" width="1" style="12" customWidth="1"/>
    <col min="15432" max="15432" width="17.85546875" style="12" customWidth="1"/>
    <col min="15433" max="15436" width="1" style="12" customWidth="1"/>
    <col min="15437" max="15437" width="17.85546875" style="12" customWidth="1"/>
    <col min="15438" max="15439" width="1" style="12" customWidth="1"/>
    <col min="15440" max="15494" width="0" style="12" hidden="1" customWidth="1"/>
    <col min="15495" max="15496" width="1" style="12" customWidth="1"/>
    <col min="15497" max="15497" width="17.85546875" style="12" customWidth="1"/>
    <col min="15498" max="15501" width="1" style="12" customWidth="1"/>
    <col min="15502" max="15502" width="14.42578125" style="12" customWidth="1"/>
    <col min="15503" max="15504" width="1" style="12" customWidth="1"/>
    <col min="15505" max="15505" width="2" style="12" customWidth="1"/>
    <col min="15506" max="15506" width="3.85546875" style="12" customWidth="1"/>
    <col min="15507" max="15507" width="15.7109375" style="12" customWidth="1"/>
    <col min="15508" max="15508" width="13.42578125" style="12" bestFit="1" customWidth="1"/>
    <col min="15509" max="15509" width="13.85546875" style="12" customWidth="1"/>
    <col min="15510" max="15510" width="13.42578125" style="12" bestFit="1" customWidth="1"/>
    <col min="15511" max="15616" width="10" style="12"/>
    <col min="15617" max="15618" width="0" style="12" hidden="1" customWidth="1"/>
    <col min="15619" max="15619" width="1" style="12" customWidth="1"/>
    <col min="15620" max="15620" width="56" style="12" customWidth="1"/>
    <col min="15621" max="15622" width="1" style="12" customWidth="1"/>
    <col min="15623" max="15623" width="14.42578125" style="12" customWidth="1"/>
    <col min="15624" max="15625" width="1" style="12" customWidth="1"/>
    <col min="15626" max="15680" width="0" style="12" hidden="1" customWidth="1"/>
    <col min="15681" max="15682" width="1" style="12" customWidth="1"/>
    <col min="15683" max="15683" width="17.85546875" style="12" customWidth="1"/>
    <col min="15684" max="15687" width="1" style="12" customWidth="1"/>
    <col min="15688" max="15688" width="17.85546875" style="12" customWidth="1"/>
    <col min="15689" max="15692" width="1" style="12" customWidth="1"/>
    <col min="15693" max="15693" width="17.85546875" style="12" customWidth="1"/>
    <col min="15694" max="15695" width="1" style="12" customWidth="1"/>
    <col min="15696" max="15750" width="0" style="12" hidden="1" customWidth="1"/>
    <col min="15751" max="15752" width="1" style="12" customWidth="1"/>
    <col min="15753" max="15753" width="17.85546875" style="12" customWidth="1"/>
    <col min="15754" max="15757" width="1" style="12" customWidth="1"/>
    <col min="15758" max="15758" width="14.42578125" style="12" customWidth="1"/>
    <col min="15759" max="15760" width="1" style="12" customWidth="1"/>
    <col min="15761" max="15761" width="2" style="12" customWidth="1"/>
    <col min="15762" max="15762" width="3.85546875" style="12" customWidth="1"/>
    <col min="15763" max="15763" width="15.7109375" style="12" customWidth="1"/>
    <col min="15764" max="15764" width="13.42578125" style="12" bestFit="1" customWidth="1"/>
    <col min="15765" max="15765" width="13.85546875" style="12" customWidth="1"/>
    <col min="15766" max="15766" width="13.42578125" style="12" bestFit="1" customWidth="1"/>
    <col min="15767" max="15872" width="10" style="12"/>
    <col min="15873" max="15874" width="0" style="12" hidden="1" customWidth="1"/>
    <col min="15875" max="15875" width="1" style="12" customWidth="1"/>
    <col min="15876" max="15876" width="56" style="12" customWidth="1"/>
    <col min="15877" max="15878" width="1" style="12" customWidth="1"/>
    <col min="15879" max="15879" width="14.42578125" style="12" customWidth="1"/>
    <col min="15880" max="15881" width="1" style="12" customWidth="1"/>
    <col min="15882" max="15936" width="0" style="12" hidden="1" customWidth="1"/>
    <col min="15937" max="15938" width="1" style="12" customWidth="1"/>
    <col min="15939" max="15939" width="17.85546875" style="12" customWidth="1"/>
    <col min="15940" max="15943" width="1" style="12" customWidth="1"/>
    <col min="15944" max="15944" width="17.85546875" style="12" customWidth="1"/>
    <col min="15945" max="15948" width="1" style="12" customWidth="1"/>
    <col min="15949" max="15949" width="17.85546875" style="12" customWidth="1"/>
    <col min="15950" max="15951" width="1" style="12" customWidth="1"/>
    <col min="15952" max="16006" width="0" style="12" hidden="1" customWidth="1"/>
    <col min="16007" max="16008" width="1" style="12" customWidth="1"/>
    <col min="16009" max="16009" width="17.85546875" style="12" customWidth="1"/>
    <col min="16010" max="16013" width="1" style="12" customWidth="1"/>
    <col min="16014" max="16014" width="14.42578125" style="12" customWidth="1"/>
    <col min="16015" max="16016" width="1" style="12" customWidth="1"/>
    <col min="16017" max="16017" width="2" style="12" customWidth="1"/>
    <col min="16018" max="16018" width="3.85546875" style="12" customWidth="1"/>
    <col min="16019" max="16019" width="15.7109375" style="12" customWidth="1"/>
    <col min="16020" max="16020" width="13.42578125" style="12" bestFit="1" customWidth="1"/>
    <col min="16021" max="16021" width="13.85546875" style="12" customWidth="1"/>
    <col min="16022" max="16022" width="13.42578125" style="12" bestFit="1" customWidth="1"/>
    <col min="16023" max="16128" width="10" style="12"/>
    <col min="16129" max="16130" width="0" style="12" hidden="1" customWidth="1"/>
    <col min="16131" max="16131" width="1" style="12" customWidth="1"/>
    <col min="16132" max="16132" width="56" style="12" customWidth="1"/>
    <col min="16133" max="16134" width="1" style="12" customWidth="1"/>
    <col min="16135" max="16135" width="14.42578125" style="12" customWidth="1"/>
    <col min="16136" max="16137" width="1" style="12" customWidth="1"/>
    <col min="16138" max="16192" width="0" style="12" hidden="1" customWidth="1"/>
    <col min="16193" max="16194" width="1" style="12" customWidth="1"/>
    <col min="16195" max="16195" width="17.85546875" style="12" customWidth="1"/>
    <col min="16196" max="16199" width="1" style="12" customWidth="1"/>
    <col min="16200" max="16200" width="17.85546875" style="12" customWidth="1"/>
    <col min="16201" max="16204" width="1" style="12" customWidth="1"/>
    <col min="16205" max="16205" width="17.85546875" style="12" customWidth="1"/>
    <col min="16206" max="16207" width="1" style="12" customWidth="1"/>
    <col min="16208" max="16262" width="0" style="12" hidden="1" customWidth="1"/>
    <col min="16263" max="16264" width="1" style="12" customWidth="1"/>
    <col min="16265" max="16265" width="17.85546875" style="12" customWidth="1"/>
    <col min="16266" max="16269" width="1" style="12" customWidth="1"/>
    <col min="16270" max="16270" width="14.42578125" style="12" customWidth="1"/>
    <col min="16271" max="16272" width="1" style="12" customWidth="1"/>
    <col min="16273" max="16273" width="2" style="12" customWidth="1"/>
    <col min="16274" max="16274" width="3.85546875" style="12" customWidth="1"/>
    <col min="16275" max="16275" width="15.7109375" style="12" customWidth="1"/>
    <col min="16276" max="16276" width="13.42578125" style="12" bestFit="1" customWidth="1"/>
    <col min="16277" max="16277" width="13.85546875" style="12" customWidth="1"/>
    <col min="16278" max="16278" width="13.42578125" style="12" bestFit="1" customWidth="1"/>
    <col min="16279" max="16384" width="10" style="12"/>
  </cols>
  <sheetData>
    <row r="1" spans="4:150" x14ac:dyDescent="0.2">
      <c r="E1" s="12"/>
      <c r="M1" s="12">
        <f>1770000000+11234076861+1105000000</f>
        <v>14109076861</v>
      </c>
    </row>
    <row r="2" spans="4:150" ht="15.75" x14ac:dyDescent="0.25">
      <c r="D2" s="87" t="s">
        <v>333</v>
      </c>
      <c r="E2" s="87">
        <v>0</v>
      </c>
      <c r="F2" s="87"/>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EJ2" s="90"/>
      <c r="EK2" s="90"/>
      <c r="EL2" s="90"/>
      <c r="EM2" s="90"/>
      <c r="EN2" s="90"/>
    </row>
    <row r="3" spans="4:150" ht="15" customHeight="1" x14ac:dyDescent="0.25">
      <c r="D3" s="484"/>
      <c r="E3" s="286">
        <v>0</v>
      </c>
      <c r="F3" s="392"/>
      <c r="G3" s="200" t="str">
        <f>[51]summary!H8</f>
        <v>2020/21</v>
      </c>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183"/>
      <c r="BV3" s="183"/>
      <c r="BW3" s="339"/>
      <c r="BX3" s="183"/>
      <c r="BY3" s="441" t="str">
        <f>[51]summary!BZ8</f>
        <v>2019/20</v>
      </c>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X3" s="441"/>
      <c r="CY3" s="441"/>
      <c r="CZ3" s="441"/>
      <c r="DA3" s="441"/>
      <c r="DB3" s="441"/>
      <c r="DC3" s="441"/>
      <c r="DD3" s="441"/>
      <c r="DE3" s="441"/>
      <c r="DF3" s="441"/>
      <c r="DG3" s="441"/>
      <c r="DH3" s="441"/>
      <c r="DI3" s="441"/>
      <c r="DJ3" s="441"/>
      <c r="DK3" s="441"/>
      <c r="DL3" s="441"/>
      <c r="DM3" s="441"/>
      <c r="DN3" s="441"/>
      <c r="DO3" s="441"/>
      <c r="DP3" s="441"/>
      <c r="DQ3" s="441"/>
      <c r="DR3" s="441"/>
      <c r="DS3" s="441"/>
      <c r="DT3" s="441"/>
      <c r="DU3" s="441"/>
      <c r="DV3" s="441"/>
      <c r="DW3" s="441"/>
      <c r="DX3" s="441"/>
      <c r="DY3" s="441"/>
      <c r="DZ3" s="441"/>
      <c r="EA3" s="441"/>
      <c r="EB3" s="441"/>
      <c r="EC3" s="441"/>
      <c r="ED3" s="441"/>
      <c r="EE3" s="441"/>
      <c r="EF3" s="441"/>
      <c r="EG3" s="441"/>
      <c r="EH3" s="441"/>
      <c r="EI3" s="441"/>
      <c r="EJ3" s="441"/>
      <c r="EK3" s="441"/>
      <c r="EL3" s="441"/>
      <c r="EM3" s="236"/>
      <c r="EN3" s="137"/>
      <c r="EO3" s="244"/>
    </row>
    <row r="4" spans="4:150" ht="18" customHeight="1" x14ac:dyDescent="0.2">
      <c r="D4" s="244"/>
      <c r="E4" s="82">
        <v>0</v>
      </c>
      <c r="G4" s="20" t="str">
        <f>[51]summary!H9</f>
        <v>Revised</v>
      </c>
      <c r="H4" s="20"/>
      <c r="I4" s="20"/>
      <c r="J4" s="337"/>
      <c r="K4" s="20"/>
      <c r="L4" s="20" t="s">
        <v>3</v>
      </c>
      <c r="M4" s="20"/>
      <c r="N4" s="20"/>
      <c r="O4" s="337"/>
      <c r="P4" s="20"/>
      <c r="Q4" s="20" t="s">
        <v>4</v>
      </c>
      <c r="R4" s="20"/>
      <c r="S4" s="20"/>
      <c r="T4" s="337"/>
      <c r="U4" s="20"/>
      <c r="V4" s="20" t="s">
        <v>5</v>
      </c>
      <c r="W4" s="20"/>
      <c r="X4" s="20"/>
      <c r="Y4" s="337"/>
      <c r="Z4" s="20"/>
      <c r="AA4" s="20" t="s">
        <v>6</v>
      </c>
      <c r="AB4" s="20"/>
      <c r="AC4" s="20"/>
      <c r="AD4" s="337"/>
      <c r="AE4" s="20"/>
      <c r="AF4" s="20" t="s">
        <v>7</v>
      </c>
      <c r="AG4" s="20"/>
      <c r="AH4" s="20"/>
      <c r="AI4" s="337"/>
      <c r="AJ4" s="20"/>
      <c r="AK4" s="20" t="s">
        <v>8</v>
      </c>
      <c r="AL4" s="20"/>
      <c r="AM4" s="20"/>
      <c r="AN4" s="337"/>
      <c r="AO4" s="20"/>
      <c r="AP4" s="20" t="s">
        <v>9</v>
      </c>
      <c r="AQ4" s="20"/>
      <c r="AR4" s="20"/>
      <c r="AS4" s="337"/>
      <c r="AT4" s="20"/>
      <c r="AU4" s="20" t="s">
        <v>10</v>
      </c>
      <c r="AV4" s="20"/>
      <c r="AW4" s="20"/>
      <c r="AX4" s="337"/>
      <c r="AY4" s="20"/>
      <c r="AZ4" s="20" t="s">
        <v>11</v>
      </c>
      <c r="BA4" s="20"/>
      <c r="BB4" s="20"/>
      <c r="BC4" s="337"/>
      <c r="BD4" s="20"/>
      <c r="BE4" s="20" t="s">
        <v>12</v>
      </c>
      <c r="BF4" s="20"/>
      <c r="BG4" s="20"/>
      <c r="BH4" s="337"/>
      <c r="BI4" s="20"/>
      <c r="BJ4" s="20" t="s">
        <v>13</v>
      </c>
      <c r="BK4" s="20"/>
      <c r="BL4" s="20"/>
      <c r="BM4" s="337"/>
      <c r="BN4" s="20"/>
      <c r="BO4" s="20" t="s">
        <v>14</v>
      </c>
      <c r="BP4" s="20"/>
      <c r="BQ4" s="20"/>
      <c r="BR4" s="337"/>
      <c r="BS4" s="20"/>
      <c r="BT4" s="20" t="s">
        <v>15</v>
      </c>
      <c r="BU4" s="20"/>
      <c r="BV4" s="20"/>
      <c r="BW4" s="337"/>
      <c r="BX4" s="439"/>
      <c r="BY4" s="20" t="str">
        <f>[51]summary!BZ9</f>
        <v>Audited</v>
      </c>
      <c r="BZ4" s="20"/>
      <c r="CA4" s="20"/>
      <c r="CB4" s="337"/>
      <c r="CC4" s="20"/>
      <c r="CD4" s="20" t="s">
        <v>3</v>
      </c>
      <c r="CE4" s="20"/>
      <c r="CF4" s="20"/>
      <c r="CG4" s="337"/>
      <c r="CH4" s="20"/>
      <c r="CI4" s="20" t="s">
        <v>4</v>
      </c>
      <c r="CJ4" s="20"/>
      <c r="CK4" s="20"/>
      <c r="CL4" s="337"/>
      <c r="CM4" s="20"/>
      <c r="CN4" s="20" t="s">
        <v>5</v>
      </c>
      <c r="CO4" s="20"/>
      <c r="CP4" s="20"/>
      <c r="CQ4" s="337"/>
      <c r="CR4" s="20"/>
      <c r="CS4" s="20" t="s">
        <v>6</v>
      </c>
      <c r="CT4" s="20"/>
      <c r="CU4" s="20"/>
      <c r="CV4" s="337"/>
      <c r="CW4" s="20"/>
      <c r="CX4" s="20" t="s">
        <v>7</v>
      </c>
      <c r="CY4" s="20"/>
      <c r="CZ4" s="20"/>
      <c r="DA4" s="337"/>
      <c r="DB4" s="20"/>
      <c r="DC4" s="20" t="s">
        <v>8</v>
      </c>
      <c r="DD4" s="20"/>
      <c r="DE4" s="20"/>
      <c r="DF4" s="337"/>
      <c r="DG4" s="20"/>
      <c r="DH4" s="20" t="s">
        <v>9</v>
      </c>
      <c r="DI4" s="20"/>
      <c r="DJ4" s="20"/>
      <c r="DK4" s="337"/>
      <c r="DL4" s="20"/>
      <c r="DM4" s="20" t="s">
        <v>10</v>
      </c>
      <c r="DN4" s="20"/>
      <c r="DO4" s="20"/>
      <c r="DP4" s="337"/>
      <c r="DQ4" s="20"/>
      <c r="DR4" s="20" t="s">
        <v>11</v>
      </c>
      <c r="DS4" s="20"/>
      <c r="DT4" s="20"/>
      <c r="DU4" s="337"/>
      <c r="DV4" s="20"/>
      <c r="DW4" s="20" t="s">
        <v>12</v>
      </c>
      <c r="DX4" s="20"/>
      <c r="DY4" s="20"/>
      <c r="DZ4" s="337"/>
      <c r="EA4" s="20"/>
      <c r="EB4" s="20" t="s">
        <v>13</v>
      </c>
      <c r="EC4" s="20"/>
      <c r="ED4" s="20"/>
      <c r="EE4" s="337"/>
      <c r="EF4" s="439"/>
      <c r="EG4" s="439" t="s">
        <v>14</v>
      </c>
      <c r="EH4" s="439"/>
      <c r="EI4" s="190"/>
      <c r="EJ4" s="337"/>
      <c r="EK4" s="439"/>
      <c r="EL4" s="20" t="s">
        <v>15</v>
      </c>
      <c r="EM4" s="20"/>
      <c r="EN4" s="20"/>
      <c r="EO4" s="244"/>
    </row>
    <row r="5" spans="4:150" x14ac:dyDescent="0.2">
      <c r="D5" s="394" t="s">
        <v>17</v>
      </c>
      <c r="E5" s="312">
        <v>0</v>
      </c>
      <c r="F5" s="415"/>
      <c r="G5" s="405" t="s">
        <v>19</v>
      </c>
      <c r="H5" s="405"/>
      <c r="I5" s="405"/>
      <c r="J5" s="341"/>
      <c r="K5" s="405"/>
      <c r="L5" s="184"/>
      <c r="M5" s="184"/>
      <c r="N5" s="184"/>
      <c r="O5" s="211"/>
      <c r="P5" s="184"/>
      <c r="Q5" s="184"/>
      <c r="R5" s="184"/>
      <c r="S5" s="184"/>
      <c r="T5" s="211"/>
      <c r="U5" s="184"/>
      <c r="V5" s="184"/>
      <c r="W5" s="184"/>
      <c r="X5" s="184"/>
      <c r="Y5" s="211"/>
      <c r="Z5" s="184"/>
      <c r="AA5" s="184"/>
      <c r="AB5" s="184"/>
      <c r="AC5" s="184"/>
      <c r="AD5" s="211"/>
      <c r="AE5" s="184"/>
      <c r="AF5" s="184"/>
      <c r="AG5" s="184"/>
      <c r="AH5" s="184"/>
      <c r="AI5" s="211"/>
      <c r="AJ5" s="184"/>
      <c r="AK5" s="184"/>
      <c r="AL5" s="184"/>
      <c r="AM5" s="184"/>
      <c r="AN5" s="211"/>
      <c r="AO5" s="184"/>
      <c r="AP5" s="184"/>
      <c r="AQ5" s="184"/>
      <c r="AR5" s="184"/>
      <c r="AS5" s="211"/>
      <c r="AT5" s="184"/>
      <c r="AU5" s="184"/>
      <c r="AV5" s="184"/>
      <c r="AW5" s="184"/>
      <c r="AX5" s="211"/>
      <c r="AY5" s="184"/>
      <c r="AZ5" s="184"/>
      <c r="BA5" s="184"/>
      <c r="BB5" s="184"/>
      <c r="BC5" s="211"/>
      <c r="BD5" s="184"/>
      <c r="BE5" s="184"/>
      <c r="BF5" s="184"/>
      <c r="BG5" s="184"/>
      <c r="BH5" s="211"/>
      <c r="BI5" s="184"/>
      <c r="BJ5" s="184"/>
      <c r="BK5" s="184"/>
      <c r="BL5" s="184"/>
      <c r="BM5" s="211"/>
      <c r="BN5" s="184"/>
      <c r="BO5" s="184"/>
      <c r="BP5" s="184"/>
      <c r="BQ5" s="184"/>
      <c r="BR5" s="211"/>
      <c r="BS5" s="184"/>
      <c r="BT5" s="184"/>
      <c r="BU5" s="20"/>
      <c r="BV5" s="20"/>
      <c r="BW5" s="290"/>
      <c r="BX5" s="405"/>
      <c r="BY5" s="20" t="s">
        <v>34</v>
      </c>
      <c r="BZ5" s="20"/>
      <c r="CA5" s="20"/>
      <c r="CB5" s="290"/>
      <c r="CC5" s="20"/>
      <c r="CD5" s="20"/>
      <c r="CE5" s="20"/>
      <c r="CF5" s="20"/>
      <c r="CG5" s="290"/>
      <c r="CH5" s="20"/>
      <c r="CI5" s="20"/>
      <c r="CJ5" s="20"/>
      <c r="CK5" s="20"/>
      <c r="CL5" s="290"/>
      <c r="CM5" s="20"/>
      <c r="CN5" s="20"/>
      <c r="CO5" s="20"/>
      <c r="CP5" s="20"/>
      <c r="CQ5" s="290"/>
      <c r="CR5" s="20"/>
      <c r="CS5" s="20"/>
      <c r="CT5" s="20"/>
      <c r="CU5" s="20"/>
      <c r="CV5" s="290"/>
      <c r="CW5" s="20"/>
      <c r="CX5" s="20"/>
      <c r="CY5" s="20"/>
      <c r="CZ5" s="20"/>
      <c r="DA5" s="290"/>
      <c r="DB5" s="20"/>
      <c r="DC5" s="20"/>
      <c r="DD5" s="20"/>
      <c r="DE5" s="20"/>
      <c r="DF5" s="290"/>
      <c r="DG5" s="20"/>
      <c r="DH5" s="20"/>
      <c r="DI5" s="20"/>
      <c r="DJ5" s="20"/>
      <c r="DK5" s="290"/>
      <c r="DL5" s="20"/>
      <c r="DM5" s="20"/>
      <c r="DN5" s="20"/>
      <c r="DO5" s="20"/>
      <c r="DP5" s="290"/>
      <c r="DQ5" s="20"/>
      <c r="DR5" s="20"/>
      <c r="DS5" s="20"/>
      <c r="DT5" s="20"/>
      <c r="DU5" s="290"/>
      <c r="DV5" s="20"/>
      <c r="DW5" s="20"/>
      <c r="DX5" s="20"/>
      <c r="DY5" s="20"/>
      <c r="DZ5" s="290"/>
      <c r="EA5" s="20"/>
      <c r="EB5" s="20"/>
      <c r="EC5" s="20"/>
      <c r="ED5" s="20"/>
      <c r="EE5" s="290"/>
      <c r="EF5" s="20"/>
      <c r="EG5" s="20"/>
      <c r="EH5" s="20"/>
      <c r="EI5" s="466"/>
      <c r="EJ5" s="341"/>
      <c r="EK5" s="20"/>
      <c r="EL5" s="20"/>
      <c r="EM5" s="20"/>
      <c r="EN5" s="20"/>
      <c r="EO5" s="244"/>
    </row>
    <row r="6" spans="4:150" x14ac:dyDescent="0.2">
      <c r="D6" s="366"/>
      <c r="E6" s="388"/>
      <c r="F6" s="467"/>
      <c r="G6" s="467"/>
      <c r="H6" s="467"/>
      <c r="I6" s="467"/>
      <c r="J6" s="388"/>
      <c r="K6" s="467"/>
      <c r="L6" s="467"/>
      <c r="M6" s="467"/>
      <c r="N6" s="467"/>
      <c r="O6" s="388"/>
      <c r="P6" s="467"/>
      <c r="Q6" s="467"/>
      <c r="R6" s="467"/>
      <c r="S6" s="467"/>
      <c r="T6" s="388"/>
      <c r="U6" s="467"/>
      <c r="V6" s="467"/>
      <c r="W6" s="467"/>
      <c r="X6" s="467"/>
      <c r="Y6" s="388"/>
      <c r="Z6" s="467"/>
      <c r="AA6" s="467"/>
      <c r="AB6" s="467"/>
      <c r="AC6" s="467"/>
      <c r="AD6" s="388"/>
      <c r="AE6" s="467"/>
      <c r="AF6" s="467"/>
      <c r="AG6" s="467"/>
      <c r="AH6" s="467"/>
      <c r="AI6" s="388"/>
      <c r="AJ6" s="467"/>
      <c r="AK6" s="467"/>
      <c r="AL6" s="467"/>
      <c r="AM6" s="467"/>
      <c r="AN6" s="388"/>
      <c r="AO6" s="467"/>
      <c r="AP6" s="467"/>
      <c r="AQ6" s="467"/>
      <c r="AR6" s="467"/>
      <c r="AS6" s="388"/>
      <c r="AT6" s="467"/>
      <c r="AU6" s="467"/>
      <c r="AV6" s="467"/>
      <c r="AW6" s="467"/>
      <c r="AX6" s="388"/>
      <c r="AY6" s="467"/>
      <c r="AZ6" s="467"/>
      <c r="BA6" s="467"/>
      <c r="BB6" s="467"/>
      <c r="BC6" s="388"/>
      <c r="BD6" s="467"/>
      <c r="BE6" s="467"/>
      <c r="BF6" s="467"/>
      <c r="BG6" s="467"/>
      <c r="BH6" s="388"/>
      <c r="BI6" s="467"/>
      <c r="BJ6" s="467"/>
      <c r="BK6" s="467"/>
      <c r="BL6" s="93"/>
      <c r="BM6" s="388"/>
      <c r="BN6" s="467"/>
      <c r="BO6" s="467"/>
      <c r="BP6" s="467"/>
      <c r="BQ6" s="467"/>
      <c r="BR6" s="388"/>
      <c r="BS6" s="93"/>
      <c r="BT6" s="457"/>
      <c r="BU6" s="457"/>
      <c r="BV6" s="457"/>
      <c r="BW6" s="112"/>
      <c r="BX6" s="457"/>
      <c r="BY6" s="467"/>
      <c r="BZ6" s="467"/>
      <c r="CA6" s="467"/>
      <c r="CB6" s="388"/>
      <c r="CC6" s="467"/>
      <c r="CD6" s="467"/>
      <c r="CE6" s="467"/>
      <c r="CF6" s="467"/>
      <c r="CG6" s="388"/>
      <c r="CH6" s="467"/>
      <c r="CI6" s="467"/>
      <c r="CJ6" s="467"/>
      <c r="CK6" s="467"/>
      <c r="CL6" s="388"/>
      <c r="CM6" s="467"/>
      <c r="CN6" s="467"/>
      <c r="CO6" s="467"/>
      <c r="CP6" s="467"/>
      <c r="CQ6" s="388"/>
      <c r="CR6" s="467"/>
      <c r="CS6" s="467"/>
      <c r="CT6" s="467"/>
      <c r="CU6" s="467"/>
      <c r="CV6" s="388"/>
      <c r="CW6" s="467"/>
      <c r="CX6" s="467"/>
      <c r="CY6" s="467"/>
      <c r="CZ6" s="467"/>
      <c r="DA6" s="388"/>
      <c r="DB6" s="467"/>
      <c r="DC6" s="467"/>
      <c r="DD6" s="467"/>
      <c r="DE6" s="467"/>
      <c r="DF6" s="388"/>
      <c r="DG6" s="467"/>
      <c r="DH6" s="467"/>
      <c r="DI6" s="467"/>
      <c r="DJ6" s="467"/>
      <c r="DK6" s="388"/>
      <c r="DL6" s="467"/>
      <c r="DM6" s="467"/>
      <c r="DN6" s="467"/>
      <c r="DO6" s="467"/>
      <c r="DP6" s="388"/>
      <c r="DQ6" s="467"/>
      <c r="DR6" s="467"/>
      <c r="DS6" s="467"/>
      <c r="DT6" s="467"/>
      <c r="DU6" s="388"/>
      <c r="DV6" s="467"/>
      <c r="DW6" s="467"/>
      <c r="DX6" s="467"/>
      <c r="DY6" s="467"/>
      <c r="DZ6" s="388"/>
      <c r="EA6" s="467"/>
      <c r="EB6" s="467"/>
      <c r="EC6" s="467"/>
      <c r="ED6" s="467"/>
      <c r="EE6" s="388"/>
      <c r="EF6" s="467"/>
      <c r="EG6" s="467"/>
      <c r="EH6" s="467"/>
      <c r="EI6" s="467"/>
      <c r="EJ6" s="122"/>
      <c r="EK6" s="467"/>
      <c r="EL6" s="457"/>
      <c r="EM6" s="457"/>
      <c r="EN6" s="264"/>
      <c r="EO6" s="244"/>
    </row>
    <row r="7" spans="4:150" s="451" customFormat="1" x14ac:dyDescent="0.2">
      <c r="D7" s="484" t="s">
        <v>334</v>
      </c>
      <c r="E7" s="138"/>
      <c r="G7" s="165">
        <f>SUM(G8:G11)</f>
        <v>597295196</v>
      </c>
      <c r="H7" s="283"/>
      <c r="I7" s="283"/>
      <c r="J7" s="83"/>
      <c r="K7" s="283"/>
      <c r="L7" s="283">
        <f>SUM(L8:L11)</f>
        <v>38837955</v>
      </c>
      <c r="M7" s="283"/>
      <c r="N7" s="283"/>
      <c r="O7" s="83"/>
      <c r="P7" s="283"/>
      <c r="Q7" s="283">
        <f>SUM(Q8:Q11)</f>
        <v>45060969.743999995</v>
      </c>
      <c r="R7" s="283"/>
      <c r="S7" s="283"/>
      <c r="T7" s="83"/>
      <c r="U7" s="283"/>
      <c r="V7" s="283">
        <f>SUM(V8:V11)</f>
        <v>49629337</v>
      </c>
      <c r="W7" s="283"/>
      <c r="X7" s="283"/>
      <c r="Y7" s="83"/>
      <c r="Z7" s="283"/>
      <c r="AA7" s="283">
        <f>SUM(AA8:AA11)</f>
        <v>69933031</v>
      </c>
      <c r="AB7" s="283"/>
      <c r="AC7" s="283"/>
      <c r="AD7" s="83"/>
      <c r="AE7" s="283"/>
      <c r="AF7" s="283">
        <f>SUM(AF8:AF11)</f>
        <v>44360549</v>
      </c>
      <c r="AG7" s="283"/>
      <c r="AH7" s="283"/>
      <c r="AI7" s="83"/>
      <c r="AJ7" s="283"/>
      <c r="AK7" s="283">
        <f>SUM(AK8:AK11)</f>
        <v>61505395</v>
      </c>
      <c r="AL7" s="283"/>
      <c r="AM7" s="283"/>
      <c r="AN7" s="83"/>
      <c r="AO7" s="283"/>
      <c r="AP7" s="283">
        <f>SUM(AP8:AP11)</f>
        <v>59931421</v>
      </c>
      <c r="AQ7" s="283"/>
      <c r="AR7" s="283"/>
      <c r="AS7" s="83"/>
      <c r="AT7" s="283"/>
      <c r="AU7" s="283">
        <f>SUM(AU8:AU11)</f>
        <v>46720787</v>
      </c>
      <c r="AV7" s="283"/>
      <c r="AW7" s="283"/>
      <c r="AX7" s="83"/>
      <c r="AY7" s="283"/>
      <c r="AZ7" s="283">
        <f>SUM(AZ8:AZ11)</f>
        <v>52395859</v>
      </c>
      <c r="BA7" s="283"/>
      <c r="BB7" s="283"/>
      <c r="BC7" s="83"/>
      <c r="BD7" s="283"/>
      <c r="BE7" s="283">
        <f>SUM(BE8:BE11)</f>
        <v>39193318</v>
      </c>
      <c r="BF7" s="283"/>
      <c r="BG7" s="283"/>
      <c r="BH7" s="83"/>
      <c r="BI7" s="283"/>
      <c r="BJ7" s="283">
        <f>SUM(BJ8:BJ11)</f>
        <v>58255911</v>
      </c>
      <c r="BK7" s="283"/>
      <c r="BL7" s="283"/>
      <c r="BM7" s="83"/>
      <c r="BN7" s="283"/>
      <c r="BO7" s="283">
        <f>SUM(BO8:BO11)</f>
        <v>51412528</v>
      </c>
      <c r="BP7" s="283"/>
      <c r="BQ7" s="283"/>
      <c r="BR7" s="83"/>
      <c r="BS7" s="283"/>
      <c r="BT7" s="283">
        <f>SUM(BT8:BT11)</f>
        <v>617237060.74399996</v>
      </c>
      <c r="BU7" s="283"/>
      <c r="BV7" s="283"/>
      <c r="BW7" s="83"/>
      <c r="BX7" s="283"/>
      <c r="BY7" s="283">
        <f>SUM(BY8:BY11)</f>
        <v>354031487</v>
      </c>
      <c r="BZ7" s="283"/>
      <c r="CA7" s="283"/>
      <c r="CB7" s="83"/>
      <c r="CC7" s="283"/>
      <c r="CD7" s="283">
        <f>SUM(CD8:CD11)</f>
        <v>23835565</v>
      </c>
      <c r="CE7" s="283"/>
      <c r="CF7" s="283"/>
      <c r="CG7" s="83"/>
      <c r="CH7" s="283"/>
      <c r="CI7" s="283">
        <f>SUM(CI8:CI11)</f>
        <v>40731907</v>
      </c>
      <c r="CJ7" s="283"/>
      <c r="CK7" s="283"/>
      <c r="CL7" s="83"/>
      <c r="CM7" s="283"/>
      <c r="CN7" s="283">
        <f>SUM(CN8:CN11)</f>
        <v>21124207</v>
      </c>
      <c r="CO7" s="283"/>
      <c r="CP7" s="283"/>
      <c r="CQ7" s="83"/>
      <c r="CR7" s="283"/>
      <c r="CS7" s="283">
        <f>SUM(CS8:CS11)</f>
        <v>24760828</v>
      </c>
      <c r="CT7" s="283"/>
      <c r="CU7" s="283"/>
      <c r="CV7" s="83"/>
      <c r="CW7" s="283"/>
      <c r="CX7" s="283">
        <f>SUM(CX8:CX11)</f>
        <v>31193951</v>
      </c>
      <c r="CY7" s="283"/>
      <c r="CZ7" s="283"/>
      <c r="DA7" s="83"/>
      <c r="DB7" s="283"/>
      <c r="DC7" s="283">
        <f>SUM(DC8:DC11)</f>
        <v>32324457</v>
      </c>
      <c r="DD7" s="283"/>
      <c r="DE7" s="283"/>
      <c r="DF7" s="83"/>
      <c r="DG7" s="283"/>
      <c r="DH7" s="283">
        <f>SUM(DH8:DH11)</f>
        <v>33970885</v>
      </c>
      <c r="DI7" s="283"/>
      <c r="DJ7" s="283"/>
      <c r="DK7" s="83"/>
      <c r="DL7" s="283"/>
      <c r="DM7" s="283">
        <f>SUM(DM8:DM11)</f>
        <v>34652962</v>
      </c>
      <c r="DN7" s="283"/>
      <c r="DO7" s="283"/>
      <c r="DP7" s="83"/>
      <c r="DQ7" s="283"/>
      <c r="DR7" s="283">
        <f>SUM(DR8:DR11)</f>
        <v>26476333</v>
      </c>
      <c r="DS7" s="283"/>
      <c r="DT7" s="283"/>
      <c r="DU7" s="83"/>
      <c r="DV7" s="283"/>
      <c r="DW7" s="283">
        <f>SUM(DW8:DW11)</f>
        <v>21562772</v>
      </c>
      <c r="DX7" s="283"/>
      <c r="DY7" s="283"/>
      <c r="DZ7" s="83"/>
      <c r="EA7" s="283"/>
      <c r="EB7" s="283">
        <f>SUM(EB8:EB11)</f>
        <v>32267535</v>
      </c>
      <c r="EC7" s="283"/>
      <c r="ED7" s="283"/>
      <c r="EE7" s="83"/>
      <c r="EF7" s="283"/>
      <c r="EG7" s="283">
        <f>SUM(EG8:EG11)</f>
        <v>31130085</v>
      </c>
      <c r="EH7" s="283"/>
      <c r="EI7" s="283"/>
      <c r="EJ7" s="83"/>
      <c r="EK7" s="283"/>
      <c r="EL7" s="283">
        <f>SUM(EL8:EL11)</f>
        <v>354031487</v>
      </c>
      <c r="EM7" s="283"/>
      <c r="EN7" s="283"/>
      <c r="EO7" s="484"/>
    </row>
    <row r="8" spans="4:150" x14ac:dyDescent="0.2">
      <c r="D8" s="244" t="s">
        <v>335</v>
      </c>
      <c r="F8" s="112"/>
      <c r="G8" s="111">
        <f>+G13</f>
        <v>591023575</v>
      </c>
      <c r="H8" s="296"/>
      <c r="I8" s="93"/>
      <c r="J8" s="122"/>
      <c r="K8" s="388"/>
      <c r="L8" s="467">
        <f>+L13</f>
        <v>38350619</v>
      </c>
      <c r="M8" s="296"/>
      <c r="N8" s="93"/>
      <c r="O8" s="122"/>
      <c r="P8" s="388"/>
      <c r="Q8" s="467">
        <f>+Q13</f>
        <v>45031287.743999995</v>
      </c>
      <c r="R8" s="296"/>
      <c r="S8" s="93"/>
      <c r="T8" s="122"/>
      <c r="U8" s="388"/>
      <c r="V8" s="467">
        <f>+V13</f>
        <v>49600848</v>
      </c>
      <c r="W8" s="296"/>
      <c r="X8" s="93"/>
      <c r="Y8" s="122"/>
      <c r="Z8" s="388"/>
      <c r="AA8" s="467">
        <f>+AA13</f>
        <v>69933031</v>
      </c>
      <c r="AB8" s="296"/>
      <c r="AC8" s="93"/>
      <c r="AD8" s="122"/>
      <c r="AE8" s="388"/>
      <c r="AF8" s="467">
        <f>+AF13</f>
        <v>44319358</v>
      </c>
      <c r="AG8" s="296"/>
      <c r="AH8" s="93"/>
      <c r="AI8" s="122"/>
      <c r="AJ8" s="388"/>
      <c r="AK8" s="467">
        <f>+AK13</f>
        <v>61486843</v>
      </c>
      <c r="AL8" s="296"/>
      <c r="AM8" s="93"/>
      <c r="AN8" s="122"/>
      <c r="AO8" s="388"/>
      <c r="AP8" s="467">
        <f>+AP13</f>
        <v>59931421</v>
      </c>
      <c r="AQ8" s="296"/>
      <c r="AR8" s="93"/>
      <c r="AS8" s="122"/>
      <c r="AT8" s="388"/>
      <c r="AU8" s="467">
        <f>+AU13</f>
        <v>46634910</v>
      </c>
      <c r="AV8" s="296"/>
      <c r="AW8" s="93"/>
      <c r="AX8" s="122"/>
      <c r="AY8" s="388"/>
      <c r="AZ8" s="467">
        <f>+AZ13</f>
        <v>52191398</v>
      </c>
      <c r="BA8" s="296"/>
      <c r="BB8" s="93"/>
      <c r="BC8" s="122"/>
      <c r="BD8" s="388"/>
      <c r="BE8" s="467">
        <f>+BE13</f>
        <v>39060638</v>
      </c>
      <c r="BF8" s="296"/>
      <c r="BG8" s="93"/>
      <c r="BH8" s="122"/>
      <c r="BI8" s="388"/>
      <c r="BJ8" s="467">
        <f>+BJ13</f>
        <v>49399464</v>
      </c>
      <c r="BK8" s="296"/>
      <c r="BL8" s="93"/>
      <c r="BM8" s="122"/>
      <c r="BN8" s="388"/>
      <c r="BO8" s="467">
        <f>+BO13</f>
        <v>48828037</v>
      </c>
      <c r="BP8" s="296"/>
      <c r="BQ8" s="93"/>
      <c r="BR8" s="122"/>
      <c r="BS8" s="388"/>
      <c r="BT8" s="467">
        <f>+BT13</f>
        <v>604767854.74399996</v>
      </c>
      <c r="BU8" s="296"/>
      <c r="BV8" s="93"/>
      <c r="BW8" s="122"/>
      <c r="BX8" s="388"/>
      <c r="BY8" s="467">
        <f>+BY13</f>
        <v>335517549</v>
      </c>
      <c r="BZ8" s="296"/>
      <c r="CA8" s="93"/>
      <c r="CB8" s="122"/>
      <c r="CC8" s="388"/>
      <c r="CD8" s="467">
        <f>+CD13</f>
        <v>20725876</v>
      </c>
      <c r="CE8" s="296"/>
      <c r="CF8" s="93"/>
      <c r="CG8" s="122"/>
      <c r="CH8" s="388"/>
      <c r="CI8" s="467">
        <f>+CI13</f>
        <v>26579251</v>
      </c>
      <c r="CJ8" s="296"/>
      <c r="CK8" s="93"/>
      <c r="CL8" s="122"/>
      <c r="CM8" s="388"/>
      <c r="CN8" s="467">
        <f>+CN13</f>
        <v>21124207</v>
      </c>
      <c r="CO8" s="296"/>
      <c r="CP8" s="93"/>
      <c r="CQ8" s="122"/>
      <c r="CR8" s="388"/>
      <c r="CS8" s="467">
        <f>+CS13</f>
        <v>24760828</v>
      </c>
      <c r="CT8" s="296"/>
      <c r="CU8" s="93"/>
      <c r="CV8" s="122"/>
      <c r="CW8" s="388"/>
      <c r="CX8" s="467">
        <f>+CX13</f>
        <v>30904734</v>
      </c>
      <c r="CY8" s="296"/>
      <c r="CZ8" s="93"/>
      <c r="DA8" s="122"/>
      <c r="DB8" s="388"/>
      <c r="DC8" s="467">
        <f>+DC13</f>
        <v>32089447</v>
      </c>
      <c r="DD8" s="296"/>
      <c r="DE8" s="93"/>
      <c r="DF8" s="122"/>
      <c r="DG8" s="388"/>
      <c r="DH8" s="467">
        <f>+DH13</f>
        <v>33970885</v>
      </c>
      <c r="DI8" s="296"/>
      <c r="DJ8" s="93"/>
      <c r="DK8" s="122"/>
      <c r="DL8" s="388"/>
      <c r="DM8" s="467">
        <f>+DM13</f>
        <v>34588835</v>
      </c>
      <c r="DN8" s="296"/>
      <c r="DO8" s="93"/>
      <c r="DP8" s="122"/>
      <c r="DQ8" s="388"/>
      <c r="DR8" s="467">
        <f>+DR13</f>
        <v>26476333</v>
      </c>
      <c r="DS8" s="296"/>
      <c r="DT8" s="93"/>
      <c r="DU8" s="122"/>
      <c r="DV8" s="388"/>
      <c r="DW8" s="467">
        <f>+DW13</f>
        <v>21562772</v>
      </c>
      <c r="DX8" s="296"/>
      <c r="DY8" s="93"/>
      <c r="DZ8" s="122"/>
      <c r="EA8" s="388"/>
      <c r="EB8" s="467">
        <f>+EB13</f>
        <v>32267535</v>
      </c>
      <c r="EC8" s="296"/>
      <c r="ED8" s="93"/>
      <c r="EE8" s="122"/>
      <c r="EF8" s="388"/>
      <c r="EG8" s="467">
        <f>+EG13</f>
        <v>30466846</v>
      </c>
      <c r="EH8" s="296"/>
      <c r="EI8" s="93"/>
      <c r="EJ8" s="122"/>
      <c r="EK8" s="388"/>
      <c r="EL8" s="467">
        <f>+EL13</f>
        <v>335517549</v>
      </c>
      <c r="EM8" s="296"/>
      <c r="EN8" s="93"/>
      <c r="EO8" s="244"/>
      <c r="ER8" s="451"/>
      <c r="ES8" s="451"/>
    </row>
    <row r="9" spans="4:150" x14ac:dyDescent="0.2">
      <c r="D9" s="244" t="s">
        <v>336</v>
      </c>
      <c r="F9" s="82"/>
      <c r="G9" s="401">
        <f>G210</f>
        <v>5243353</v>
      </c>
      <c r="H9" s="192"/>
      <c r="I9" s="93"/>
      <c r="J9" s="122"/>
      <c r="K9" s="122"/>
      <c r="L9" s="93">
        <f>L210</f>
        <v>0</v>
      </c>
      <c r="M9" s="192"/>
      <c r="N9" s="93"/>
      <c r="O9" s="122"/>
      <c r="P9" s="122"/>
      <c r="Q9" s="93">
        <f>Q210</f>
        <v>0</v>
      </c>
      <c r="R9" s="192"/>
      <c r="S9" s="93"/>
      <c r="T9" s="122"/>
      <c r="U9" s="122"/>
      <c r="V9" s="93">
        <f>V210</f>
        <v>0</v>
      </c>
      <c r="W9" s="192"/>
      <c r="X9" s="93"/>
      <c r="Y9" s="122"/>
      <c r="Z9" s="122"/>
      <c r="AA9" s="93">
        <f>AA210</f>
        <v>0</v>
      </c>
      <c r="AB9" s="192"/>
      <c r="AC9" s="93"/>
      <c r="AD9" s="122"/>
      <c r="AE9" s="122"/>
      <c r="AF9" s="93">
        <f>AF210</f>
        <v>0</v>
      </c>
      <c r="AG9" s="192"/>
      <c r="AH9" s="93"/>
      <c r="AI9" s="122"/>
      <c r="AJ9" s="122"/>
      <c r="AK9" s="93">
        <f>AK210</f>
        <v>0</v>
      </c>
      <c r="AL9" s="192"/>
      <c r="AM9" s="93"/>
      <c r="AN9" s="122"/>
      <c r="AO9" s="122"/>
      <c r="AP9" s="93">
        <f>AP210</f>
        <v>0</v>
      </c>
      <c r="AQ9" s="192"/>
      <c r="AR9" s="93"/>
      <c r="AS9" s="122"/>
      <c r="AT9" s="122"/>
      <c r="AU9" s="93">
        <f>AU210</f>
        <v>0</v>
      </c>
      <c r="AV9" s="192"/>
      <c r="AW9" s="93"/>
      <c r="AX9" s="122"/>
      <c r="AY9" s="122"/>
      <c r="AZ9" s="93">
        <f>AZ210</f>
        <v>0</v>
      </c>
      <c r="BA9" s="192"/>
      <c r="BB9" s="93"/>
      <c r="BC9" s="122"/>
      <c r="BD9" s="122"/>
      <c r="BE9" s="93">
        <f>BE210</f>
        <v>0</v>
      </c>
      <c r="BF9" s="192"/>
      <c r="BH9" s="122"/>
      <c r="BI9" s="122"/>
      <c r="BJ9" s="93">
        <f>BJ210</f>
        <v>7577210</v>
      </c>
      <c r="BK9" s="192"/>
      <c r="BL9" s="93"/>
      <c r="BM9" s="122"/>
      <c r="BN9" s="122"/>
      <c r="BO9" s="93">
        <f>BO210</f>
        <v>0</v>
      </c>
      <c r="BP9" s="192"/>
      <c r="BQ9" s="93"/>
      <c r="BR9" s="122"/>
      <c r="BS9" s="122"/>
      <c r="BT9" s="93">
        <f>BT210</f>
        <v>7577210</v>
      </c>
      <c r="BU9" s="192"/>
      <c r="BV9" s="93"/>
      <c r="BW9" s="122"/>
      <c r="BX9" s="122"/>
      <c r="BY9" s="93">
        <f>BY210</f>
        <v>14152656</v>
      </c>
      <c r="BZ9" s="192"/>
      <c r="CA9" s="93"/>
      <c r="CB9" s="122"/>
      <c r="CC9" s="122"/>
      <c r="CD9" s="93">
        <f>CD210</f>
        <v>0</v>
      </c>
      <c r="CE9" s="192"/>
      <c r="CF9" s="93"/>
      <c r="CG9" s="122"/>
      <c r="CH9" s="122"/>
      <c r="CI9" s="93">
        <f>CI210</f>
        <v>14152656</v>
      </c>
      <c r="CJ9" s="192"/>
      <c r="CK9" s="93"/>
      <c r="CL9" s="122"/>
      <c r="CM9" s="122"/>
      <c r="CN9" s="93">
        <f>CN210</f>
        <v>0</v>
      </c>
      <c r="CO9" s="192"/>
      <c r="CP9" s="93"/>
      <c r="CQ9" s="122"/>
      <c r="CR9" s="122"/>
      <c r="CS9" s="93">
        <f>CS210</f>
        <v>0</v>
      </c>
      <c r="CT9" s="192"/>
      <c r="CU9" s="93"/>
      <c r="CV9" s="122"/>
      <c r="CW9" s="122"/>
      <c r="CX9" s="93">
        <f>CX210</f>
        <v>0</v>
      </c>
      <c r="CY9" s="192"/>
      <c r="CZ9" s="93"/>
      <c r="DA9" s="122"/>
      <c r="DB9" s="122"/>
      <c r="DC9" s="93">
        <f>DC210</f>
        <v>0</v>
      </c>
      <c r="DD9" s="192"/>
      <c r="DE9" s="93"/>
      <c r="DF9" s="122"/>
      <c r="DG9" s="122"/>
      <c r="DH9" s="93">
        <f>DH210</f>
        <v>0</v>
      </c>
      <c r="DI9" s="192"/>
      <c r="DJ9" s="93"/>
      <c r="DK9" s="122"/>
      <c r="DL9" s="122"/>
      <c r="DM9" s="93">
        <f>DM210</f>
        <v>0</v>
      </c>
      <c r="DN9" s="192"/>
      <c r="DO9" s="93"/>
      <c r="DP9" s="122"/>
      <c r="DQ9" s="122"/>
      <c r="DR9" s="93">
        <f>DR210</f>
        <v>0</v>
      </c>
      <c r="DS9" s="192"/>
      <c r="DT9" s="93"/>
      <c r="DU9" s="122"/>
      <c r="DV9" s="122"/>
      <c r="DW9" s="93">
        <f>DW210</f>
        <v>0</v>
      </c>
      <c r="DX9" s="192"/>
      <c r="DZ9" s="122"/>
      <c r="EA9" s="122"/>
      <c r="EB9" s="93">
        <f>EB210</f>
        <v>0</v>
      </c>
      <c r="EC9" s="192"/>
      <c r="ED9" s="93"/>
      <c r="EE9" s="122"/>
      <c r="EF9" s="122"/>
      <c r="EG9" s="93">
        <f>EG210</f>
        <v>0</v>
      </c>
      <c r="EH9" s="192"/>
      <c r="EI9" s="93"/>
      <c r="EJ9" s="122"/>
      <c r="EK9" s="122"/>
      <c r="EL9" s="93">
        <f>EL210</f>
        <v>14152656</v>
      </c>
      <c r="EM9" s="192"/>
      <c r="EN9" s="93"/>
      <c r="EO9" s="244"/>
      <c r="ER9" s="451"/>
      <c r="ES9" s="451"/>
    </row>
    <row r="10" spans="4:150" x14ac:dyDescent="0.2">
      <c r="D10" s="244" t="s">
        <v>337</v>
      </c>
      <c r="F10" s="276"/>
      <c r="G10" s="349">
        <f>G278</f>
        <v>1028268</v>
      </c>
      <c r="H10" s="453"/>
      <c r="I10" s="93"/>
      <c r="J10" s="122"/>
      <c r="K10" s="204"/>
      <c r="L10" s="245">
        <f>L278</f>
        <v>487336</v>
      </c>
      <c r="M10" s="453"/>
      <c r="N10" s="93"/>
      <c r="O10" s="122"/>
      <c r="P10" s="204"/>
      <c r="Q10" s="245">
        <f>Q278</f>
        <v>29682</v>
      </c>
      <c r="R10" s="453"/>
      <c r="S10" s="93"/>
      <c r="T10" s="122"/>
      <c r="U10" s="204"/>
      <c r="V10" s="245">
        <f>V278</f>
        <v>28489</v>
      </c>
      <c r="W10" s="453"/>
      <c r="X10" s="93"/>
      <c r="Y10" s="122"/>
      <c r="Z10" s="204"/>
      <c r="AA10" s="245">
        <f>AA278</f>
        <v>0</v>
      </c>
      <c r="AB10" s="453"/>
      <c r="AC10" s="93"/>
      <c r="AD10" s="122"/>
      <c r="AE10" s="204"/>
      <c r="AF10" s="245">
        <f>AF278</f>
        <v>41191</v>
      </c>
      <c r="AG10" s="453"/>
      <c r="AH10" s="93"/>
      <c r="AI10" s="122"/>
      <c r="AJ10" s="204"/>
      <c r="AK10" s="245">
        <f>AK278</f>
        <v>18552</v>
      </c>
      <c r="AL10" s="453"/>
      <c r="AM10" s="93"/>
      <c r="AN10" s="122"/>
      <c r="AO10" s="204"/>
      <c r="AP10" s="245">
        <f>AP278</f>
        <v>0</v>
      </c>
      <c r="AQ10" s="453"/>
      <c r="AR10" s="93"/>
      <c r="AS10" s="122"/>
      <c r="AT10" s="204"/>
      <c r="AU10" s="245">
        <f>AU278</f>
        <v>85877</v>
      </c>
      <c r="AV10" s="453"/>
      <c r="AW10" s="93"/>
      <c r="AX10" s="122"/>
      <c r="AY10" s="204"/>
      <c r="AZ10" s="245">
        <f>AZ278</f>
        <v>204461</v>
      </c>
      <c r="BA10" s="453"/>
      <c r="BB10" s="93"/>
      <c r="BC10" s="122"/>
      <c r="BD10" s="204"/>
      <c r="BE10" s="245">
        <f>BE278</f>
        <v>132680</v>
      </c>
      <c r="BF10" s="453"/>
      <c r="BG10" s="93"/>
      <c r="BH10" s="122"/>
      <c r="BI10" s="204"/>
      <c r="BJ10" s="245">
        <f>BJ278</f>
        <v>1279237</v>
      </c>
      <c r="BK10" s="453"/>
      <c r="BL10" s="93"/>
      <c r="BM10" s="122"/>
      <c r="BN10" s="204"/>
      <c r="BO10" s="245">
        <f>BO278</f>
        <v>2584491</v>
      </c>
      <c r="BP10" s="453"/>
      <c r="BQ10" s="93"/>
      <c r="BR10" s="122"/>
      <c r="BS10" s="204"/>
      <c r="BT10" s="245">
        <f>BT278</f>
        <v>4891996</v>
      </c>
      <c r="BU10" s="453"/>
      <c r="BV10" s="93"/>
      <c r="BW10" s="122"/>
      <c r="BX10" s="204"/>
      <c r="BY10" s="245">
        <f>BY278</f>
        <v>4361282</v>
      </c>
      <c r="BZ10" s="453"/>
      <c r="CA10" s="93"/>
      <c r="CB10" s="122"/>
      <c r="CC10" s="204"/>
      <c r="CD10" s="245">
        <f>CD278</f>
        <v>3109689</v>
      </c>
      <c r="CE10" s="453"/>
      <c r="CF10" s="93"/>
      <c r="CG10" s="122"/>
      <c r="CH10" s="204"/>
      <c r="CI10" s="245">
        <f>CI278</f>
        <v>0</v>
      </c>
      <c r="CJ10" s="453"/>
      <c r="CK10" s="93"/>
      <c r="CL10" s="122"/>
      <c r="CM10" s="204"/>
      <c r="CN10" s="245">
        <f>CN278</f>
        <v>0</v>
      </c>
      <c r="CO10" s="453"/>
      <c r="CP10" s="93"/>
      <c r="CQ10" s="122"/>
      <c r="CR10" s="204"/>
      <c r="CS10" s="245">
        <f>CS278</f>
        <v>0</v>
      </c>
      <c r="CT10" s="453"/>
      <c r="CU10" s="93"/>
      <c r="CV10" s="122"/>
      <c r="CW10" s="204"/>
      <c r="CX10" s="245">
        <f>CX278</f>
        <v>289217</v>
      </c>
      <c r="CY10" s="453"/>
      <c r="CZ10" s="93"/>
      <c r="DA10" s="122"/>
      <c r="DB10" s="204"/>
      <c r="DC10" s="245">
        <f>DC278</f>
        <v>235010</v>
      </c>
      <c r="DD10" s="453"/>
      <c r="DE10" s="93"/>
      <c r="DF10" s="122"/>
      <c r="DG10" s="204"/>
      <c r="DH10" s="245">
        <f>DH278</f>
        <v>0</v>
      </c>
      <c r="DI10" s="453"/>
      <c r="DJ10" s="93"/>
      <c r="DK10" s="122"/>
      <c r="DL10" s="204"/>
      <c r="DM10" s="245">
        <f>DM278</f>
        <v>64127</v>
      </c>
      <c r="DN10" s="453"/>
      <c r="DO10" s="93"/>
      <c r="DP10" s="122"/>
      <c r="DQ10" s="204"/>
      <c r="DR10" s="245">
        <f>DR278</f>
        <v>0</v>
      </c>
      <c r="DS10" s="453"/>
      <c r="DT10" s="93"/>
      <c r="DU10" s="122"/>
      <c r="DV10" s="204"/>
      <c r="DW10" s="245">
        <f>DW278</f>
        <v>0</v>
      </c>
      <c r="DX10" s="453"/>
      <c r="DY10" s="93"/>
      <c r="DZ10" s="122"/>
      <c r="EA10" s="204"/>
      <c r="EB10" s="245">
        <f>EB278</f>
        <v>0</v>
      </c>
      <c r="EC10" s="453"/>
      <c r="ED10" s="93"/>
      <c r="EE10" s="122"/>
      <c r="EF10" s="204"/>
      <c r="EG10" s="245">
        <f>EG278</f>
        <v>663239</v>
      </c>
      <c r="EH10" s="453"/>
      <c r="EI10" s="93"/>
      <c r="EJ10" s="122"/>
      <c r="EK10" s="204"/>
      <c r="EL10" s="245">
        <f>EL278</f>
        <v>4361282</v>
      </c>
      <c r="EM10" s="453"/>
      <c r="EN10" s="93"/>
      <c r="EO10" s="244"/>
      <c r="ER10" s="451"/>
      <c r="ES10" s="451"/>
    </row>
    <row r="11" spans="4:150" ht="12.75" hidden="1" customHeight="1" x14ac:dyDescent="0.2">
      <c r="D11" s="129" t="s">
        <v>338</v>
      </c>
      <c r="E11" s="147"/>
      <c r="F11" s="322"/>
      <c r="G11" s="349">
        <v>0</v>
      </c>
      <c r="H11" s="453"/>
      <c r="I11" s="93"/>
      <c r="J11" s="122"/>
      <c r="K11" s="204"/>
      <c r="L11" s="245">
        <f>L308</f>
        <v>0</v>
      </c>
      <c r="M11" s="453"/>
      <c r="N11" s="93"/>
      <c r="O11" s="122"/>
      <c r="P11" s="204"/>
      <c r="Q11" s="245">
        <f>Q308</f>
        <v>0</v>
      </c>
      <c r="R11" s="453"/>
      <c r="S11" s="93"/>
      <c r="T11" s="122"/>
      <c r="U11" s="204"/>
      <c r="V11" s="245">
        <f>V308</f>
        <v>0</v>
      </c>
      <c r="W11" s="453"/>
      <c r="X11" s="93"/>
      <c r="Y11" s="122"/>
      <c r="Z11" s="204"/>
      <c r="AA11" s="245">
        <f>AA308</f>
        <v>0</v>
      </c>
      <c r="AB11" s="453"/>
      <c r="AC11" s="93"/>
      <c r="AD11" s="122"/>
      <c r="AE11" s="204"/>
      <c r="AF11" s="245">
        <v>0</v>
      </c>
      <c r="AG11" s="453"/>
      <c r="AH11" s="93"/>
      <c r="AI11" s="122"/>
      <c r="AJ11" s="204"/>
      <c r="AK11" s="245">
        <v>0</v>
      </c>
      <c r="AL11" s="453"/>
      <c r="AM11" s="93"/>
      <c r="AN11" s="122"/>
      <c r="AO11" s="204"/>
      <c r="AP11" s="245">
        <f>AP308</f>
        <v>0</v>
      </c>
      <c r="AQ11" s="453"/>
      <c r="AR11" s="93"/>
      <c r="AS11" s="122"/>
      <c r="AT11" s="204"/>
      <c r="AU11" s="245">
        <f>AU308</f>
        <v>0</v>
      </c>
      <c r="AV11" s="453"/>
      <c r="AW11" s="93"/>
      <c r="AX11" s="122"/>
      <c r="AY11" s="204"/>
      <c r="AZ11" s="245">
        <f>AZ308</f>
        <v>0</v>
      </c>
      <c r="BA11" s="453"/>
      <c r="BB11" s="93"/>
      <c r="BC11" s="122"/>
      <c r="BD11" s="204"/>
      <c r="BE11" s="245">
        <f>BE308</f>
        <v>0</v>
      </c>
      <c r="BF11" s="453"/>
      <c r="BG11" s="93"/>
      <c r="BH11" s="122"/>
      <c r="BI11" s="204"/>
      <c r="BJ11" s="245">
        <f>BJ308</f>
        <v>0</v>
      </c>
      <c r="BK11" s="453"/>
      <c r="BL11" s="93"/>
      <c r="BM11" s="122"/>
      <c r="BN11" s="204"/>
      <c r="BO11" s="245">
        <f>BO308</f>
        <v>0</v>
      </c>
      <c r="BP11" s="453"/>
      <c r="BQ11" s="93"/>
      <c r="BR11" s="122"/>
      <c r="BS11" s="204"/>
      <c r="BT11" s="245">
        <v>0</v>
      </c>
      <c r="BU11" s="453"/>
      <c r="BV11" s="93"/>
      <c r="BW11" s="122"/>
      <c r="BX11" s="204"/>
      <c r="BY11" s="245">
        <v>0</v>
      </c>
      <c r="BZ11" s="453"/>
      <c r="CA11" s="93"/>
      <c r="CB11" s="122"/>
      <c r="CC11" s="204"/>
      <c r="CD11" s="245">
        <f>CD308</f>
        <v>0</v>
      </c>
      <c r="CE11" s="453"/>
      <c r="CF11" s="93"/>
      <c r="CG11" s="122"/>
      <c r="CH11" s="204"/>
      <c r="CI11" s="245">
        <f>CI308</f>
        <v>0</v>
      </c>
      <c r="CJ11" s="453"/>
      <c r="CK11" s="93"/>
      <c r="CL11" s="122"/>
      <c r="CM11" s="204"/>
      <c r="CN11" s="245">
        <f>CN308</f>
        <v>0</v>
      </c>
      <c r="CO11" s="453"/>
      <c r="CP11" s="93"/>
      <c r="CQ11" s="122"/>
      <c r="CR11" s="204"/>
      <c r="CS11" s="245">
        <f>CS308</f>
        <v>0</v>
      </c>
      <c r="CT11" s="453"/>
      <c r="CU11" s="93"/>
      <c r="CV11" s="122"/>
      <c r="CW11" s="204"/>
      <c r="CX11" s="245">
        <v>0</v>
      </c>
      <c r="CY11" s="453"/>
      <c r="CZ11" s="93"/>
      <c r="DA11" s="122"/>
      <c r="DB11" s="204"/>
      <c r="DC11" s="245">
        <v>0</v>
      </c>
      <c r="DD11" s="453"/>
      <c r="DE11" s="93"/>
      <c r="DF11" s="122"/>
      <c r="DG11" s="204"/>
      <c r="DH11" s="245">
        <f>DH308</f>
        <v>0</v>
      </c>
      <c r="DI11" s="453"/>
      <c r="DJ11" s="93"/>
      <c r="DK11" s="122"/>
      <c r="DL11" s="204"/>
      <c r="DM11" s="245">
        <f>DM308</f>
        <v>0</v>
      </c>
      <c r="DN11" s="453"/>
      <c r="DO11" s="93"/>
      <c r="DP11" s="122"/>
      <c r="DQ11" s="204"/>
      <c r="DR11" s="245">
        <f>DR308</f>
        <v>0</v>
      </c>
      <c r="DS11" s="453"/>
      <c r="DT11" s="93"/>
      <c r="DU11" s="122"/>
      <c r="DV11" s="204"/>
      <c r="DW11" s="245">
        <f>DW308</f>
        <v>0</v>
      </c>
      <c r="DX11" s="453"/>
      <c r="DY11" s="93"/>
      <c r="DZ11" s="122"/>
      <c r="EA11" s="204"/>
      <c r="EB11" s="245">
        <f>EB308</f>
        <v>0</v>
      </c>
      <c r="EC11" s="453"/>
      <c r="ED11" s="93"/>
      <c r="EE11" s="122"/>
      <c r="EF11" s="204"/>
      <c r="EG11" s="245">
        <f>EG308</f>
        <v>0</v>
      </c>
      <c r="EH11" s="453"/>
      <c r="EI11" s="93"/>
      <c r="EJ11" s="122"/>
      <c r="EK11" s="204"/>
      <c r="EL11" s="245">
        <v>0</v>
      </c>
      <c r="EM11" s="453"/>
      <c r="EN11" s="93"/>
      <c r="EO11" s="244"/>
      <c r="ER11" s="451"/>
      <c r="ES11" s="451"/>
    </row>
    <row r="12" spans="4:150" x14ac:dyDescent="0.2">
      <c r="D12" s="244"/>
      <c r="G12" s="401"/>
      <c r="H12" s="93"/>
      <c r="I12" s="93"/>
      <c r="J12" s="122"/>
      <c r="K12" s="93"/>
      <c r="L12" s="93"/>
      <c r="M12" s="93"/>
      <c r="N12" s="93"/>
      <c r="O12" s="122"/>
      <c r="P12" s="93"/>
      <c r="Q12" s="93"/>
      <c r="R12" s="93"/>
      <c r="S12" s="93"/>
      <c r="T12" s="122"/>
      <c r="U12" s="93"/>
      <c r="V12" s="93"/>
      <c r="W12" s="93"/>
      <c r="X12" s="93"/>
      <c r="Y12" s="122"/>
      <c r="Z12" s="93"/>
      <c r="AA12" s="93"/>
      <c r="AB12" s="93"/>
      <c r="AC12" s="93"/>
      <c r="AD12" s="122"/>
      <c r="AE12" s="93"/>
      <c r="AF12" s="93"/>
      <c r="AG12" s="93"/>
      <c r="AH12" s="93"/>
      <c r="AI12" s="122"/>
      <c r="AJ12" s="93"/>
      <c r="AK12" s="93"/>
      <c r="AL12" s="93"/>
      <c r="AM12" s="93"/>
      <c r="AN12" s="122"/>
      <c r="AO12" s="93"/>
      <c r="AP12" s="93"/>
      <c r="AQ12" s="93"/>
      <c r="AR12" s="93"/>
      <c r="AS12" s="122"/>
      <c r="AT12" s="93"/>
      <c r="AU12" s="93"/>
      <c r="AV12" s="93"/>
      <c r="AW12" s="93"/>
      <c r="AX12" s="122"/>
      <c r="AY12" s="93"/>
      <c r="AZ12" s="93"/>
      <c r="BA12" s="93"/>
      <c r="BB12" s="93"/>
      <c r="BC12" s="122"/>
      <c r="BD12" s="93"/>
      <c r="BE12" s="93"/>
      <c r="BF12" s="93"/>
      <c r="BG12" s="93"/>
      <c r="BH12" s="122"/>
      <c r="BI12" s="93"/>
      <c r="BJ12" s="93"/>
      <c r="BK12" s="93"/>
      <c r="BL12" s="93"/>
      <c r="BM12" s="122"/>
      <c r="BN12" s="93"/>
      <c r="BO12" s="93"/>
      <c r="BP12" s="93"/>
      <c r="BQ12" s="93"/>
      <c r="BR12" s="122"/>
      <c r="BS12" s="93"/>
      <c r="BT12" s="93"/>
      <c r="BU12" s="93"/>
      <c r="BV12" s="93"/>
      <c r="BW12" s="122"/>
      <c r="BX12" s="93"/>
      <c r="BY12" s="93"/>
      <c r="BZ12" s="93"/>
      <c r="CA12" s="93"/>
      <c r="CB12" s="122"/>
      <c r="CC12" s="93"/>
      <c r="CD12" s="93"/>
      <c r="CE12" s="93"/>
      <c r="CF12" s="93"/>
      <c r="CG12" s="122"/>
      <c r="CH12" s="93"/>
      <c r="CI12" s="93"/>
      <c r="CJ12" s="93"/>
      <c r="CK12" s="93"/>
      <c r="CL12" s="122"/>
      <c r="CM12" s="93"/>
      <c r="CN12" s="93"/>
      <c r="CO12" s="93"/>
      <c r="CP12" s="93"/>
      <c r="CQ12" s="122"/>
      <c r="CR12" s="93"/>
      <c r="CS12" s="93"/>
      <c r="CT12" s="93"/>
      <c r="CU12" s="93"/>
      <c r="CV12" s="122"/>
      <c r="CW12" s="93"/>
      <c r="CX12" s="93"/>
      <c r="CY12" s="93"/>
      <c r="CZ12" s="93"/>
      <c r="DA12" s="122"/>
      <c r="DB12" s="93"/>
      <c r="DC12" s="93"/>
      <c r="DD12" s="93"/>
      <c r="DE12" s="93"/>
      <c r="DF12" s="122"/>
      <c r="DG12" s="93"/>
      <c r="DH12" s="93"/>
      <c r="DI12" s="93"/>
      <c r="DJ12" s="93"/>
      <c r="DK12" s="122"/>
      <c r="DL12" s="93"/>
      <c r="DM12" s="93"/>
      <c r="DN12" s="93"/>
      <c r="DO12" s="93"/>
      <c r="DP12" s="122"/>
      <c r="DQ12" s="93"/>
      <c r="DR12" s="93"/>
      <c r="DS12" s="93"/>
      <c r="DT12" s="93"/>
      <c r="DU12" s="122"/>
      <c r="DV12" s="93"/>
      <c r="DW12" s="93"/>
      <c r="DX12" s="93"/>
      <c r="DY12" s="93"/>
      <c r="DZ12" s="122"/>
      <c r="EA12" s="93"/>
      <c r="EB12" s="93"/>
      <c r="EC12" s="93"/>
      <c r="ED12" s="93"/>
      <c r="EE12" s="122"/>
      <c r="EF12" s="93"/>
      <c r="EG12" s="93"/>
      <c r="EH12" s="93"/>
      <c r="EI12" s="93"/>
      <c r="EJ12" s="122"/>
      <c r="EK12" s="93"/>
      <c r="EL12" s="93"/>
      <c r="EM12" s="93"/>
      <c r="EN12" s="93"/>
      <c r="EO12" s="244"/>
      <c r="ER12" s="451"/>
      <c r="ES12" s="451"/>
    </row>
    <row r="13" spans="4:150" s="451" customFormat="1" x14ac:dyDescent="0.2">
      <c r="D13" s="484" t="s">
        <v>339</v>
      </c>
      <c r="E13" s="138"/>
      <c r="G13" s="14">
        <f>SUM(G14:G17)</f>
        <v>591023575</v>
      </c>
      <c r="H13" s="14"/>
      <c r="I13" s="14"/>
      <c r="J13" s="422"/>
      <c r="K13" s="14"/>
      <c r="L13" s="14">
        <f>SUM(L14:L17)</f>
        <v>38350619</v>
      </c>
      <c r="M13" s="14"/>
      <c r="N13" s="14"/>
      <c r="O13" s="422"/>
      <c r="P13" s="14"/>
      <c r="Q13" s="14">
        <f>SUM(Q14:Q17)</f>
        <v>45031287.743999995</v>
      </c>
      <c r="R13" s="14"/>
      <c r="S13" s="14"/>
      <c r="T13" s="422"/>
      <c r="U13" s="14"/>
      <c r="V13" s="14">
        <f>SUM(V14:V17)</f>
        <v>49600848</v>
      </c>
      <c r="W13" s="14"/>
      <c r="X13" s="14"/>
      <c r="Y13" s="422"/>
      <c r="Z13" s="14"/>
      <c r="AA13" s="14">
        <f>SUM(AA14:AA17)</f>
        <v>69933031</v>
      </c>
      <c r="AB13" s="14"/>
      <c r="AC13" s="14"/>
      <c r="AD13" s="422"/>
      <c r="AE13" s="14"/>
      <c r="AF13" s="14">
        <f>SUM(AF14:AF17)</f>
        <v>44319358</v>
      </c>
      <c r="AG13" s="14"/>
      <c r="AH13" s="14"/>
      <c r="AI13" s="422"/>
      <c r="AJ13" s="14"/>
      <c r="AK13" s="14">
        <f>SUM(AK14:AK17)</f>
        <v>61486843</v>
      </c>
      <c r="AL13" s="14"/>
      <c r="AM13" s="14"/>
      <c r="AN13" s="422"/>
      <c r="AO13" s="14"/>
      <c r="AP13" s="14">
        <f>SUM(AP14:AP17)</f>
        <v>59931421</v>
      </c>
      <c r="AQ13" s="14"/>
      <c r="AR13" s="14"/>
      <c r="AS13" s="422"/>
      <c r="AT13" s="14"/>
      <c r="AU13" s="14">
        <f>SUM(AU14:AU17)</f>
        <v>46634910</v>
      </c>
      <c r="AV13" s="14"/>
      <c r="AW13" s="14"/>
      <c r="AX13" s="422"/>
      <c r="AY13" s="14"/>
      <c r="AZ13" s="14">
        <f>SUM(AZ14:AZ17)</f>
        <v>52191398</v>
      </c>
      <c r="BA13" s="14"/>
      <c r="BB13" s="14"/>
      <c r="BC13" s="422"/>
      <c r="BD13" s="14"/>
      <c r="BE13" s="14">
        <f>SUM(BE14:BE17)</f>
        <v>39060638</v>
      </c>
      <c r="BF13" s="14"/>
      <c r="BG13" s="14"/>
      <c r="BH13" s="422"/>
      <c r="BI13" s="14"/>
      <c r="BJ13" s="14">
        <f>SUM(BJ14:BJ17)</f>
        <v>49399464</v>
      </c>
      <c r="BK13" s="14"/>
      <c r="BL13" s="14"/>
      <c r="BM13" s="422"/>
      <c r="BN13" s="14"/>
      <c r="BO13" s="14">
        <f>SUM(BO14:BO17)</f>
        <v>48828037</v>
      </c>
      <c r="BP13" s="14"/>
      <c r="BQ13" s="14"/>
      <c r="BR13" s="422"/>
      <c r="BS13" s="14"/>
      <c r="BT13" s="14">
        <f>SUM(BT14:BT17)</f>
        <v>604767854.74399996</v>
      </c>
      <c r="BU13" s="14"/>
      <c r="BV13" s="14"/>
      <c r="BW13" s="422"/>
      <c r="BX13" s="14"/>
      <c r="BY13" s="14">
        <f>SUM(BY14:BY17)</f>
        <v>335517549</v>
      </c>
      <c r="BZ13" s="14"/>
      <c r="CA13" s="14"/>
      <c r="CB13" s="422"/>
      <c r="CC13" s="14"/>
      <c r="CD13" s="14">
        <f>SUM(CD14:CD17)</f>
        <v>20725876</v>
      </c>
      <c r="CE13" s="14"/>
      <c r="CF13" s="14"/>
      <c r="CG13" s="422"/>
      <c r="CH13" s="14"/>
      <c r="CI13" s="14">
        <f>SUM(CI14:CI17)</f>
        <v>26579251</v>
      </c>
      <c r="CJ13" s="14"/>
      <c r="CK13" s="14"/>
      <c r="CL13" s="422"/>
      <c r="CM13" s="14"/>
      <c r="CN13" s="14">
        <f>SUM(CN14:CN17)</f>
        <v>21124207</v>
      </c>
      <c r="CO13" s="14"/>
      <c r="CP13" s="14"/>
      <c r="CQ13" s="422"/>
      <c r="CR13" s="14"/>
      <c r="CS13" s="14">
        <f>SUM(CS14:CS17)</f>
        <v>24760828</v>
      </c>
      <c r="CT13" s="14"/>
      <c r="CU13" s="14"/>
      <c r="CV13" s="422"/>
      <c r="CW13" s="14"/>
      <c r="CX13" s="14">
        <f>SUM(CX14:CX17)</f>
        <v>30904734</v>
      </c>
      <c r="CY13" s="14"/>
      <c r="CZ13" s="14"/>
      <c r="DA13" s="422"/>
      <c r="DB13" s="14"/>
      <c r="DC13" s="14">
        <f>SUM(DC14:DC17)</f>
        <v>32089447</v>
      </c>
      <c r="DD13" s="14"/>
      <c r="DE13" s="14"/>
      <c r="DF13" s="422"/>
      <c r="DG13" s="14"/>
      <c r="DH13" s="14">
        <f>SUM(DH14:DH17)</f>
        <v>33970885</v>
      </c>
      <c r="DI13" s="14"/>
      <c r="DJ13" s="14"/>
      <c r="DK13" s="422"/>
      <c r="DL13" s="14"/>
      <c r="DM13" s="14">
        <f>SUM(DM14:DM17)</f>
        <v>34588835</v>
      </c>
      <c r="DN13" s="14"/>
      <c r="DO13" s="14"/>
      <c r="DP13" s="422"/>
      <c r="DQ13" s="14"/>
      <c r="DR13" s="14">
        <f>SUM(DR14:DR17)</f>
        <v>26476333</v>
      </c>
      <c r="DS13" s="14"/>
      <c r="DT13" s="14"/>
      <c r="DU13" s="422"/>
      <c r="DV13" s="14"/>
      <c r="DW13" s="14">
        <f>SUM(DW14:DW17)</f>
        <v>21562772</v>
      </c>
      <c r="DX13" s="14"/>
      <c r="DY13" s="14"/>
      <c r="DZ13" s="422"/>
      <c r="EA13" s="14"/>
      <c r="EB13" s="14">
        <f>SUM(EB14:EB17)</f>
        <v>32267535</v>
      </c>
      <c r="EC13" s="14"/>
      <c r="ED13" s="14"/>
      <c r="EE13" s="422"/>
      <c r="EF13" s="14"/>
      <c r="EG13" s="14">
        <f>SUM(EG14:EG17)</f>
        <v>30466846</v>
      </c>
      <c r="EH13" s="14"/>
      <c r="EI13" s="14"/>
      <c r="EJ13" s="422"/>
      <c r="EK13" s="14"/>
      <c r="EL13" s="14">
        <f>SUM(EL14:EL17)</f>
        <v>335517549</v>
      </c>
      <c r="EM13" s="14"/>
      <c r="EN13" s="14"/>
      <c r="EO13" s="484"/>
      <c r="ET13" s="218"/>
    </row>
    <row r="14" spans="4:150" x14ac:dyDescent="0.2">
      <c r="D14" s="244" t="s">
        <v>340</v>
      </c>
      <c r="F14" s="112"/>
      <c r="G14" s="374">
        <f>518500000-425</f>
        <v>518499575</v>
      </c>
      <c r="H14" s="475"/>
      <c r="I14" s="19"/>
      <c r="J14" s="274"/>
      <c r="K14" s="173"/>
      <c r="L14" s="374">
        <f>+L20+L53+L58+L63+L69+L75+L80+L86+L91+L96+L101+L106+L111+L116+L121+L127+L133+L139+L144+L187+L201+L149+L174+L23+L29+L47+L35+L154+L159+L164+L169+L41</f>
        <v>32408976</v>
      </c>
      <c r="M14" s="475"/>
      <c r="N14" s="19"/>
      <c r="O14" s="274"/>
      <c r="P14" s="173"/>
      <c r="Q14" s="374">
        <f>+Q20+Q53+Q58+Q63+Q69+Q75+Q80+Q86+Q91+Q96+Q101+Q106+Q111+Q116+Q121+Q127+Q133+Q139+Q144+Q187+Q201+Q149+Q174+Q23+Q29+Q47+Q35+Q154+Q159+Q164+Q169+Q41</f>
        <v>40737984.292999998</v>
      </c>
      <c r="R14" s="475"/>
      <c r="S14" s="19"/>
      <c r="T14" s="274"/>
      <c r="U14" s="173"/>
      <c r="V14" s="374">
        <f>+V20+V53+V58+V63+V69+V75+V80+V86+V91+V96+V101+V106+V111+V116+V121+V127+V133+V139+V144+V187+V201+V149+V174+V23+V29+V47+V35+V154+V159+V164+V169+V41</f>
        <v>41826856</v>
      </c>
      <c r="W14" s="475"/>
      <c r="X14" s="19"/>
      <c r="Y14" s="274"/>
      <c r="Z14" s="173"/>
      <c r="AA14" s="374">
        <f>+AA20+AA53+AA58+AA63+AA69+AA75+AA80+AA86+AA91+AA96+AA101+AA106+AA111+AA116+AA121+AA127+AA133+AA139+AA144+AA187+AA201+AA149+AA174+AA23+AA29+AA47+AA35+AA154+AA159+AA164+AA169+AA41</f>
        <v>59773525</v>
      </c>
      <c r="AB14" s="475"/>
      <c r="AC14" s="19"/>
      <c r="AD14" s="274"/>
      <c r="AE14" s="173"/>
      <c r="AF14" s="374">
        <f>+AF20+AF53+AF58+AF63+AF69+AF75+AF80+AF86+AF91+AF96+AF101+AF106+AF111+AF116+AF121+AF127+AF133+AF139+AF144+AF187+AF201+AF149+AF174+AF23+AF29+AF47+AF35+AF154+AF159+AF164+AF169+AF41</f>
        <v>35573638</v>
      </c>
      <c r="AG14" s="475"/>
      <c r="AH14" s="19"/>
      <c r="AI14" s="274"/>
      <c r="AJ14" s="173"/>
      <c r="AK14" s="374">
        <f>+AK20+AK53+AK58+AK63+AK69+AK75+AK80+AK86+AK91+AK96+AK101+AK106+AK111+AK116+AK121+AK127+AK133+AK139+AK144+AK187+AK201+AK149+AK174+AK23+AK29+AK47+AK35+AK154+AK159+AK164+AK169+AK41</f>
        <v>47078533</v>
      </c>
      <c r="AL14" s="475"/>
      <c r="AM14" s="19"/>
      <c r="AN14" s="274"/>
      <c r="AO14" s="173"/>
      <c r="AP14" s="374">
        <f>+AP20+AP53+AP58+AP63+AP69+AP75+AP80+AP86+AP91+AP96+AP101+AP106+AP111+AP116+AP121+AP127+AP133+AP139+AP144+AP187+AP201+AP149+AP174+AP23+AP29+AP47+AP35+AP154+AP159+AP164+AP169+AP41</f>
        <v>49799971</v>
      </c>
      <c r="AQ14" s="475"/>
      <c r="AR14" s="19"/>
      <c r="AS14" s="274"/>
      <c r="AT14" s="173"/>
      <c r="AU14" s="374">
        <f>+AU20+AU53+AU58+AU63+AU69+AU75+AU80+AU86+AU91+AU96+AU101+AU106+AU111+AU116+AU121+AU127+AU133+AU139+AU144+AU187+AU201+AU149+AU174+AU23+AU29+AU47+AU35+AU154+AU159+AU164+AU169+AU41</f>
        <v>37061635</v>
      </c>
      <c r="AV14" s="475"/>
      <c r="AW14" s="19"/>
      <c r="AX14" s="274"/>
      <c r="AY14" s="173"/>
      <c r="AZ14" s="374">
        <f>+AZ20+AZ53+AZ58+AZ63+AZ69+AZ75+AZ80+AZ86+AZ91+AZ96+AZ101+AZ106+AZ111+AZ116+AZ121+AZ127+AZ133+AZ139+AZ144+AZ187+AZ201+AZ149+AZ174+AZ23+AZ29+AZ47+AZ35+AZ154+AZ159+AZ164+AZ169+AZ41</f>
        <v>44964861</v>
      </c>
      <c r="BA14" s="475"/>
      <c r="BB14" s="19"/>
      <c r="BC14" s="274"/>
      <c r="BD14" s="173"/>
      <c r="BE14" s="374">
        <f>+BE20+BE53+BE58+BE63+BE69+BE75+BE80+BE86+BE91+BE96+BE101+BE106+BE111+BE116+BE121+BE127+BE133+BE139+BE144+BE187+BE201+BE149+BE174+BE23+BE29+BE47+BE35+BE154+BE159+BE164+BE169+BE41</f>
        <v>34563245</v>
      </c>
      <c r="BF14" s="475"/>
      <c r="BG14" s="19"/>
      <c r="BH14" s="274"/>
      <c r="BI14" s="173"/>
      <c r="BJ14" s="374">
        <f>+BJ20+BJ53+BJ58+BJ63+BJ69+BJ75+BJ80+BJ86+BJ91+BJ96+BJ101+BJ106+BJ111+BJ116+BJ121+BJ127+BJ133+BJ139+BJ144+BJ187+BJ201+BJ149+BJ174+BJ23+BJ29+BJ47+BJ35+BJ154+BJ159+BJ164+BJ169+BJ41</f>
        <v>39851499</v>
      </c>
      <c r="BK14" s="475"/>
      <c r="BL14" s="19"/>
      <c r="BM14" s="274"/>
      <c r="BN14" s="173"/>
      <c r="BO14" s="374">
        <f>+BO20+BO53+BO58+BO63+BO69+BO75+BO80+BO86+BO91+BO96+BO101+BO106+BO111+BO116+BO121+BO127+BO133+BO139+BO144+BO187+BO201+BO149+BO174+BO23+BO29+BO47+BO35+BO154+BO159+BO164+BO169+BO41</f>
        <v>40009609</v>
      </c>
      <c r="BP14" s="475"/>
      <c r="BQ14" s="19"/>
      <c r="BR14" s="274"/>
      <c r="BS14" s="173"/>
      <c r="BT14" s="374">
        <f>+BT20+BT53+BT58+BT63+BT69+BT75+BT80+BT86+BT91+BT96+BT101+BT106+BT111+BT116+BT121+BT127+BT133+BT139+BT144+BT187+BT201+BT149+BT174+BT23+BT29+BT47+BT35+BT154+BT159+BT164+BT169+BT41</f>
        <v>503650332.29299998</v>
      </c>
      <c r="BU14" s="475"/>
      <c r="BV14" s="19"/>
      <c r="BW14" s="274"/>
      <c r="BX14" s="173"/>
      <c r="BY14" s="374">
        <f>+BY20+BY53+BY58+BY63+BY69+BY75+BY80+BY86+BY91+BY96+BY101+BY106+BY111+BY116+BY121+BY127+BY133+BY139+BY144+BY187+BY201+BY149+BY174+BY23+BY29+BY47+BY35+BY154+BY159+BY164+BY169+BY41</f>
        <v>293250059</v>
      </c>
      <c r="BZ14" s="475"/>
      <c r="CA14" s="19"/>
      <c r="CB14" s="274"/>
      <c r="CC14" s="173"/>
      <c r="CD14" s="374">
        <f>+CD20+CD53+CD58+CD63+CD69+CD75+CD80+CD86+CD91+CD96+CD101+CD106+CD111+CD116+CD121+CD127+CD133+CD139+CD144+CD187+CD201+CD149+CD174+CD23+CD29+CD47+CD35+CD154+CD159+CD164+CD169+CD41</f>
        <v>18959941</v>
      </c>
      <c r="CE14" s="475"/>
      <c r="CF14" s="19"/>
      <c r="CG14" s="274"/>
      <c r="CH14" s="173"/>
      <c r="CI14" s="374">
        <f>+CI20+CI53+CI58+CI63+CI69+CI75+CI80+CI86+CI91+CI96+CI101+CI106+CI111+CI116+CI121+CI127+CI133+CI139+CI144+CI187+CI201+CI149+CI174+CI23+CI29+CI47+CI35+CI154+CI159+CI164+CI169+CI41</f>
        <v>23896823</v>
      </c>
      <c r="CJ14" s="475"/>
      <c r="CK14" s="19"/>
      <c r="CL14" s="274"/>
      <c r="CM14" s="173"/>
      <c r="CN14" s="374">
        <f>+CN20+CN53+CN58+CN63+CN69+CN75+CN80+CN86+CN91+CN96+CN101+CN106+CN111+CN116+CN121+CN127+CN133+CN139+CN144+CN187+CN201+CN149+CN174+CN23+CN29+CN47+CN35+CN154+CN159+CN164+CN169+CN41</f>
        <v>18463838</v>
      </c>
      <c r="CO14" s="475"/>
      <c r="CP14" s="19"/>
      <c r="CQ14" s="274"/>
      <c r="CR14" s="173"/>
      <c r="CS14" s="374">
        <f>+CS20+CS53+CS58+CS63+CS69+CS75+CS80+CS86+CS91+CS96+CS101+CS106+CS111+CS116+CS121+CS127+CS133+CS139+CS144+CS187+CS201+CS149+CS174+CS23+CS29+CS47+CS35+CS154+CS159+CS164+CS169+CS41</f>
        <v>21885248</v>
      </c>
      <c r="CT14" s="475"/>
      <c r="CU14" s="19"/>
      <c r="CV14" s="274"/>
      <c r="CW14" s="173"/>
      <c r="CX14" s="374">
        <f>+CX20+CX53+CX58+CX63+CX69+CX75+CX80+CX86+CX91+CX96+CX101+CX106+CX111+CX116+CX121+CX127+CX133+CX139+CX144+CX187+CX201+CX149+CX174+CX23+CX29+CX47+CX35+CX154+CX159+CX164+CX169+CX41</f>
        <v>28048130</v>
      </c>
      <c r="CY14" s="475"/>
      <c r="CZ14" s="19"/>
      <c r="DA14" s="274"/>
      <c r="DB14" s="173"/>
      <c r="DC14" s="374">
        <f>+DC20+DC53+DC58+DC63+DC69+DC75+DC80+DC86+DC91+DC96+DC101+DC106+DC111+DC116+DC121+DC127+DC133+DC139+DC144+DC187+DC201+DC149+DC174+DC23+DC29+DC47+DC35+DC154+DC159+DC164+DC169+DC41</f>
        <v>28282304</v>
      </c>
      <c r="DD14" s="475"/>
      <c r="DE14" s="19"/>
      <c r="DF14" s="274"/>
      <c r="DG14" s="173"/>
      <c r="DH14" s="374">
        <f>+DH20+DH53+DH58+DH63+DH69+DH75+DH80+DH86+DH91+DH96+DH101+DH106+DH111+DH116+DH121+DH127+DH133+DH139+DH144+DH187+DH201+DH149+DH174+DH23+DH29+DH47+DH35+DH154+DH159+DH164+DH169+DH41</f>
        <v>29086988</v>
      </c>
      <c r="DI14" s="475"/>
      <c r="DJ14" s="19"/>
      <c r="DK14" s="274"/>
      <c r="DL14" s="173"/>
      <c r="DM14" s="374">
        <f>+DM20+DM53+DM58+DM63+DM69+DM75+DM80+DM86+DM91+DM96+DM101+DM106+DM111+DM116+DM121+DM127+DM133+DM139+DM144+DM187+DM201+DM149+DM174+DM23+DM29+DM47+DM35+DM154+DM159+DM164+DM169+DM41</f>
        <v>29883343</v>
      </c>
      <c r="DN14" s="475"/>
      <c r="DO14" s="19"/>
      <c r="DP14" s="274"/>
      <c r="DQ14" s="173"/>
      <c r="DR14" s="374">
        <f>+DR20+DR53+DR58+DR63+DR69+DR75+DR80+DR86+DR91+DR96+DR101+DR106+DR111+DR116+DR121+DR127+DR133+DR139+DR144+DR187+DR201+DR149+DR174+DR23+DR29+DR47+DR35+DR154+DR159+DR164+DR169+DR41</f>
        <v>23116933</v>
      </c>
      <c r="DS14" s="475"/>
      <c r="DT14" s="19"/>
      <c r="DU14" s="274"/>
      <c r="DV14" s="173"/>
      <c r="DW14" s="374">
        <f>+DW20+DW53+DW58+DW63+DW69+DW75+DW80+DW86+DW91+DW96+DW101+DW106+DW111+DW116+DW121+DW127+DW133+DW139+DW144+DW187+DW201+DW149+DW174+DW23+DW29+DW47+DW35+DW154+DW159+DW164+DW169+DW41</f>
        <v>18604025</v>
      </c>
      <c r="DX14" s="475"/>
      <c r="DY14" s="19"/>
      <c r="DZ14" s="274"/>
      <c r="EA14" s="173"/>
      <c r="EB14" s="374">
        <f>+EB20+EB53+EB58+EB63+EB69+EB75+EB80+EB86+EB91+EB96+EB101+EB106+EB111+EB116+EB121+EB127+EB133+EB139+EB144+EB187+EB201+EB149+EB174+EB23+EB29+EB47+EB35+EB154+EB159+EB164+EB169+EB41</f>
        <v>28287081</v>
      </c>
      <c r="EC14" s="475"/>
      <c r="ED14" s="19"/>
      <c r="EE14" s="274"/>
      <c r="EF14" s="173"/>
      <c r="EG14" s="374">
        <f>+EG20+EG53+EG58+EG63+EG69+EG75+EG80+EG86+EG91+EG96+EG101+EG106+EG111+EG116+EG121+EG127+EG133+EG139+EG144+EG187+EG201+EG149+EG174+EG23+EG29+EG47+EG35+EG154+EG159+EG164+EG169+EG41</f>
        <v>24735405</v>
      </c>
      <c r="EH14" s="475"/>
      <c r="EI14" s="19"/>
      <c r="EJ14" s="274"/>
      <c r="EK14" s="173"/>
      <c r="EL14" s="374">
        <f>+EL20+EL53+EL58+EL63+EL69+EL75+EL80+EL86+EL91+EL96+EL101+EL106+EL111+EL116+EL121+EL127+EL133+EL139+EL144+EL187+EL201+EL149+EL174+EL23+EL29+EL47+EL35+EL154+EL159+EL164+EL169+EL41</f>
        <v>293250059</v>
      </c>
      <c r="EM14" s="475"/>
      <c r="EN14" s="19"/>
      <c r="EO14" s="244"/>
      <c r="ER14" s="451"/>
      <c r="ES14" s="451"/>
      <c r="ET14" s="120"/>
    </row>
    <row r="15" spans="4:150" x14ac:dyDescent="0.2">
      <c r="D15" s="244" t="s">
        <v>304</v>
      </c>
      <c r="F15" s="82"/>
      <c r="G15" s="19">
        <v>72524000</v>
      </c>
      <c r="H15" s="18"/>
      <c r="I15" s="19"/>
      <c r="J15" s="274"/>
      <c r="K15" s="274"/>
      <c r="L15" s="19">
        <f>+L54+L59+L64+L70+L76+L81+L87+L92+L97+L102+L107+L112+L117+L122+L128+L134+L140+L145+L150+L175+L24+L30+L48+L36+L155+L160+L165+L170+L42</f>
        <v>4299769</v>
      </c>
      <c r="M15" s="18"/>
      <c r="N15" s="19"/>
      <c r="O15" s="274"/>
      <c r="P15" s="274"/>
      <c r="Q15" s="19">
        <f>+Q54+Q59+Q64+Q70+Q76+Q81+Q87+Q92+Q97+Q102+Q107+Q112+Q117+Q122+Q128+Q134+Q140+Q145+Q150+Q175+Q24+Q30+Q48+Q36+Q155+Q160+Q165+Q170+Q42</f>
        <v>4058204</v>
      </c>
      <c r="R15" s="18"/>
      <c r="S15" s="19"/>
      <c r="T15" s="274"/>
      <c r="U15" s="274"/>
      <c r="V15" s="19">
        <f>+V54+V59+V64+V70+V76+V81+V87+V92+V97+V102+V107+V112+V117+V122+V128+V134+V140+V145+V150+V175+V24+V30+V48+V36+V155+V160+V165+V170+V42</f>
        <v>6085389</v>
      </c>
      <c r="W15" s="18"/>
      <c r="X15" s="19"/>
      <c r="Y15" s="274"/>
      <c r="Z15" s="274"/>
      <c r="AA15" s="19">
        <f>+AA54+AA59+AA64+AA70+AA76+AA81+AA87+AA92+AA97+AA102+AA107+AA112+AA117+AA122+AA128+AA134+AA140+AA145+AA150+AA175+AA24+AA30+AA48+AA36+AA155+AA160+AA165+AA170+AA42</f>
        <v>8992564</v>
      </c>
      <c r="AB15" s="18"/>
      <c r="AC15" s="19"/>
      <c r="AD15" s="274"/>
      <c r="AE15" s="274"/>
      <c r="AF15" s="19">
        <f>+AF54+AF59+AF64+AF70+AF76+AF81+AF87+AF92+AF97+AF102+AF107+AF112+AF117+AF122+AF128+AF134+AF140+AF145+AF150+AF175+AF24+AF30+AF48+AF36+AF155+AF160+AF165+AF170+AF42</f>
        <v>6877121</v>
      </c>
      <c r="AG15" s="18"/>
      <c r="AH15" s="19"/>
      <c r="AI15" s="274"/>
      <c r="AJ15" s="274"/>
      <c r="AK15" s="19">
        <f>+AK54+AK59+AK64+AK70+AK76+AK81+AK87+AK92+AK97+AK102+AK107+AK112+AK117+AK122+AK128+AK134+AK140+AK145+AK150+AK175+AK24+AK30+AK48+AK36+AK155+AK160+AK165+AK170+AK42</f>
        <v>10836667</v>
      </c>
      <c r="AL15" s="18"/>
      <c r="AM15" s="19"/>
      <c r="AN15" s="274"/>
      <c r="AO15" s="274"/>
      <c r="AP15" s="19">
        <f>+AP54+AP59+AP64+AP70+AP76+AP81+AP87+AP92+AP97+AP102+AP107+AP112+AP117+AP122+AP128+AP134+AP140+AP145+AP150+AP175+AP24+AP30+AP48+AP36+AP155+AP160+AP165+AP170+AP42</f>
        <v>9026146</v>
      </c>
      <c r="AQ15" s="18"/>
      <c r="AR15" s="19"/>
      <c r="AS15" s="274"/>
      <c r="AT15" s="274"/>
      <c r="AU15" s="19">
        <f>+AU54+AU59+AU64+AU70+AU76+AU81+AU87+AU92+AU97+AU102+AU107+AU112+AU117+AU122+AU128+AU134+AU140+AU145+AU150+AU175+AU24+AU30+AU48+AU36+AU155+AU160+AU165+AU170+AU42</f>
        <v>7195171</v>
      </c>
      <c r="AV15" s="18"/>
      <c r="AW15" s="19"/>
      <c r="AX15" s="274"/>
      <c r="AY15" s="274"/>
      <c r="AZ15" s="19">
        <f>+AZ54+AZ59+AZ64+AZ70+AZ76+AZ81+AZ87+AZ92+AZ97+AZ102+AZ107+AZ112+AZ117+AZ122+AZ128+AZ134+AZ140+AZ145+AZ150+AZ175+AZ24+AZ30+AZ48+AZ36+AZ155+AZ160+AZ165+AZ170+AZ42</f>
        <v>6333842</v>
      </c>
      <c r="BA15" s="18"/>
      <c r="BB15" s="19"/>
      <c r="BC15" s="274"/>
      <c r="BD15" s="274"/>
      <c r="BE15" s="19">
        <f>+BE54+BE59+BE64+BE70+BE76+BE81+BE87+BE92+BE97+BE102+BE107+BE112+BE117+BE122+BE128+BE134+BE140+BE145+BE150+BE175+BE24+BE30+BE48+BE36+BE155+BE160+BE165+BE170+BE42</f>
        <v>3989426</v>
      </c>
      <c r="BF15" s="18"/>
      <c r="BG15" s="19"/>
      <c r="BH15" s="274"/>
      <c r="BI15" s="274"/>
      <c r="BJ15" s="19">
        <f>+BJ54+BJ59+BJ64+BJ70+BJ76+BJ81+BJ87+BJ92+BJ97+BJ102+BJ107+BJ112+BJ117+BJ122+BJ128+BJ134+BJ140+BJ145+BJ150+BJ175+BJ24+BJ30+BJ48+BJ36+BJ155+BJ160+BJ165+BJ170+BJ42</f>
        <v>6713436</v>
      </c>
      <c r="BK15" s="18"/>
      <c r="BL15" s="19"/>
      <c r="BM15" s="274"/>
      <c r="BN15" s="274"/>
      <c r="BO15" s="19">
        <f>+BO54+BO59+BO64+BO70+BO76+BO81+BO87+BO92+BO97+BO102+BO107+BO112+BO117+BO122+BO128+BO134+BO140+BO145+BO150+BO175+BO24+BO30+BO48+BO36+BO155+BO160+BO165+BO170+BO42</f>
        <v>6983980</v>
      </c>
      <c r="BP15" s="18"/>
      <c r="BQ15" s="19"/>
      <c r="BR15" s="274"/>
      <c r="BS15" s="274"/>
      <c r="BT15" s="19">
        <f>+BT54+BT59+BT64+BT70+BT76+BT81+BT87+BT92+BT97+BT102+BT107+BT112+BT117+BT122+BT128+BT134+BT140+BT145+BT150+BT175+BT24+BT30+BT48+BT36+BT155+BT160+BT165+BT170+BT42</f>
        <v>81391715</v>
      </c>
      <c r="BU15" s="18"/>
      <c r="BV15" s="19"/>
      <c r="BW15" s="274"/>
      <c r="BX15" s="274"/>
      <c r="BY15" s="19">
        <f>+BY54+BY59+BY64+BY70+BY76+BY81+BY87+BY92+BY97+BY102+BY107+BY112+BY117+BY122+BY128+BY134+BY140+BY145+BY150+BY175+BY24+BY30+BY48+BY36+BY155+BY160+BY165+BY170+BY42</f>
        <v>29779023</v>
      </c>
      <c r="BZ15" s="18"/>
      <c r="CA15" s="19"/>
      <c r="CB15" s="274"/>
      <c r="CC15" s="274"/>
      <c r="CD15" s="19">
        <f>+CD54+CD59+CD64+CD70+CD76+CD81+CD87+CD92+CD97+CD102+CD107+CD112+CD117+CD122+CD128+CD134+CD140+CD145+CD150+CD175+CD24+CD30+CD48+CD36+CD155+CD160+CD165+CD170+CD42</f>
        <v>1256954</v>
      </c>
      <c r="CE15" s="18"/>
      <c r="CF15" s="19"/>
      <c r="CG15" s="274"/>
      <c r="CH15" s="274"/>
      <c r="CI15" s="19">
        <f>+CI54+CI59+CI64+CI70+CI76+CI81+CI87+CI92+CI97+CI102+CI107+CI112+CI117+CI122+CI128+CI134+CI140+CI145+CI150+CI175+CI24+CI30+CI48+CI36+CI155+CI160+CI165+CI170+CI42</f>
        <v>1652532</v>
      </c>
      <c r="CJ15" s="18"/>
      <c r="CK15" s="19"/>
      <c r="CL15" s="274"/>
      <c r="CM15" s="274"/>
      <c r="CN15" s="19">
        <f>+CN54+CN59+CN64+CN70+CN76+CN81+CN87+CN92+CN97+CN102+CN107+CN112+CN117+CN122+CN128+CN134+CN140+CN145+CN150+CN175+CN24+CN30+CN48+CN36+CN155+CN160+CN165+CN170+CN42</f>
        <v>1668026</v>
      </c>
      <c r="CO15" s="18"/>
      <c r="CP15" s="19"/>
      <c r="CQ15" s="274"/>
      <c r="CR15" s="274"/>
      <c r="CS15" s="19">
        <f>+CS54+CS59+CS64+CS70+CS76+CS81+CS87+CS92+CS97+CS102+CS107+CS112+CS117+CS122+CS128+CS134+CS140+CS145+CS150+CS175+CS24+CS30+CS48+CS36+CS155+CS160+CS165+CS170+CS42</f>
        <v>1721005</v>
      </c>
      <c r="CT15" s="18"/>
      <c r="CU15" s="19"/>
      <c r="CV15" s="274"/>
      <c r="CW15" s="274"/>
      <c r="CX15" s="19">
        <f>+CX54+CX59+CX64+CX70+CX76+CX81+CX87+CX92+CX97+CX102+CX107+CX112+CX117+CX122+CX128+CX134+CX140+CX145+CX150+CX175+CX24+CX30+CX48+CX36+CX155+CX160+CX165+CX170+CX42</f>
        <v>2422421</v>
      </c>
      <c r="CY15" s="18"/>
      <c r="CZ15" s="19"/>
      <c r="DA15" s="274"/>
      <c r="DB15" s="274"/>
      <c r="DC15" s="19">
        <f>+DC54+DC59+DC64+DC70+DC76+DC81+DC87+DC92+DC97+DC102+DC107+DC112+DC117+DC122+DC128+DC134+DC140+DC145+DC150+DC175+DC24+DC30+DC48+DC36+DC155+DC160+DC165+DC170+DC42</f>
        <v>2517677</v>
      </c>
      <c r="DD15" s="18"/>
      <c r="DE15" s="19"/>
      <c r="DF15" s="274"/>
      <c r="DG15" s="274"/>
      <c r="DH15" s="19">
        <f>+DH54+DH59+DH64+DH70+DH76+DH81+DH87+DH92+DH97+DH102+DH107+DH112+DH117+DH122+DH128+DH134+DH140+DH145+DH150+DH175+DH24+DH30+DH48+DH36+DH155+DH160+DH165+DH170+DH42</f>
        <v>2852893</v>
      </c>
      <c r="DI15" s="18"/>
      <c r="DJ15" s="19"/>
      <c r="DK15" s="274"/>
      <c r="DL15" s="274"/>
      <c r="DM15" s="19">
        <f>+DM54+DM59+DM64+DM70+DM76+DM81+DM87+DM92+DM97+DM102+DM107+DM112+DM117+DM122+DM128+DM134+DM140+DM145+DM150+DM175+DM24+DM30+DM48+DM36+DM155+DM160+DM165+DM170+DM42</f>
        <v>3497342</v>
      </c>
      <c r="DN15" s="18"/>
      <c r="DO15" s="19"/>
      <c r="DP15" s="274"/>
      <c r="DQ15" s="274"/>
      <c r="DR15" s="19">
        <f>+DR54+DR59+DR64+DR70+DR76+DR81+DR87+DR92+DR97+DR102+DR107+DR112+DR117+DR122+DR128+DR134+DR140+DR145+DR150+DR175+DR24+DR30+DR48+DR36+DR155+DR160+DR165+DR170+DR42</f>
        <v>2287072</v>
      </c>
      <c r="DS15" s="18"/>
      <c r="DT15" s="19"/>
      <c r="DU15" s="274"/>
      <c r="DV15" s="274"/>
      <c r="DW15" s="19">
        <f>+DW54+DW59+DW64+DW70+DW76+DW81+DW87+DW92+DW97+DW102+DW107+DW112+DW117+DW122+DW128+DW134+DW140+DW145+DW150+DW175+DW24+DW30+DW48+DW36+DW155+DW160+DW165+DW170+DW42</f>
        <v>2282238</v>
      </c>
      <c r="DX15" s="18"/>
      <c r="DY15" s="19"/>
      <c r="DZ15" s="274"/>
      <c r="EA15" s="274"/>
      <c r="EB15" s="19">
        <f>+EB54+EB59+EB64+EB70+EB76+EB81+EB87+EB92+EB97+EB102+EB107+EB112+EB117+EB122+EB128+EB134+EB140+EB145+EB150+EB175+EB24+EB30+EB48+EB36+EB155+EB160+EB165+EB170+EB42</f>
        <v>2868557</v>
      </c>
      <c r="EC15" s="18"/>
      <c r="ED15" s="19"/>
      <c r="EE15" s="274"/>
      <c r="EF15" s="274"/>
      <c r="EG15" s="19">
        <f>+EG54+EG59+EG64+EG70+EG76+EG81+EG87+EG92+EG97+EG102+EG107+EG112+EG117+EG122+EG128+EG134+EG140+EG145+EG150+EG175+EG24+EG30+EG48+EG36+EG155+EG160+EG165+EG170+EG42</f>
        <v>4752306</v>
      </c>
      <c r="EH15" s="18"/>
      <c r="EI15" s="19"/>
      <c r="EJ15" s="274"/>
      <c r="EK15" s="274"/>
      <c r="EL15" s="19">
        <f>+EL54+EL59+EL64+EL70+EL76+EL81+EL87+EL92+EL97+EL102+EL107+EL112+EL117+EL122+EL128+EL134+EL140+EL145+EL150+EL175+EL24+EL30+EL48+EL36+EL155+EL160+EL165+EL170+EL42</f>
        <v>29779023</v>
      </c>
      <c r="EM15" s="18"/>
      <c r="EN15" s="19"/>
      <c r="EO15" s="244"/>
      <c r="ER15" s="451"/>
      <c r="ES15" s="451"/>
      <c r="ET15" s="120"/>
    </row>
    <row r="16" spans="4:150" x14ac:dyDescent="0.2">
      <c r="D16" s="244" t="s">
        <v>341</v>
      </c>
      <c r="F16" s="82"/>
      <c r="G16" s="477">
        <v>0</v>
      </c>
      <c r="H16" s="375"/>
      <c r="J16" s="82"/>
      <c r="K16" s="82"/>
      <c r="L16" s="19">
        <f>+L55+L60+L65+L71+L77+L82+L88+L93+L98+L103+L108+L113+L118+L123+L129+L135+L141+L146+L151+L176+L25+L31+L49+L37+L156+L161+L166+L171+L43</f>
        <v>-376261</v>
      </c>
      <c r="M16" s="18"/>
      <c r="N16" s="19"/>
      <c r="O16" s="274"/>
      <c r="P16" s="274"/>
      <c r="Q16" s="19">
        <f>+Q55+Q60+Q65+Q71+Q77+Q82+Q88+Q93+Q98+Q103+Q108+Q113+Q118+Q123+Q129+Q135+Q141+Q146+Q151+Q176+Q25+Q31+Q49+Q37+Q156+Q161+Q166+Q171+Q43</f>
        <v>-1466989</v>
      </c>
      <c r="R16" s="18"/>
      <c r="S16" s="19"/>
      <c r="T16" s="274"/>
      <c r="U16" s="274"/>
      <c r="V16" s="19">
        <f>+V55+V60+V65+V71+V77+V82+V88+V93+V98+V103+V108+V113+V118+V123+V129+V135+V141+V146+V151+V176+V25+V31+V49+V37+V156+V161+V166+V171+V43</f>
        <v>-764417</v>
      </c>
      <c r="W16" s="18"/>
      <c r="X16" s="19"/>
      <c r="Y16" s="274"/>
      <c r="Z16" s="274"/>
      <c r="AA16" s="19">
        <f>+AA55+AA60+AA65+AA71+AA77+AA82+AA88+AA93+AA98+AA103+AA108+AA113+AA118+AA123+AA129+AA135+AA141+AA146+AA151+AA176+AA25+AA31+AA49+AA37+AA156+AA161+AA166+AA171+AA43</f>
        <v>-2780721</v>
      </c>
      <c r="AB16" s="18"/>
      <c r="AC16" s="19"/>
      <c r="AD16" s="274"/>
      <c r="AE16" s="274"/>
      <c r="AF16" s="19">
        <f>+AF55+AF60+AF65+AF71+AF77+AF82+AF88+AF93+AF98+AF103+AF108+AF113+AF118+AF123+AF129+AF135+AF141+AF146+AF151+AF176+AF25+AF31+AF49+AF37+AF156+AF161+AF166+AF171+AF43</f>
        <v>-1213553</v>
      </c>
      <c r="AG16" s="18"/>
      <c r="AH16" s="19"/>
      <c r="AI16" s="274"/>
      <c r="AJ16" s="274"/>
      <c r="AK16" s="19">
        <f>+AK55+AK60+AK65+AK71+AK77+AK82+AK88+AK93+AK98+AK103+AK108+AK113+AK118+AK123+AK129+AK135+AK141+AK146+AK151+AK176+AK25+AK31+AK49+AK37+AK156+AK161+AK166+AK171+AK43</f>
        <v>-716835</v>
      </c>
      <c r="AL16" s="18"/>
      <c r="AM16" s="19"/>
      <c r="AN16" s="274"/>
      <c r="AO16" s="274"/>
      <c r="AP16" s="19">
        <f>+AP55+AP60+AP65+AP71+AP77+AP82+AP88+AP93+AP98+AP103+AP108+AP113+AP118+AP123+AP129+AP135+AP141+AP146+AP151+AP176+AP25+AP31+AP49+AP37+AP156+AP161+AP166+AP171+AP43</f>
        <v>-2010551</v>
      </c>
      <c r="AQ16" s="18"/>
      <c r="AR16" s="19"/>
      <c r="AS16" s="274"/>
      <c r="AT16" s="274"/>
      <c r="AU16" s="19">
        <f>+AU55+AU60+AU65+AU71+AU77+AU82+AU88+AU93+AU98+AU103+AU108+AU113+AU118+AU123+AU129+AU135+AU141+AU146+AU151+AU176+AU25+AU31+AU49+AU37+AU156+AU161+AU166+AU171+AU43</f>
        <v>-777625</v>
      </c>
      <c r="AV16" s="18"/>
      <c r="AW16" s="19"/>
      <c r="AX16" s="274"/>
      <c r="AY16" s="274"/>
      <c r="AZ16" s="19">
        <f>+AZ55+AZ60+AZ65+AZ71+AZ77+AZ82+AZ88+AZ93+AZ98+AZ103+AZ108+AZ113+AZ118+AZ123+AZ129+AZ135+AZ141+AZ146+AZ151+AZ176+AZ25+AZ31+AZ49+AZ37+AZ156+AZ161+AZ166+AZ171+AZ43</f>
        <v>-2213621</v>
      </c>
      <c r="BA16" s="18"/>
      <c r="BB16" s="19"/>
      <c r="BC16" s="274"/>
      <c r="BD16" s="274"/>
      <c r="BE16" s="19">
        <f>+BE55+BE60+BE65+BE71+BE77+BE82+BE88+BE93+BE98+BE103+BE108+BE113+BE118+BE123+BE129+BE135+BE141+BE146+BE151+BE176+BE25+BE31+BE49+BE37+BE156+BE161+BE166+BE171+BE43</f>
        <v>-1216723</v>
      </c>
      <c r="BF16" s="18"/>
      <c r="BG16" s="19"/>
      <c r="BH16" s="274"/>
      <c r="BI16" s="274"/>
      <c r="BJ16" s="19">
        <f>+BJ55+BJ60+BJ65+BJ71+BJ77+BJ82+BJ88+BJ93+BJ98+BJ103+BJ108+BJ113+BJ118+BJ123+BJ129+BJ135+BJ141+BJ146+BJ151+BJ176+BJ25+BJ31+BJ49+BJ37+BJ156+BJ161+BJ166+BJ171+BJ43</f>
        <v>-33827</v>
      </c>
      <c r="BK16" s="18"/>
      <c r="BL16" s="19"/>
      <c r="BM16" s="274"/>
      <c r="BN16" s="274"/>
      <c r="BO16" s="19">
        <f>+BO55+BO60+BO65+BO71+BO77+BO82+BO88+BO93+BO98+BO103+BO108+BO113+BO118+BO123+BO129+BO135+BO141+BO146+BO151+BO176+BO25+BO31+BO49+BO37+BO156+BO161+BO166+BO171+BO43</f>
        <v>-756787</v>
      </c>
      <c r="BP16" s="18"/>
      <c r="BQ16" s="19"/>
      <c r="BR16" s="274"/>
      <c r="BS16" s="274"/>
      <c r="BT16" s="19">
        <f>+BT55+BT60+BT65+BT71+BT77+BT82+BT88+BT93+BT98+BT103+BT108+BT113+BT118+BT123+BT129+BT135+BT141+BT146+BT151+BT176+BT25+BT31+BT49+BT37+BT156+BT161+BT166+BT171+BT43</f>
        <v>-14327910</v>
      </c>
      <c r="BU16" s="18"/>
      <c r="BV16" s="19"/>
      <c r="BW16" s="274"/>
      <c r="BX16" s="274"/>
      <c r="BY16" s="19">
        <f>+BY55+BY60+BY65+BY71+BY77+BY82+BY88+BY93+BY98+BY103+BY108+BY113+BY118+BY123+BY129+BY135+BY141+BY146+BY151+BY176+BY25+BY31+BY49+BY37+BY156+BY161+BY166+BY171+BY43</f>
        <v>-3462654</v>
      </c>
      <c r="BZ16" s="375"/>
      <c r="CB16" s="82"/>
      <c r="CC16" s="82"/>
      <c r="CD16" s="19">
        <f>+CD55+CD60+CD65+CD71+CD77+CD82+CD88+CD93+CD98+CD103+CD108+CD113+CD118+CD123+CD129+CD135+CD141+CD146+CD151+CD176+CD25+CD31+CD49+CD37+CD156+CD161+CD166+CD171+CD43</f>
        <v>-236014</v>
      </c>
      <c r="CE16" s="18"/>
      <c r="CF16" s="19"/>
      <c r="CG16" s="274"/>
      <c r="CH16" s="274"/>
      <c r="CI16" s="19">
        <f>+CI55+CI60+CI65+CI71+CI77+CI82+CI88+CI93+CI98+CI103+CI108+CI113+CI118+CI123+CI129+CI135+CI141+CI146+CI151+CI176+CI25+CI31+CI49+CI37+CI156+CI161+CI166+CI171+CI43</f>
        <v>-324359</v>
      </c>
      <c r="CJ16" s="18"/>
      <c r="CK16" s="19"/>
      <c r="CL16" s="274"/>
      <c r="CM16" s="274"/>
      <c r="CN16" s="19">
        <f>+CN55+CN60+CN65+CN71+CN77+CN82+CN88+CN93+CN98+CN103+CN108+CN113+CN118+CN123+CN129+CN135+CN141+CN146+CN151+CN176+CN25+CN31+CN49+CN37+CN156+CN161+CN166+CN171+CN43</f>
        <v>-183896</v>
      </c>
      <c r="CO16" s="18"/>
      <c r="CP16" s="19"/>
      <c r="CQ16" s="274"/>
      <c r="CR16" s="274"/>
      <c r="CS16" s="19">
        <f>+CS55+CS60+CS65+CS71+CS77+CS82+CS88+CS93+CS98+CS103+CS108+CS113+CS118+CS123+CS129+CS135+CS141+CS146+CS151+CS176+CS25+CS31+CS49+CS37+CS156+CS161+CS166+CS171+CS43</f>
        <v>-236661</v>
      </c>
      <c r="CT16" s="18"/>
      <c r="CU16" s="19"/>
      <c r="CV16" s="274"/>
      <c r="CW16" s="274"/>
      <c r="CX16" s="19">
        <f>+CX55+CX60+CX65+CX71+CX77+CX82+CX88+CX93+CX98+CX103+CX108+CX113+CX118+CX123+CX129+CX135+CX141+CX146+CX151+CX176+CX25+CX31+CX49+CX37+CX156+CX161+CX166+CX171+CX43</f>
        <v>-513408</v>
      </c>
      <c r="CY16" s="18"/>
      <c r="CZ16" s="19"/>
      <c r="DA16" s="274"/>
      <c r="DB16" s="274"/>
      <c r="DC16" s="19">
        <f>+DC55+DC60+DC65+DC71+DC77+DC82+DC88+DC93+DC98+DC103+DC108+DC113+DC118+DC123+DC129+DC135+DC141+DC146+DC151+DC176+DC25+DC31+DC49+DC37+DC156+DC161+DC166+DC171+DC43</f>
        <v>-241446</v>
      </c>
      <c r="DD16" s="18"/>
      <c r="DE16" s="19"/>
      <c r="DF16" s="274"/>
      <c r="DG16" s="274"/>
      <c r="DH16" s="19">
        <f>+DH55+DH60+DH65+DH71+DH77+DH82+DH88+DH93+DH98+DH103+DH108+DH113+DH118+DH123+DH129+DH135+DH141+DH146+DH151+DH176+DH25+DH31+DH49+DH37+DH156+DH161+DH166+DH171+DH43</f>
        <v>-54544</v>
      </c>
      <c r="DI16" s="18"/>
      <c r="DJ16" s="19"/>
      <c r="DK16" s="274"/>
      <c r="DL16" s="274"/>
      <c r="DM16" s="19">
        <f>+DM55+DM60+DM65+DM71+DM77+DM82+DM88+DM93+DM98+DM103+DM108+DM113+DM118+DM123+DM129+DM135+DM141+DM146+DM151+DM176+DM25+DM31+DM49+DM37+DM156+DM161+DM166+DM171+DM43</f>
        <v>-368953</v>
      </c>
      <c r="DN16" s="18"/>
      <c r="DO16" s="19"/>
      <c r="DP16" s="274"/>
      <c r="DQ16" s="274"/>
      <c r="DR16" s="19">
        <f>+DR55+DR60+DR65+DR71+DR77+DR82+DR88+DR93+DR98+DR103+DR108+DR113+DR118+DR123+DR129+DR135+DR141+DR146+DR151+DR176+DR25+DR31+DR49+DR37+DR156+DR161+DR166+DR171+DR43</f>
        <v>-133270</v>
      </c>
      <c r="DS16" s="18"/>
      <c r="DT16" s="19"/>
      <c r="DU16" s="274"/>
      <c r="DV16" s="274"/>
      <c r="DW16" s="19">
        <f>+DW55+DW60+DW65+DW71+DW77+DW82+DW88+DW93+DW98+DW103+DW108+DW113+DW118+DW123+DW129+DW135+DW141+DW146+DW151+DW176+DW25+DW31+DW49+DW37+DW156+DW161+DW166+DW171+DW43</f>
        <v>-279324</v>
      </c>
      <c r="DX16" s="18"/>
      <c r="DY16" s="19"/>
      <c r="DZ16" s="274"/>
      <c r="EA16" s="274"/>
      <c r="EB16" s="19">
        <f>+EB55+EB60+EB65+EB71+EB77+EB82+EB88+EB93+EB98+EB103+EB108+EB113+EB118+EB123+EB129+EB135+EB141+EB146+EB151+EB176+EB25+EB31+EB49+EB37+EB156+EB161+EB166+EB171+EB43</f>
        <v>-508862</v>
      </c>
      <c r="EC16" s="18"/>
      <c r="ED16" s="19"/>
      <c r="EE16" s="274"/>
      <c r="EF16" s="274"/>
      <c r="EG16" s="19">
        <f>+EG55+EG60+EG65+EG71+EG77+EG82+EG88+EG93+EG98+EG103+EG108+EG113+EG118+EG123+EG129+EG135+EG141+EG146+EG151+EG176+EG25+EG31+EG49+EG37+EG156+EG161+EG166+EG171+EG43</f>
        <v>-381917</v>
      </c>
      <c r="EH16" s="18"/>
      <c r="EI16" s="19"/>
      <c r="EJ16" s="274"/>
      <c r="EK16" s="274"/>
      <c r="EL16" s="19">
        <f>+EL55+EL60+EL65+EL71+EL77+EL82+EL88+EL93+EL98+EL103+EL108+EL113+EL118+EL123+EL129+EL135+EL141+EL146+EL151+EL176+EL25+EL31+EL49+EL37+EL156+EL161+EL166+EL171+EL43</f>
        <v>-3462654</v>
      </c>
      <c r="EM16" s="18"/>
      <c r="EN16" s="19"/>
      <c r="EO16" s="244"/>
      <c r="ER16" s="451"/>
      <c r="ES16" s="451"/>
      <c r="ET16" s="120"/>
    </row>
    <row r="17" spans="4:149" x14ac:dyDescent="0.2">
      <c r="D17" s="244" t="s">
        <v>342</v>
      </c>
      <c r="F17" s="276"/>
      <c r="G17" s="175">
        <v>0</v>
      </c>
      <c r="H17" s="158"/>
      <c r="J17" s="82"/>
      <c r="K17" s="276"/>
      <c r="L17" s="438">
        <f>+L66+L72+L83+L124+L130+L136+L26+L32+L50+L38+L44</f>
        <v>2018135</v>
      </c>
      <c r="M17" s="158"/>
      <c r="O17" s="82"/>
      <c r="P17" s="276"/>
      <c r="Q17" s="438">
        <f>+Q66+Q72+Q83+Q124+Q130+Q136+Q26+Q32+Q50+Q38+Q44</f>
        <v>1702088.4509999999</v>
      </c>
      <c r="R17" s="158"/>
      <c r="T17" s="82"/>
      <c r="U17" s="276"/>
      <c r="V17" s="438">
        <f>+V66+V72+V83+V124+V130+V136+V26+V32+V50+V38+V44</f>
        <v>2453020</v>
      </c>
      <c r="W17" s="158"/>
      <c r="Y17" s="82"/>
      <c r="Z17" s="276"/>
      <c r="AA17" s="438">
        <f>+AA66+AA72+AA83+AA124+AA130+AA136+AA26+AA32+AA50+AA38+AA44</f>
        <v>3947663</v>
      </c>
      <c r="AB17" s="158"/>
      <c r="AD17" s="82"/>
      <c r="AE17" s="276"/>
      <c r="AF17" s="438">
        <f>+AF66+AF72+AF83+AF124+AF130+AF136+AF26+AF32+AF50+AF38+AF44</f>
        <v>3082152</v>
      </c>
      <c r="AG17" s="158"/>
      <c r="AI17" s="82"/>
      <c r="AJ17" s="276"/>
      <c r="AK17" s="438">
        <f>+AK66+AK72+AK83+AK124+AK130+AK136+AK26+AK32+AK50+AK38+AK44</f>
        <v>4288478</v>
      </c>
      <c r="AL17" s="158"/>
      <c r="AN17" s="82"/>
      <c r="AO17" s="276"/>
      <c r="AP17" s="438">
        <f>+AP66+AP72+AP83+AP124+AP130+AP136+AP26+AP32+AP50+AP38+AP44</f>
        <v>3115855</v>
      </c>
      <c r="AQ17" s="158"/>
      <c r="AS17" s="82"/>
      <c r="AT17" s="276"/>
      <c r="AU17" s="438">
        <f>+AU66+AU72+AU83+AU124+AU130+AU136+AU26+AU32+AU50+AU38+AU44</f>
        <v>3155729</v>
      </c>
      <c r="AV17" s="158"/>
      <c r="AX17" s="82"/>
      <c r="AY17" s="276"/>
      <c r="AZ17" s="438">
        <f>+AZ66+AZ72+AZ83+AZ124+AZ130+AZ136+AZ26+AZ32+AZ50+AZ38+AZ44</f>
        <v>3106316</v>
      </c>
      <c r="BA17" s="158"/>
      <c r="BC17" s="82"/>
      <c r="BD17" s="276"/>
      <c r="BE17" s="438">
        <f>+BE66+BE72+BE83+BE124+BE130+BE136+BE26+BE32+BE50+BE38+BE44</f>
        <v>1724690</v>
      </c>
      <c r="BF17" s="158"/>
      <c r="BH17" s="82"/>
      <c r="BI17" s="276"/>
      <c r="BJ17" s="438">
        <f>+BJ66+BJ72+BJ83+BJ124+BJ130+BJ136+BJ26+BJ32+BJ50+BJ38+BJ44</f>
        <v>2868356</v>
      </c>
      <c r="BK17" s="158"/>
      <c r="BM17" s="82"/>
      <c r="BN17" s="276"/>
      <c r="BO17" s="438">
        <f>+BO66+BO72+BO83+BO124+BO130+BO136+BO26+BO32+BO50+BO38+BO44</f>
        <v>2591235</v>
      </c>
      <c r="BP17" s="158"/>
      <c r="BR17" s="82"/>
      <c r="BS17" s="276"/>
      <c r="BT17" s="438">
        <f>+BT66+BT72+BT83+BT124+BT130+BT136+BT26+BT32+BT50+BT38+BT44</f>
        <v>34053717.450999998</v>
      </c>
      <c r="BU17" s="158"/>
      <c r="BW17" s="82"/>
      <c r="BX17" s="276"/>
      <c r="BY17" s="438">
        <f>+BY66+BY72+BY83+BY124+BY130+BY136+BY26+BY32+BY50+BY38+BY44</f>
        <v>15951121</v>
      </c>
      <c r="BZ17" s="158"/>
      <c r="CB17" s="82"/>
      <c r="CC17" s="276"/>
      <c r="CD17" s="438">
        <f>+CD66+CD72+CD83+CD124+CD130+CD136+CD26+CD32+CD50+CD38+CD44</f>
        <v>744995</v>
      </c>
      <c r="CE17" s="158"/>
      <c r="CG17" s="82"/>
      <c r="CH17" s="276"/>
      <c r="CI17" s="438">
        <f>+CI66+CI72+CI83+CI124+CI130+CI136+CI26+CI32+CI50+CI38+CI44</f>
        <v>1354255</v>
      </c>
      <c r="CJ17" s="158"/>
      <c r="CL17" s="82"/>
      <c r="CM17" s="276"/>
      <c r="CN17" s="438">
        <f>+CN66+CN72+CN83+CN124+CN130+CN136+CN26+CN32+CN50+CN38+CN44</f>
        <v>1176239</v>
      </c>
      <c r="CO17" s="158"/>
      <c r="CQ17" s="82"/>
      <c r="CR17" s="276"/>
      <c r="CS17" s="438">
        <f>+CS66+CS72+CS83+CS124+CS130+CS136+CS26+CS32+CS50+CS38+CS44</f>
        <v>1391236</v>
      </c>
      <c r="CT17" s="158"/>
      <c r="CV17" s="82"/>
      <c r="CW17" s="276"/>
      <c r="CX17" s="438">
        <f>+CX66+CX72+CX83+CX124+CX130+CX136+CX26+CX32+CX50+CX38+CX44</f>
        <v>947591</v>
      </c>
      <c r="CY17" s="158"/>
      <c r="DA17" s="82"/>
      <c r="DB17" s="276"/>
      <c r="DC17" s="438">
        <f>+DC66+DC72+DC83+DC124+DC130+DC136+DC26+DC32+DC50+DC38+DC44</f>
        <v>1530912</v>
      </c>
      <c r="DD17" s="158"/>
      <c r="DF17" s="82"/>
      <c r="DG17" s="276"/>
      <c r="DH17" s="438">
        <f>+DH66+DH72+DH83+DH124+DH130+DH136+DH26+DH32+DH50+DH38+DH44</f>
        <v>2085548</v>
      </c>
      <c r="DI17" s="158"/>
      <c r="DK17" s="82"/>
      <c r="DL17" s="276"/>
      <c r="DM17" s="438">
        <f>+DM66+DM72+DM83+DM124+DM130+DM136+DM26+DM32+DM50+DM38+DM44</f>
        <v>1577103</v>
      </c>
      <c r="DN17" s="158"/>
      <c r="DP17" s="82"/>
      <c r="DQ17" s="276"/>
      <c r="DR17" s="438">
        <f>+DR66+DR72+DR83+DR124+DR130+DR136+DR26+DR32+DR50+DR38+DR44</f>
        <v>1205598</v>
      </c>
      <c r="DS17" s="158"/>
      <c r="DU17" s="82"/>
      <c r="DV17" s="276"/>
      <c r="DW17" s="438">
        <f>+DW66+DW72+DW83+DW124+DW130+DW136+DW26+DW32+DW50+DW38+DW44</f>
        <v>955833</v>
      </c>
      <c r="DX17" s="158"/>
      <c r="DZ17" s="82"/>
      <c r="EA17" s="276"/>
      <c r="EB17" s="438">
        <f>+EB66+EB72+EB83+EB124+EB130+EB136+EB26+EB32+EB50+EB38+EB44</f>
        <v>1620759</v>
      </c>
      <c r="EC17" s="158"/>
      <c r="EE17" s="82"/>
      <c r="EF17" s="276"/>
      <c r="EG17" s="438">
        <f>+EG66+EG72+EG83+EG124+EG130+EG136+EG26+EG32+EG50+EG38+EG44</f>
        <v>1361052</v>
      </c>
      <c r="EH17" s="158"/>
      <c r="EJ17" s="82"/>
      <c r="EK17" s="276"/>
      <c r="EL17" s="438">
        <f>+EL66+EL72+EL83+EL124+EL130+EL136+EL26+EL32+EL50+EL38+EL44</f>
        <v>15951121</v>
      </c>
      <c r="EM17" s="158"/>
      <c r="EO17" s="244"/>
      <c r="ER17" s="451"/>
      <c r="ES17" s="451"/>
    </row>
    <row r="18" spans="4:149" x14ac:dyDescent="0.2">
      <c r="D18" s="244"/>
      <c r="G18" s="19"/>
      <c r="H18" s="19"/>
      <c r="I18" s="19"/>
      <c r="J18" s="274"/>
      <c r="K18" s="19"/>
      <c r="L18" s="19"/>
      <c r="M18" s="19"/>
      <c r="N18" s="19"/>
      <c r="O18" s="274"/>
      <c r="P18" s="19"/>
      <c r="Q18" s="19"/>
      <c r="R18" s="19"/>
      <c r="S18" s="19"/>
      <c r="T18" s="274"/>
      <c r="U18" s="19"/>
      <c r="V18" s="19"/>
      <c r="W18" s="19"/>
      <c r="X18" s="19"/>
      <c r="Y18" s="274"/>
      <c r="Z18" s="19"/>
      <c r="AA18" s="19"/>
      <c r="AB18" s="19"/>
      <c r="AC18" s="19"/>
      <c r="AD18" s="274"/>
      <c r="AE18" s="19"/>
      <c r="AF18" s="19"/>
      <c r="AG18" s="19"/>
      <c r="AH18" s="19"/>
      <c r="AI18" s="274"/>
      <c r="AJ18" s="19"/>
      <c r="AK18" s="19"/>
      <c r="AL18" s="19"/>
      <c r="AM18" s="19"/>
      <c r="AN18" s="274"/>
      <c r="AO18" s="19"/>
      <c r="AP18" s="19"/>
      <c r="AQ18" s="19"/>
      <c r="AR18" s="19"/>
      <c r="AS18" s="274"/>
      <c r="AT18" s="19"/>
      <c r="AU18" s="19"/>
      <c r="AV18" s="19"/>
      <c r="AW18" s="19"/>
      <c r="AX18" s="274"/>
      <c r="AY18" s="19"/>
      <c r="AZ18" s="19"/>
      <c r="BA18" s="19"/>
      <c r="BB18" s="19"/>
      <c r="BC18" s="274"/>
      <c r="BD18" s="19"/>
      <c r="BE18" s="19"/>
      <c r="BF18" s="19"/>
      <c r="BG18" s="19"/>
      <c r="BH18" s="274"/>
      <c r="BI18" s="19"/>
      <c r="BJ18" s="19"/>
      <c r="BK18" s="19"/>
      <c r="BL18" s="19"/>
      <c r="BM18" s="274"/>
      <c r="BN18" s="19"/>
      <c r="BO18" s="19"/>
      <c r="BP18" s="19"/>
      <c r="BQ18" s="19"/>
      <c r="BR18" s="274"/>
      <c r="BS18" s="19"/>
      <c r="BT18" s="19"/>
      <c r="BU18" s="19"/>
      <c r="BV18" s="19"/>
      <c r="BW18" s="274"/>
      <c r="BX18" s="19"/>
      <c r="BY18" s="19"/>
      <c r="BZ18" s="19"/>
      <c r="CA18" s="19"/>
      <c r="CB18" s="274"/>
      <c r="CC18" s="19"/>
      <c r="CD18" s="19"/>
      <c r="CE18" s="19"/>
      <c r="CF18" s="19"/>
      <c r="CG18" s="274"/>
      <c r="CH18" s="19"/>
      <c r="CI18" s="19"/>
      <c r="CJ18" s="19"/>
      <c r="CK18" s="19"/>
      <c r="CL18" s="274"/>
      <c r="CM18" s="19"/>
      <c r="CN18" s="19"/>
      <c r="CO18" s="19"/>
      <c r="CP18" s="19"/>
      <c r="CQ18" s="274"/>
      <c r="CR18" s="19"/>
      <c r="CS18" s="19"/>
      <c r="CT18" s="19"/>
      <c r="CU18" s="19"/>
      <c r="CV18" s="274"/>
      <c r="CW18" s="19"/>
      <c r="CX18" s="19"/>
      <c r="CY18" s="19"/>
      <c r="CZ18" s="19"/>
      <c r="DA18" s="274"/>
      <c r="DB18" s="19"/>
      <c r="DC18" s="19"/>
      <c r="DD18" s="19"/>
      <c r="DE18" s="19"/>
      <c r="DF18" s="274"/>
      <c r="DG18" s="19"/>
      <c r="DH18" s="19"/>
      <c r="DI18" s="19"/>
      <c r="DJ18" s="19"/>
      <c r="DK18" s="274"/>
      <c r="DL18" s="19"/>
      <c r="DM18" s="19"/>
      <c r="DN18" s="19"/>
      <c r="DO18" s="19"/>
      <c r="DP18" s="274"/>
      <c r="DQ18" s="19"/>
      <c r="DR18" s="19"/>
      <c r="DS18" s="19"/>
      <c r="DT18" s="19"/>
      <c r="DU18" s="274"/>
      <c r="DV18" s="19"/>
      <c r="DW18" s="19"/>
      <c r="DX18" s="19"/>
      <c r="DY18" s="19"/>
      <c r="DZ18" s="274"/>
      <c r="EA18" s="19"/>
      <c r="EB18" s="19"/>
      <c r="EC18" s="19"/>
      <c r="ED18" s="19"/>
      <c r="EE18" s="274"/>
      <c r="EF18" s="19"/>
      <c r="EG18" s="19"/>
      <c r="EH18" s="19"/>
      <c r="EI18" s="19"/>
      <c r="EJ18" s="274"/>
      <c r="EK18" s="19"/>
      <c r="EL18" s="19"/>
      <c r="EM18" s="19"/>
      <c r="EN18" s="19"/>
      <c r="EO18" s="244"/>
      <c r="ER18" s="451"/>
      <c r="ES18" s="451"/>
    </row>
    <row r="19" spans="4:149" ht="12.75" customHeight="1" x14ac:dyDescent="0.2">
      <c r="D19" s="244" t="s">
        <v>343</v>
      </c>
      <c r="G19" s="19">
        <f>SUM(G20:G20)</f>
        <v>0</v>
      </c>
      <c r="H19" s="19"/>
      <c r="I19" s="19"/>
      <c r="J19" s="274"/>
      <c r="K19" s="19"/>
      <c r="L19" s="19">
        <f>SUM(L20:L20)</f>
        <v>2634484</v>
      </c>
      <c r="M19" s="19"/>
      <c r="N19" s="19"/>
      <c r="O19" s="274"/>
      <c r="P19" s="19"/>
      <c r="Q19" s="19">
        <f>SUM(Q20:Q20)</f>
        <v>1723199.2930000001</v>
      </c>
      <c r="R19" s="19"/>
      <c r="S19" s="19"/>
      <c r="T19" s="274"/>
      <c r="U19" s="19"/>
      <c r="V19" s="19">
        <f>SUM(V20:V20)</f>
        <v>575828</v>
      </c>
      <c r="W19" s="19"/>
      <c r="X19" s="19"/>
      <c r="Y19" s="274"/>
      <c r="Z19" s="19"/>
      <c r="AA19" s="19">
        <f>SUM(AA20:AA20)</f>
        <v>349368</v>
      </c>
      <c r="AB19" s="19"/>
      <c r="AC19" s="19"/>
      <c r="AD19" s="274"/>
      <c r="AE19" s="19"/>
      <c r="AF19" s="19">
        <f>SUM(AF20:AF20)</f>
        <v>358206</v>
      </c>
      <c r="AG19" s="19"/>
      <c r="AH19" s="19"/>
      <c r="AI19" s="274"/>
      <c r="AJ19" s="19"/>
      <c r="AK19" s="19">
        <f>SUM(AK20:AK20)</f>
        <v>536365</v>
      </c>
      <c r="AL19" s="19"/>
      <c r="AM19" s="19"/>
      <c r="AN19" s="274"/>
      <c r="AO19" s="19"/>
      <c r="AP19" s="19">
        <f>SUM(AP20:AP20)</f>
        <v>368566</v>
      </c>
      <c r="AQ19" s="19"/>
      <c r="AR19" s="19"/>
      <c r="AS19" s="274"/>
      <c r="AT19" s="19"/>
      <c r="AU19" s="19">
        <f>SUM(AU20:AU20)</f>
        <v>392181</v>
      </c>
      <c r="AV19" s="19"/>
      <c r="AW19" s="19"/>
      <c r="AX19" s="274"/>
      <c r="AY19" s="19"/>
      <c r="AZ19" s="19">
        <f>SUM(AZ20:AZ20)</f>
        <v>341082</v>
      </c>
      <c r="BA19" s="19"/>
      <c r="BB19" s="19"/>
      <c r="BC19" s="274"/>
      <c r="BD19" s="19"/>
      <c r="BE19" s="19">
        <f>SUM(BE20:BE20)</f>
        <v>337948</v>
      </c>
      <c r="BF19" s="19"/>
      <c r="BG19" s="19"/>
      <c r="BH19" s="274"/>
      <c r="BI19" s="19"/>
      <c r="BJ19" s="19">
        <f>SUM(BJ20:BJ20)</f>
        <v>281083</v>
      </c>
      <c r="BK19" s="19"/>
      <c r="BL19" s="19"/>
      <c r="BM19" s="274"/>
      <c r="BN19" s="19"/>
      <c r="BO19" s="19">
        <f>SUM(BO20:BO20)</f>
        <v>617802</v>
      </c>
      <c r="BP19" s="19"/>
      <c r="BQ19" s="19"/>
      <c r="BR19" s="274"/>
      <c r="BS19" s="19"/>
      <c r="BT19" s="19">
        <f>SUM(BT20:BT20)</f>
        <v>8516112.2929999996</v>
      </c>
      <c r="BU19" s="19"/>
      <c r="BV19" s="19"/>
      <c r="BW19" s="274"/>
      <c r="BX19" s="19"/>
      <c r="BY19" s="19">
        <f>SUM(BY20:BY20)</f>
        <v>3567262</v>
      </c>
      <c r="BZ19" s="19"/>
      <c r="CA19" s="19"/>
      <c r="CB19" s="274"/>
      <c r="CC19" s="19"/>
      <c r="CD19" s="19">
        <f>SUM(CD20:CD20)</f>
        <v>278881</v>
      </c>
      <c r="CE19" s="19"/>
      <c r="CF19" s="19"/>
      <c r="CG19" s="274"/>
      <c r="CH19" s="19"/>
      <c r="CI19" s="19">
        <f>SUM(CI20:CI20)</f>
        <v>240457</v>
      </c>
      <c r="CJ19" s="19"/>
      <c r="CK19" s="19"/>
      <c r="CL19" s="274"/>
      <c r="CM19" s="19"/>
      <c r="CN19" s="19">
        <f>SUM(CN20:CN20)</f>
        <v>260968</v>
      </c>
      <c r="CO19" s="19"/>
      <c r="CP19" s="19"/>
      <c r="CQ19" s="274"/>
      <c r="CR19" s="19"/>
      <c r="CS19" s="19">
        <f>SUM(CS20:CS20)</f>
        <v>254592</v>
      </c>
      <c r="CT19" s="19"/>
      <c r="CU19" s="19"/>
      <c r="CV19" s="274"/>
      <c r="CW19" s="19"/>
      <c r="CX19" s="19">
        <f>SUM(CX20:CX20)</f>
        <v>286143</v>
      </c>
      <c r="CY19" s="19"/>
      <c r="CZ19" s="19"/>
      <c r="DA19" s="274"/>
      <c r="DB19" s="19"/>
      <c r="DC19" s="19">
        <f>SUM(DC20:DC20)</f>
        <v>475908</v>
      </c>
      <c r="DD19" s="19"/>
      <c r="DE19" s="19"/>
      <c r="DF19" s="274"/>
      <c r="DG19" s="19"/>
      <c r="DH19" s="19">
        <f>SUM(DH20:DH20)</f>
        <v>320337</v>
      </c>
      <c r="DI19" s="19"/>
      <c r="DJ19" s="19"/>
      <c r="DK19" s="274"/>
      <c r="DL19" s="19"/>
      <c r="DM19" s="19">
        <f>SUM(DM20:DM20)</f>
        <v>279732</v>
      </c>
      <c r="DN19" s="19"/>
      <c r="DO19" s="19"/>
      <c r="DP19" s="274"/>
      <c r="DQ19" s="19"/>
      <c r="DR19" s="19">
        <f>SUM(DR20:DR20)</f>
        <v>238735</v>
      </c>
      <c r="DS19" s="19"/>
      <c r="DT19" s="19"/>
      <c r="DU19" s="274"/>
      <c r="DV19" s="19"/>
      <c r="DW19" s="19">
        <f>SUM(DW20:DW20)</f>
        <v>304939</v>
      </c>
      <c r="DX19" s="19"/>
      <c r="DY19" s="19"/>
      <c r="DZ19" s="274"/>
      <c r="EA19" s="19"/>
      <c r="EB19" s="19">
        <f>SUM(EB20:EB20)</f>
        <v>254776</v>
      </c>
      <c r="EC19" s="19"/>
      <c r="ED19" s="19"/>
      <c r="EE19" s="274"/>
      <c r="EF19" s="19"/>
      <c r="EG19" s="19">
        <f>SUM(EG20:EG20)</f>
        <v>371794</v>
      </c>
      <c r="EH19" s="19"/>
      <c r="EI19" s="19"/>
      <c r="EJ19" s="274"/>
      <c r="EK19" s="19"/>
      <c r="EL19" s="19">
        <f>SUM(EL20:EL20)</f>
        <v>3567262</v>
      </c>
      <c r="EM19" s="19"/>
      <c r="EN19" s="19"/>
      <c r="EO19" s="244"/>
      <c r="ER19" s="451"/>
      <c r="ES19" s="451"/>
    </row>
    <row r="20" spans="4:149" x14ac:dyDescent="0.2">
      <c r="D20" s="129" t="s">
        <v>344</v>
      </c>
      <c r="E20" s="274"/>
      <c r="F20" s="91"/>
      <c r="G20" s="81">
        <v>0</v>
      </c>
      <c r="H20" s="49"/>
      <c r="I20" s="19"/>
      <c r="J20" s="274"/>
      <c r="K20" s="48"/>
      <c r="L20" s="81">
        <v>2634484</v>
      </c>
      <c r="M20" s="49"/>
      <c r="N20" s="19"/>
      <c r="O20" s="274"/>
      <c r="P20" s="48"/>
      <c r="Q20" s="334">
        <v>1723199.2930000001</v>
      </c>
      <c r="R20" s="49"/>
      <c r="S20" s="19"/>
      <c r="T20" s="274"/>
      <c r="U20" s="48"/>
      <c r="V20" s="334">
        <v>575828</v>
      </c>
      <c r="W20" s="49"/>
      <c r="X20" s="19"/>
      <c r="Y20" s="274"/>
      <c r="Z20" s="48"/>
      <c r="AA20" s="334">
        <v>349368</v>
      </c>
      <c r="AB20" s="49"/>
      <c r="AC20" s="19"/>
      <c r="AD20" s="274"/>
      <c r="AE20" s="48"/>
      <c r="AF20" s="334">
        <v>358206</v>
      </c>
      <c r="AG20" s="49"/>
      <c r="AH20" s="19"/>
      <c r="AI20" s="274"/>
      <c r="AJ20" s="48"/>
      <c r="AK20" s="334">
        <v>536365</v>
      </c>
      <c r="AL20" s="49"/>
      <c r="AM20" s="19"/>
      <c r="AN20" s="274"/>
      <c r="AO20" s="48"/>
      <c r="AP20" s="334">
        <v>368566</v>
      </c>
      <c r="AQ20" s="49"/>
      <c r="AR20" s="19"/>
      <c r="AS20" s="274"/>
      <c r="AT20" s="48"/>
      <c r="AU20" s="334">
        <v>392181</v>
      </c>
      <c r="AV20" s="49"/>
      <c r="AW20" s="19"/>
      <c r="AX20" s="274"/>
      <c r="AY20" s="48"/>
      <c r="AZ20" s="334">
        <v>341082</v>
      </c>
      <c r="BA20" s="49"/>
      <c r="BB20" s="19"/>
      <c r="BC20" s="274"/>
      <c r="BD20" s="48"/>
      <c r="BE20" s="334">
        <v>337948</v>
      </c>
      <c r="BF20" s="49"/>
      <c r="BG20" s="19"/>
      <c r="BH20" s="274"/>
      <c r="BI20" s="48"/>
      <c r="BJ20" s="334">
        <v>281083</v>
      </c>
      <c r="BK20" s="49"/>
      <c r="BL20" s="19"/>
      <c r="BM20" s="274"/>
      <c r="BN20" s="48"/>
      <c r="BO20" s="334">
        <v>617802</v>
      </c>
      <c r="BP20" s="49"/>
      <c r="BQ20" s="19"/>
      <c r="BR20" s="274"/>
      <c r="BS20" s="48"/>
      <c r="BT20" s="81">
        <f>SUM(L20:BO20)</f>
        <v>8516112.2929999996</v>
      </c>
      <c r="BU20" s="49"/>
      <c r="BV20" s="19"/>
      <c r="BW20" s="274"/>
      <c r="BX20" s="48"/>
      <c r="BY20" s="81">
        <v>3567262</v>
      </c>
      <c r="BZ20" s="49"/>
      <c r="CA20" s="19"/>
      <c r="CB20" s="274"/>
      <c r="CC20" s="48"/>
      <c r="CD20" s="81">
        <v>278881</v>
      </c>
      <c r="CE20" s="49"/>
      <c r="CF20" s="19"/>
      <c r="CG20" s="274"/>
      <c r="CH20" s="48"/>
      <c r="CI20" s="334">
        <v>240457</v>
      </c>
      <c r="CJ20" s="49"/>
      <c r="CK20" s="19"/>
      <c r="CL20" s="274"/>
      <c r="CM20" s="48"/>
      <c r="CN20" s="334">
        <v>260968</v>
      </c>
      <c r="CO20" s="49"/>
      <c r="CP20" s="19"/>
      <c r="CQ20" s="274"/>
      <c r="CR20" s="48"/>
      <c r="CS20" s="334">
        <v>254592</v>
      </c>
      <c r="CT20" s="49"/>
      <c r="CU20" s="19"/>
      <c r="CV20" s="274"/>
      <c r="CW20" s="48"/>
      <c r="CX20" s="334">
        <v>286143</v>
      </c>
      <c r="CY20" s="49"/>
      <c r="CZ20" s="19"/>
      <c r="DA20" s="274"/>
      <c r="DB20" s="48"/>
      <c r="DC20" s="334">
        <v>475908</v>
      </c>
      <c r="DD20" s="49"/>
      <c r="DE20" s="19"/>
      <c r="DF20" s="274"/>
      <c r="DG20" s="48"/>
      <c r="DH20" s="334">
        <v>320337</v>
      </c>
      <c r="DI20" s="49"/>
      <c r="DJ20" s="19"/>
      <c r="DK20" s="274"/>
      <c r="DL20" s="48"/>
      <c r="DM20" s="334">
        <v>279732</v>
      </c>
      <c r="DN20" s="49"/>
      <c r="DO20" s="19"/>
      <c r="DP20" s="274"/>
      <c r="DQ20" s="48"/>
      <c r="DR20" s="334">
        <v>238735</v>
      </c>
      <c r="DS20" s="49"/>
      <c r="DT20" s="19"/>
      <c r="DU20" s="274"/>
      <c r="DV20" s="48"/>
      <c r="DW20" s="334">
        <v>304939</v>
      </c>
      <c r="DX20" s="49"/>
      <c r="DY20" s="19"/>
      <c r="DZ20" s="274"/>
      <c r="EA20" s="48"/>
      <c r="EB20" s="334">
        <v>254776</v>
      </c>
      <c r="EC20" s="49"/>
      <c r="ED20" s="19"/>
      <c r="EE20" s="274"/>
      <c r="EF20" s="48"/>
      <c r="EG20" s="334">
        <v>371794</v>
      </c>
      <c r="EH20" s="49"/>
      <c r="EI20" s="19"/>
      <c r="EJ20" s="274"/>
      <c r="EK20" s="48"/>
      <c r="EL20" s="81">
        <f>SUM(CD20:EG20)</f>
        <v>3567262</v>
      </c>
      <c r="EM20" s="49"/>
      <c r="EN20" s="19"/>
      <c r="EO20" s="244"/>
      <c r="ER20" s="451"/>
      <c r="ES20" s="451"/>
    </row>
    <row r="21" spans="4:149" x14ac:dyDescent="0.2">
      <c r="D21" s="435"/>
      <c r="E21" s="274"/>
      <c r="G21" s="19"/>
      <c r="H21" s="19"/>
      <c r="I21" s="19"/>
      <c r="J21" s="274"/>
      <c r="K21" s="19"/>
      <c r="L21" s="19"/>
      <c r="M21" s="19"/>
      <c r="N21" s="19"/>
      <c r="O21" s="274"/>
      <c r="P21" s="19"/>
      <c r="Q21" s="19"/>
      <c r="R21" s="19"/>
      <c r="S21" s="19"/>
      <c r="T21" s="274"/>
      <c r="U21" s="19"/>
      <c r="V21" s="19"/>
      <c r="W21" s="19"/>
      <c r="X21" s="19"/>
      <c r="Y21" s="274"/>
      <c r="Z21" s="19"/>
      <c r="AA21" s="19"/>
      <c r="AB21" s="19"/>
      <c r="AC21" s="19"/>
      <c r="AD21" s="274"/>
      <c r="AE21" s="19"/>
      <c r="AF21" s="19"/>
      <c r="AG21" s="19"/>
      <c r="AH21" s="19"/>
      <c r="AI21" s="274"/>
      <c r="AJ21" s="19"/>
      <c r="AK21" s="19"/>
      <c r="AL21" s="19"/>
      <c r="AM21" s="19"/>
      <c r="AN21" s="274"/>
      <c r="AO21" s="19"/>
      <c r="AP21" s="19"/>
      <c r="AQ21" s="19"/>
      <c r="AR21" s="19"/>
      <c r="AS21" s="274"/>
      <c r="AT21" s="19"/>
      <c r="AU21" s="19"/>
      <c r="AV21" s="19"/>
      <c r="AW21" s="19"/>
      <c r="AX21" s="274"/>
      <c r="AY21" s="19"/>
      <c r="AZ21" s="19"/>
      <c r="BA21" s="19"/>
      <c r="BB21" s="19"/>
      <c r="BC21" s="274"/>
      <c r="BD21" s="19"/>
      <c r="BE21" s="19"/>
      <c r="BF21" s="19"/>
      <c r="BG21" s="19"/>
      <c r="BH21" s="274"/>
      <c r="BI21" s="19"/>
      <c r="BJ21" s="19"/>
      <c r="BK21" s="19"/>
      <c r="BL21" s="19"/>
      <c r="BM21" s="274"/>
      <c r="BN21" s="19"/>
      <c r="BO21" s="19"/>
      <c r="BP21" s="19"/>
      <c r="BQ21" s="19"/>
      <c r="BR21" s="274"/>
      <c r="BS21" s="19"/>
      <c r="BT21" s="19"/>
      <c r="BU21" s="19"/>
      <c r="BV21" s="19"/>
      <c r="BW21" s="274"/>
      <c r="BX21" s="19"/>
      <c r="BY21" s="19"/>
      <c r="BZ21" s="19"/>
      <c r="CA21" s="19"/>
      <c r="CB21" s="274"/>
      <c r="CC21" s="19"/>
      <c r="CD21" s="19"/>
      <c r="CE21" s="19"/>
      <c r="CF21" s="19"/>
      <c r="CG21" s="274"/>
      <c r="CH21" s="19"/>
      <c r="CI21" s="19"/>
      <c r="CJ21" s="19"/>
      <c r="CK21" s="19"/>
      <c r="CL21" s="274"/>
      <c r="CM21" s="19"/>
      <c r="CN21" s="19"/>
      <c r="CO21" s="19"/>
      <c r="CP21" s="19"/>
      <c r="CQ21" s="274"/>
      <c r="CR21" s="19"/>
      <c r="CS21" s="19"/>
      <c r="CT21" s="19"/>
      <c r="CU21" s="19"/>
      <c r="CV21" s="274"/>
      <c r="CW21" s="19"/>
      <c r="CX21" s="19"/>
      <c r="CY21" s="19"/>
      <c r="CZ21" s="19"/>
      <c r="DA21" s="274"/>
      <c r="DB21" s="19"/>
      <c r="DC21" s="19"/>
      <c r="DD21" s="19"/>
      <c r="DE21" s="19"/>
      <c r="DF21" s="274"/>
      <c r="DG21" s="19"/>
      <c r="DH21" s="19"/>
      <c r="DI21" s="19"/>
      <c r="DJ21" s="19"/>
      <c r="DK21" s="274"/>
      <c r="DL21" s="19"/>
      <c r="DM21" s="19"/>
      <c r="DN21" s="19"/>
      <c r="DO21" s="19"/>
      <c r="DP21" s="274"/>
      <c r="DQ21" s="19"/>
      <c r="DR21" s="19"/>
      <c r="DS21" s="19"/>
      <c r="DT21" s="19"/>
      <c r="DU21" s="274"/>
      <c r="DV21" s="19"/>
      <c r="DW21" s="19"/>
      <c r="DX21" s="19"/>
      <c r="DY21" s="19"/>
      <c r="DZ21" s="274"/>
      <c r="EA21" s="19"/>
      <c r="EB21" s="19"/>
      <c r="EC21" s="19"/>
      <c r="ED21" s="19"/>
      <c r="EE21" s="274"/>
      <c r="EF21" s="19"/>
      <c r="EG21" s="19"/>
      <c r="EH21" s="19"/>
      <c r="EI21" s="19"/>
      <c r="EJ21" s="274"/>
      <c r="EK21" s="19"/>
      <c r="EL21" s="19"/>
      <c r="EM21" s="19"/>
      <c r="EN21" s="19"/>
      <c r="EO21" s="244"/>
      <c r="ER21" s="451"/>
      <c r="ES21" s="451"/>
    </row>
    <row r="22" spans="4:149" ht="12.75" customHeight="1" x14ac:dyDescent="0.2">
      <c r="D22" s="244" t="s">
        <v>345</v>
      </c>
      <c r="E22" s="274"/>
      <c r="G22" s="19">
        <f>SUM(G23:G26)</f>
        <v>0</v>
      </c>
      <c r="H22" s="19"/>
      <c r="I22" s="19"/>
      <c r="J22" s="274"/>
      <c r="K22" s="19"/>
      <c r="L22" s="19">
        <f>SUM(L23:L26)</f>
        <v>1042197</v>
      </c>
      <c r="M22" s="19"/>
      <c r="N22" s="19"/>
      <c r="O22" s="274"/>
      <c r="P22" s="19"/>
      <c r="Q22" s="19">
        <f>SUM(Q23:Q26)</f>
        <v>1058402</v>
      </c>
      <c r="R22" s="19"/>
      <c r="S22" s="19"/>
      <c r="T22" s="274"/>
      <c r="U22" s="19"/>
      <c r="V22" s="19">
        <f>SUM(V23:V26)</f>
        <v>2103455</v>
      </c>
      <c r="W22" s="19"/>
      <c r="X22" s="19"/>
      <c r="Y22" s="274"/>
      <c r="Z22" s="19"/>
      <c r="AA22" s="19">
        <f>SUM(AA23:AA26)</f>
        <v>2696004</v>
      </c>
      <c r="AB22" s="19"/>
      <c r="AC22" s="19"/>
      <c r="AD22" s="274"/>
      <c r="AE22" s="19"/>
      <c r="AF22" s="19">
        <f>SUM(AF23:AF26)</f>
        <v>3471351</v>
      </c>
      <c r="AG22" s="19"/>
      <c r="AH22" s="19"/>
      <c r="AI22" s="274"/>
      <c r="AJ22" s="19"/>
      <c r="AK22" s="19">
        <f>SUM(AK23:AK26)</f>
        <v>2609265</v>
      </c>
      <c r="AL22" s="19"/>
      <c r="AM22" s="19"/>
      <c r="AN22" s="274"/>
      <c r="AO22" s="19"/>
      <c r="AP22" s="19">
        <f>SUM(AP23:AP26)</f>
        <v>1241741</v>
      </c>
      <c r="AQ22" s="19"/>
      <c r="AR22" s="19"/>
      <c r="AS22" s="274"/>
      <c r="AT22" s="19"/>
      <c r="AU22" s="19">
        <f>SUM(AU23:AU26)</f>
        <v>1223103</v>
      </c>
      <c r="AV22" s="19"/>
      <c r="AW22" s="19"/>
      <c r="AX22" s="274"/>
      <c r="AY22" s="19"/>
      <c r="AZ22" s="19">
        <f>SUM(AZ23:AZ26)</f>
        <v>2240063</v>
      </c>
      <c r="BA22" s="19"/>
      <c r="BB22" s="19"/>
      <c r="BC22" s="274"/>
      <c r="BD22" s="19"/>
      <c r="BE22" s="19">
        <f>SUM(BE23:BE26)</f>
        <v>3007073</v>
      </c>
      <c r="BF22" s="19"/>
      <c r="BG22" s="19"/>
      <c r="BH22" s="274"/>
      <c r="BI22" s="19"/>
      <c r="BJ22" s="19">
        <f>SUM(BJ23:BJ26)</f>
        <v>2383391</v>
      </c>
      <c r="BK22" s="19"/>
      <c r="BL22" s="19"/>
      <c r="BM22" s="274"/>
      <c r="BN22" s="19"/>
      <c r="BO22" s="19">
        <f>SUM(BO23:BO26)</f>
        <v>0</v>
      </c>
      <c r="BP22" s="19"/>
      <c r="BQ22" s="19"/>
      <c r="BR22" s="274"/>
      <c r="BS22" s="19"/>
      <c r="BT22" s="19">
        <f>SUM(BT23:BT26)</f>
        <v>23076045</v>
      </c>
      <c r="BU22" s="19"/>
      <c r="BV22" s="19"/>
      <c r="BW22" s="274"/>
      <c r="BX22" s="19"/>
      <c r="BY22" s="19">
        <f>SUM(BY23:BY26)</f>
        <v>11961510</v>
      </c>
      <c r="BZ22" s="19"/>
      <c r="CA22" s="19"/>
      <c r="CB22" s="274"/>
      <c r="CC22" s="19"/>
      <c r="CD22" s="19">
        <f>SUM(CD23:CD26)</f>
        <v>852104</v>
      </c>
      <c r="CE22" s="19"/>
      <c r="CF22" s="19"/>
      <c r="CG22" s="274"/>
      <c r="CH22" s="19"/>
      <c r="CI22" s="19">
        <f>SUM(CI23:CI26)</f>
        <v>747025</v>
      </c>
      <c r="CJ22" s="19"/>
      <c r="CK22" s="19"/>
      <c r="CL22" s="274"/>
      <c r="CM22" s="19"/>
      <c r="CN22" s="19">
        <f>SUM(CN23:CN26)</f>
        <v>841254</v>
      </c>
      <c r="CO22" s="19"/>
      <c r="CP22" s="19"/>
      <c r="CQ22" s="274"/>
      <c r="CR22" s="19"/>
      <c r="CS22" s="19">
        <f>SUM(CS23:CS26)</f>
        <v>717377</v>
      </c>
      <c r="CT22" s="19"/>
      <c r="CU22" s="19"/>
      <c r="CV22" s="274"/>
      <c r="CW22" s="19"/>
      <c r="CX22" s="19">
        <f>SUM(CX23:CX26)</f>
        <v>1066256</v>
      </c>
      <c r="CY22" s="19"/>
      <c r="CZ22" s="19"/>
      <c r="DA22" s="274"/>
      <c r="DB22" s="19"/>
      <c r="DC22" s="19">
        <f>SUM(DC23:DC26)</f>
        <v>1082818</v>
      </c>
      <c r="DD22" s="19"/>
      <c r="DE22" s="19"/>
      <c r="DF22" s="274"/>
      <c r="DG22" s="19"/>
      <c r="DH22" s="19">
        <f>SUM(DH23:DH26)</f>
        <v>1806847</v>
      </c>
      <c r="DI22" s="19"/>
      <c r="DJ22" s="19"/>
      <c r="DK22" s="274"/>
      <c r="DL22" s="19"/>
      <c r="DM22" s="19">
        <f>SUM(DM23:DM26)</f>
        <v>472966</v>
      </c>
      <c r="DN22" s="19"/>
      <c r="DO22" s="19"/>
      <c r="DP22" s="274"/>
      <c r="DQ22" s="19"/>
      <c r="DR22" s="19">
        <f>SUM(DR23:DR26)</f>
        <v>1305236</v>
      </c>
      <c r="DS22" s="19"/>
      <c r="DT22" s="19"/>
      <c r="DU22" s="274"/>
      <c r="DV22" s="19"/>
      <c r="DW22" s="19">
        <f>SUM(DW23:DW26)</f>
        <v>452852</v>
      </c>
      <c r="DX22" s="19"/>
      <c r="DY22" s="19"/>
      <c r="DZ22" s="274"/>
      <c r="EA22" s="19"/>
      <c r="EB22" s="19">
        <f>SUM(EB23:EB26)</f>
        <v>2075040</v>
      </c>
      <c r="EC22" s="19"/>
      <c r="ED22" s="19"/>
      <c r="EE22" s="274"/>
      <c r="EF22" s="19"/>
      <c r="EG22" s="19">
        <f>SUM(EG23:EG26)</f>
        <v>541735</v>
      </c>
      <c r="EH22" s="19"/>
      <c r="EI22" s="19"/>
      <c r="EJ22" s="274"/>
      <c r="EK22" s="19"/>
      <c r="EL22" s="19">
        <f>SUM(EL23:EL26)</f>
        <v>11961510</v>
      </c>
      <c r="EM22" s="19"/>
      <c r="EN22" s="19"/>
      <c r="EO22" s="244"/>
      <c r="ER22" s="451"/>
      <c r="ES22" s="451"/>
    </row>
    <row r="23" spans="4:149" ht="12.75" customHeight="1" x14ac:dyDescent="0.2">
      <c r="D23" s="244" t="s">
        <v>344</v>
      </c>
      <c r="E23" s="17"/>
      <c r="F23" s="112"/>
      <c r="G23" s="374">
        <v>0</v>
      </c>
      <c r="H23" s="475"/>
      <c r="I23" s="19"/>
      <c r="J23" s="274"/>
      <c r="K23" s="173"/>
      <c r="L23" s="374">
        <f>710000-92043</f>
        <v>617957</v>
      </c>
      <c r="M23" s="475"/>
      <c r="N23" s="19"/>
      <c r="O23" s="274"/>
      <c r="P23" s="173"/>
      <c r="Q23" s="374">
        <f>715000-81485</f>
        <v>633515</v>
      </c>
      <c r="R23" s="475"/>
      <c r="S23" s="19"/>
      <c r="T23" s="274"/>
      <c r="U23" s="173"/>
      <c r="V23" s="374">
        <f>1415000-155031</f>
        <v>1259969</v>
      </c>
      <c r="W23" s="475"/>
      <c r="X23" s="19"/>
      <c r="Y23" s="274"/>
      <c r="Z23" s="173"/>
      <c r="AA23" s="374">
        <f>1815000-207034</f>
        <v>1607966</v>
      </c>
      <c r="AB23" s="475"/>
      <c r="AC23" s="19"/>
      <c r="AD23" s="274"/>
      <c r="AE23" s="173"/>
      <c r="AF23" s="374">
        <f>2350000-217256</f>
        <v>2132744</v>
      </c>
      <c r="AG23" s="475"/>
      <c r="AH23" s="19"/>
      <c r="AI23" s="274"/>
      <c r="AJ23" s="173"/>
      <c r="AK23" s="374">
        <f>1770000-89469</f>
        <v>1680531</v>
      </c>
      <c r="AL23" s="475"/>
      <c r="AM23" s="19"/>
      <c r="AN23" s="274"/>
      <c r="AO23" s="173"/>
      <c r="AP23" s="374">
        <f>835000-51703</f>
        <v>783297</v>
      </c>
      <c r="AQ23" s="475"/>
      <c r="AR23" s="19"/>
      <c r="AS23" s="274"/>
      <c r="AT23" s="173"/>
      <c r="AU23" s="374">
        <f>815000-38172</f>
        <v>776828</v>
      </c>
      <c r="AV23" s="475"/>
      <c r="AW23" s="19"/>
      <c r="AX23" s="274"/>
      <c r="AY23" s="173"/>
      <c r="AZ23" s="374">
        <f>1490000-42009</f>
        <v>1447991</v>
      </c>
      <c r="BA23" s="475"/>
      <c r="BB23" s="19"/>
      <c r="BC23" s="274"/>
      <c r="BD23" s="173"/>
      <c r="BE23" s="374">
        <f>1995000-55951</f>
        <v>1939049</v>
      </c>
      <c r="BF23" s="475"/>
      <c r="BG23" s="19"/>
      <c r="BH23" s="274"/>
      <c r="BI23" s="173"/>
      <c r="BJ23" s="374">
        <f>1580000-30063</f>
        <v>1549937</v>
      </c>
      <c r="BK23" s="475"/>
      <c r="BL23" s="19"/>
      <c r="BM23" s="274"/>
      <c r="BN23" s="173"/>
      <c r="BO23" s="374">
        <v>0</v>
      </c>
      <c r="BP23" s="475"/>
      <c r="BQ23" s="19"/>
      <c r="BR23" s="274"/>
      <c r="BS23" s="173"/>
      <c r="BT23" s="374">
        <f>SUM(L23:BO23)</f>
        <v>14429784</v>
      </c>
      <c r="BU23" s="475"/>
      <c r="BV23" s="19"/>
      <c r="BW23" s="274"/>
      <c r="BX23" s="173"/>
      <c r="BY23" s="374">
        <v>7519847</v>
      </c>
      <c r="BZ23" s="475"/>
      <c r="CA23" s="19"/>
      <c r="CB23" s="274"/>
      <c r="CC23" s="173"/>
      <c r="CD23" s="374">
        <f>605000-50815</f>
        <v>554185</v>
      </c>
      <c r="CE23" s="475"/>
      <c r="CF23" s="19"/>
      <c r="CG23" s="274"/>
      <c r="CH23" s="173"/>
      <c r="CI23" s="374">
        <f>530000-34099</f>
        <v>495901</v>
      </c>
      <c r="CJ23" s="475"/>
      <c r="CK23" s="19"/>
      <c r="CL23" s="274"/>
      <c r="CM23" s="173"/>
      <c r="CN23" s="374">
        <f>590000-45983</f>
        <v>544017</v>
      </c>
      <c r="CO23" s="475"/>
      <c r="CP23" s="19"/>
      <c r="CQ23" s="274"/>
      <c r="CR23" s="173"/>
      <c r="CS23" s="374">
        <f>500000-36643</f>
        <v>463357</v>
      </c>
      <c r="CT23" s="475"/>
      <c r="CU23" s="19"/>
      <c r="CV23" s="274"/>
      <c r="CW23" s="173"/>
      <c r="CX23" s="374">
        <f>740000-63052</f>
        <v>676948</v>
      </c>
      <c r="CY23" s="475"/>
      <c r="CZ23" s="19"/>
      <c r="DA23" s="274"/>
      <c r="DB23" s="173"/>
      <c r="DC23" s="374">
        <f>750000-66943</f>
        <v>683057</v>
      </c>
      <c r="DD23" s="475"/>
      <c r="DE23" s="19"/>
      <c r="DF23" s="274"/>
      <c r="DG23" s="173"/>
      <c r="DH23" s="374">
        <f>1245000-108105</f>
        <v>1136895</v>
      </c>
      <c r="DI23" s="475"/>
      <c r="DJ23" s="19"/>
      <c r="DK23" s="274"/>
      <c r="DL23" s="173"/>
      <c r="DM23" s="374">
        <f>325000-32227</f>
        <v>292773</v>
      </c>
      <c r="DN23" s="475"/>
      <c r="DO23" s="19"/>
      <c r="DP23" s="274"/>
      <c r="DQ23" s="173"/>
      <c r="DR23" s="374">
        <f>895000-94943</f>
        <v>800057</v>
      </c>
      <c r="DS23" s="475"/>
      <c r="DT23" s="19"/>
      <c r="DU23" s="274"/>
      <c r="DV23" s="173"/>
      <c r="DW23" s="374">
        <f>310000-33028</f>
        <v>276972</v>
      </c>
      <c r="DX23" s="475"/>
      <c r="DY23" s="19"/>
      <c r="DZ23" s="274"/>
      <c r="EA23" s="173"/>
      <c r="EB23" s="374">
        <f>1420000-146176</f>
        <v>1273824</v>
      </c>
      <c r="EC23" s="475"/>
      <c r="ED23" s="19"/>
      <c r="EE23" s="274"/>
      <c r="EF23" s="173"/>
      <c r="EG23" s="374">
        <f>370000-48139</f>
        <v>321861</v>
      </c>
      <c r="EH23" s="475"/>
      <c r="EI23" s="19"/>
      <c r="EJ23" s="274"/>
      <c r="EK23" s="173"/>
      <c r="EL23" s="374">
        <f>SUM(CD23:EG23)</f>
        <v>7519847</v>
      </c>
      <c r="EM23" s="475"/>
      <c r="EN23" s="19"/>
      <c r="EO23" s="244"/>
      <c r="ER23" s="451"/>
      <c r="ES23" s="451"/>
    </row>
    <row r="24" spans="4:149" ht="12.75" customHeight="1" x14ac:dyDescent="0.2">
      <c r="D24" s="244" t="s">
        <v>346</v>
      </c>
      <c r="E24" s="274"/>
      <c r="F24" s="82"/>
      <c r="G24" s="19">
        <v>0</v>
      </c>
      <c r="H24" s="18"/>
      <c r="I24" s="19"/>
      <c r="J24" s="274"/>
      <c r="K24" s="274"/>
      <c r="L24" s="19">
        <v>92043</v>
      </c>
      <c r="M24" s="18"/>
      <c r="N24" s="19"/>
      <c r="O24" s="274"/>
      <c r="P24" s="274"/>
      <c r="Q24" s="19">
        <v>81485</v>
      </c>
      <c r="R24" s="18"/>
      <c r="S24" s="19"/>
      <c r="T24" s="274"/>
      <c r="U24" s="274"/>
      <c r="V24" s="19">
        <v>155031</v>
      </c>
      <c r="W24" s="18"/>
      <c r="X24" s="19"/>
      <c r="Y24" s="274"/>
      <c r="Z24" s="274"/>
      <c r="AA24" s="19">
        <v>207034</v>
      </c>
      <c r="AB24" s="18"/>
      <c r="AC24" s="19"/>
      <c r="AD24" s="274"/>
      <c r="AE24" s="274"/>
      <c r="AF24" s="19">
        <v>217256</v>
      </c>
      <c r="AG24" s="18"/>
      <c r="AH24" s="19"/>
      <c r="AI24" s="274"/>
      <c r="AJ24" s="274"/>
      <c r="AK24" s="19">
        <v>89469</v>
      </c>
      <c r="AL24" s="18"/>
      <c r="AM24" s="19"/>
      <c r="AN24" s="274"/>
      <c r="AO24" s="274"/>
      <c r="AP24" s="19">
        <v>51703</v>
      </c>
      <c r="AQ24" s="18"/>
      <c r="AR24" s="19"/>
      <c r="AS24" s="274"/>
      <c r="AT24" s="274"/>
      <c r="AU24" s="19">
        <v>38172</v>
      </c>
      <c r="AV24" s="18"/>
      <c r="AW24" s="19"/>
      <c r="AX24" s="274"/>
      <c r="AY24" s="274"/>
      <c r="AZ24" s="19">
        <v>42009</v>
      </c>
      <c r="BA24" s="18"/>
      <c r="BB24" s="19"/>
      <c r="BC24" s="274"/>
      <c r="BD24" s="274"/>
      <c r="BE24" s="19">
        <v>55951</v>
      </c>
      <c r="BF24" s="18"/>
      <c r="BG24" s="19"/>
      <c r="BH24" s="274"/>
      <c r="BI24" s="274"/>
      <c r="BJ24" s="19">
        <v>30063</v>
      </c>
      <c r="BK24" s="18"/>
      <c r="BL24" s="19"/>
      <c r="BM24" s="274"/>
      <c r="BN24" s="274"/>
      <c r="BO24" s="19">
        <v>0</v>
      </c>
      <c r="BP24" s="18"/>
      <c r="BQ24" s="19"/>
      <c r="BR24" s="274"/>
      <c r="BS24" s="274"/>
      <c r="BT24" s="19">
        <f>SUM(L24:BO24)</f>
        <v>1060216</v>
      </c>
      <c r="BU24" s="18"/>
      <c r="BV24" s="19"/>
      <c r="BW24" s="274"/>
      <c r="BX24" s="274"/>
      <c r="BY24" s="19">
        <v>760153</v>
      </c>
      <c r="BZ24" s="18"/>
      <c r="CA24" s="19"/>
      <c r="CB24" s="274"/>
      <c r="CC24" s="274"/>
      <c r="CD24" s="19">
        <v>50815</v>
      </c>
      <c r="CE24" s="18"/>
      <c r="CF24" s="19"/>
      <c r="CG24" s="274"/>
      <c r="CH24" s="274"/>
      <c r="CI24" s="19">
        <v>34099</v>
      </c>
      <c r="CJ24" s="18"/>
      <c r="CK24" s="19"/>
      <c r="CL24" s="274"/>
      <c r="CM24" s="274"/>
      <c r="CN24" s="19">
        <v>45983</v>
      </c>
      <c r="CO24" s="18"/>
      <c r="CP24" s="19"/>
      <c r="CQ24" s="274"/>
      <c r="CR24" s="274"/>
      <c r="CS24" s="19">
        <v>36643</v>
      </c>
      <c r="CT24" s="18"/>
      <c r="CU24" s="19"/>
      <c r="CV24" s="274"/>
      <c r="CW24" s="274"/>
      <c r="CX24" s="19">
        <v>63052</v>
      </c>
      <c r="CY24" s="18"/>
      <c r="CZ24" s="19"/>
      <c r="DA24" s="274"/>
      <c r="DB24" s="274"/>
      <c r="DC24" s="19">
        <v>66943</v>
      </c>
      <c r="DD24" s="18"/>
      <c r="DE24" s="19"/>
      <c r="DF24" s="274"/>
      <c r="DG24" s="274"/>
      <c r="DH24" s="19">
        <v>108105</v>
      </c>
      <c r="DI24" s="18"/>
      <c r="DJ24" s="19"/>
      <c r="DK24" s="274"/>
      <c r="DL24" s="274"/>
      <c r="DM24" s="19">
        <v>32227</v>
      </c>
      <c r="DN24" s="18"/>
      <c r="DO24" s="19"/>
      <c r="DP24" s="274"/>
      <c r="DQ24" s="274"/>
      <c r="DR24" s="19">
        <v>94943</v>
      </c>
      <c r="DS24" s="18"/>
      <c r="DT24" s="19"/>
      <c r="DU24" s="274"/>
      <c r="DV24" s="274"/>
      <c r="DW24" s="19">
        <v>33028</v>
      </c>
      <c r="DX24" s="18"/>
      <c r="DY24" s="19"/>
      <c r="DZ24" s="274"/>
      <c r="EA24" s="274"/>
      <c r="EB24" s="19">
        <v>146176</v>
      </c>
      <c r="EC24" s="18"/>
      <c r="ED24" s="19"/>
      <c r="EE24" s="274"/>
      <c r="EF24" s="274"/>
      <c r="EG24" s="19">
        <v>48139</v>
      </c>
      <c r="EH24" s="18"/>
      <c r="EI24" s="19"/>
      <c r="EJ24" s="274"/>
      <c r="EK24" s="274"/>
      <c r="EL24" s="19">
        <f>SUM(CD24:EG24)</f>
        <v>760153</v>
      </c>
      <c r="EM24" s="18"/>
      <c r="EN24" s="19"/>
      <c r="EO24" s="244"/>
      <c r="ER24" s="451"/>
      <c r="ES24" s="451"/>
    </row>
    <row r="25" spans="4:149" ht="12.75" customHeight="1" x14ac:dyDescent="0.2">
      <c r="D25" s="244" t="s">
        <v>347</v>
      </c>
      <c r="E25" s="274"/>
      <c r="F25" s="82"/>
      <c r="G25" s="19">
        <v>0</v>
      </c>
      <c r="H25" s="18"/>
      <c r="I25" s="19"/>
      <c r="J25" s="274"/>
      <c r="K25" s="274"/>
      <c r="L25" s="19">
        <v>0</v>
      </c>
      <c r="M25" s="18"/>
      <c r="N25" s="19"/>
      <c r="O25" s="274"/>
      <c r="P25" s="274"/>
      <c r="Q25" s="19">
        <v>0</v>
      </c>
      <c r="R25" s="18"/>
      <c r="S25" s="19"/>
      <c r="T25" s="274"/>
      <c r="U25" s="274"/>
      <c r="V25" s="19">
        <v>0</v>
      </c>
      <c r="W25" s="18"/>
      <c r="X25" s="19"/>
      <c r="Y25" s="274"/>
      <c r="Z25" s="274"/>
      <c r="AA25" s="19">
        <v>0</v>
      </c>
      <c r="AB25" s="18"/>
      <c r="AC25" s="19"/>
      <c r="AD25" s="274"/>
      <c r="AE25" s="274"/>
      <c r="AF25" s="19">
        <v>0</v>
      </c>
      <c r="AG25" s="18"/>
      <c r="AH25" s="19"/>
      <c r="AI25" s="274"/>
      <c r="AJ25" s="274"/>
      <c r="AK25" s="19">
        <v>0</v>
      </c>
      <c r="AL25" s="18"/>
      <c r="AM25" s="19"/>
      <c r="AN25" s="274"/>
      <c r="AO25" s="274"/>
      <c r="AP25" s="19">
        <v>0</v>
      </c>
      <c r="AQ25" s="18"/>
      <c r="AR25" s="19"/>
      <c r="AS25" s="274"/>
      <c r="AT25" s="274"/>
      <c r="AU25" s="19">
        <v>0</v>
      </c>
      <c r="AV25" s="18"/>
      <c r="AW25" s="19"/>
      <c r="AX25" s="274"/>
      <c r="AY25" s="274"/>
      <c r="AZ25" s="19">
        <v>0</v>
      </c>
      <c r="BA25" s="18"/>
      <c r="BB25" s="19"/>
      <c r="BC25" s="274"/>
      <c r="BD25" s="274"/>
      <c r="BE25" s="19">
        <v>0</v>
      </c>
      <c r="BF25" s="18"/>
      <c r="BG25" s="19"/>
      <c r="BH25" s="274"/>
      <c r="BI25" s="274"/>
      <c r="BJ25" s="19">
        <v>0</v>
      </c>
      <c r="BK25" s="18"/>
      <c r="BL25" s="19"/>
      <c r="BM25" s="274"/>
      <c r="BN25" s="274"/>
      <c r="BO25" s="19">
        <v>0</v>
      </c>
      <c r="BP25" s="18"/>
      <c r="BQ25" s="19"/>
      <c r="BR25" s="274"/>
      <c r="BS25" s="274"/>
      <c r="BT25" s="19">
        <f>SUM(L25:BO25)</f>
        <v>0</v>
      </c>
      <c r="BU25" s="18"/>
      <c r="BV25" s="19"/>
      <c r="BW25" s="274"/>
      <c r="BX25" s="274"/>
      <c r="BY25" s="19">
        <v>0</v>
      </c>
      <c r="BZ25" s="18"/>
      <c r="CA25" s="19"/>
      <c r="CB25" s="274"/>
      <c r="CC25" s="274"/>
      <c r="CD25" s="19">
        <v>0</v>
      </c>
      <c r="CE25" s="18"/>
      <c r="CF25" s="19"/>
      <c r="CG25" s="274"/>
      <c r="CH25" s="274"/>
      <c r="CI25" s="19">
        <v>0</v>
      </c>
      <c r="CJ25" s="18"/>
      <c r="CK25" s="19"/>
      <c r="CL25" s="274"/>
      <c r="CM25" s="274"/>
      <c r="CN25" s="19">
        <v>0</v>
      </c>
      <c r="CO25" s="18"/>
      <c r="CP25" s="19"/>
      <c r="CQ25" s="274"/>
      <c r="CR25" s="274"/>
      <c r="CS25" s="19">
        <v>0</v>
      </c>
      <c r="CT25" s="18"/>
      <c r="CU25" s="19"/>
      <c r="CV25" s="274"/>
      <c r="CW25" s="274"/>
      <c r="CX25" s="19">
        <v>0</v>
      </c>
      <c r="CY25" s="18"/>
      <c r="CZ25" s="19"/>
      <c r="DA25" s="274"/>
      <c r="DB25" s="274"/>
      <c r="DC25" s="19">
        <v>0</v>
      </c>
      <c r="DD25" s="18"/>
      <c r="DE25" s="19"/>
      <c r="DF25" s="274"/>
      <c r="DG25" s="274"/>
      <c r="DH25" s="19">
        <v>0</v>
      </c>
      <c r="DI25" s="18"/>
      <c r="DJ25" s="19"/>
      <c r="DK25" s="274"/>
      <c r="DL25" s="274"/>
      <c r="DM25" s="19">
        <v>0</v>
      </c>
      <c r="DN25" s="18"/>
      <c r="DO25" s="19"/>
      <c r="DP25" s="274"/>
      <c r="DQ25" s="274"/>
      <c r="DR25" s="19">
        <v>0</v>
      </c>
      <c r="DS25" s="18"/>
      <c r="DT25" s="19"/>
      <c r="DU25" s="274"/>
      <c r="DV25" s="274"/>
      <c r="DW25" s="19">
        <v>0</v>
      </c>
      <c r="DX25" s="18"/>
      <c r="DY25" s="19"/>
      <c r="DZ25" s="274"/>
      <c r="EA25" s="274"/>
      <c r="EB25" s="19">
        <v>0</v>
      </c>
      <c r="EC25" s="18"/>
      <c r="ED25" s="19"/>
      <c r="EE25" s="274"/>
      <c r="EF25" s="274"/>
      <c r="EG25" s="19">
        <v>0</v>
      </c>
      <c r="EH25" s="18"/>
      <c r="EI25" s="19"/>
      <c r="EJ25" s="274"/>
      <c r="EK25" s="274"/>
      <c r="EL25" s="19">
        <f>SUM(CD25:EG25)</f>
        <v>0</v>
      </c>
      <c r="EM25" s="18"/>
      <c r="EN25" s="19"/>
      <c r="EO25" s="244"/>
      <c r="ER25" s="451"/>
      <c r="ES25" s="451"/>
    </row>
    <row r="26" spans="4:149" ht="12.75" customHeight="1" x14ac:dyDescent="0.2">
      <c r="D26" s="244" t="s">
        <v>348</v>
      </c>
      <c r="E26" s="274"/>
      <c r="F26" s="276"/>
      <c r="G26" s="37">
        <v>0</v>
      </c>
      <c r="H26" s="36"/>
      <c r="I26" s="19"/>
      <c r="J26" s="274"/>
      <c r="K26" s="231"/>
      <c r="L26" s="37">
        <v>332197</v>
      </c>
      <c r="M26" s="36"/>
      <c r="N26" s="19"/>
      <c r="O26" s="274"/>
      <c r="P26" s="231"/>
      <c r="Q26" s="37">
        <v>343402</v>
      </c>
      <c r="R26" s="36"/>
      <c r="S26" s="19"/>
      <c r="T26" s="274"/>
      <c r="U26" s="231"/>
      <c r="V26" s="37">
        <v>688455</v>
      </c>
      <c r="W26" s="36"/>
      <c r="X26" s="19"/>
      <c r="Y26" s="274"/>
      <c r="Z26" s="231"/>
      <c r="AA26" s="37">
        <v>881004</v>
      </c>
      <c r="AB26" s="36"/>
      <c r="AC26" s="19"/>
      <c r="AD26" s="274"/>
      <c r="AE26" s="231"/>
      <c r="AF26" s="37">
        <v>1121351</v>
      </c>
      <c r="AG26" s="36"/>
      <c r="AH26" s="19"/>
      <c r="AI26" s="274"/>
      <c r="AJ26" s="231"/>
      <c r="AK26" s="37">
        <v>839265</v>
      </c>
      <c r="AL26" s="36"/>
      <c r="AM26" s="19"/>
      <c r="AN26" s="274"/>
      <c r="AO26" s="231"/>
      <c r="AP26" s="37">
        <v>406741</v>
      </c>
      <c r="AQ26" s="36"/>
      <c r="AR26" s="19"/>
      <c r="AS26" s="274"/>
      <c r="AT26" s="231"/>
      <c r="AU26" s="37">
        <v>408103</v>
      </c>
      <c r="AV26" s="36"/>
      <c r="AW26" s="19"/>
      <c r="AX26" s="274"/>
      <c r="AY26" s="231"/>
      <c r="AZ26" s="37">
        <v>750063</v>
      </c>
      <c r="BA26" s="36"/>
      <c r="BB26" s="19"/>
      <c r="BC26" s="274"/>
      <c r="BD26" s="231"/>
      <c r="BE26" s="37">
        <v>1012073</v>
      </c>
      <c r="BF26" s="36"/>
      <c r="BG26" s="19"/>
      <c r="BH26" s="274"/>
      <c r="BI26" s="231"/>
      <c r="BJ26" s="37">
        <v>803391</v>
      </c>
      <c r="BK26" s="36"/>
      <c r="BL26" s="19"/>
      <c r="BM26" s="274"/>
      <c r="BN26" s="231"/>
      <c r="BO26" s="37">
        <v>0</v>
      </c>
      <c r="BP26" s="36"/>
      <c r="BQ26" s="19"/>
      <c r="BR26" s="274"/>
      <c r="BS26" s="231"/>
      <c r="BT26" s="37">
        <f>SUM(L26:BO26)</f>
        <v>7586045</v>
      </c>
      <c r="BU26" s="36"/>
      <c r="BV26" s="19"/>
      <c r="BW26" s="274"/>
      <c r="BX26" s="231"/>
      <c r="BY26" s="37">
        <v>3681510</v>
      </c>
      <c r="BZ26" s="36"/>
      <c r="CA26" s="19"/>
      <c r="CB26" s="274"/>
      <c r="CC26" s="231"/>
      <c r="CD26" s="37">
        <v>247104</v>
      </c>
      <c r="CE26" s="36"/>
      <c r="CF26" s="19"/>
      <c r="CG26" s="274"/>
      <c r="CH26" s="231"/>
      <c r="CI26" s="37">
        <v>217025</v>
      </c>
      <c r="CJ26" s="36"/>
      <c r="CK26" s="19"/>
      <c r="CL26" s="274"/>
      <c r="CM26" s="231"/>
      <c r="CN26" s="37">
        <v>251254</v>
      </c>
      <c r="CO26" s="36"/>
      <c r="CP26" s="19"/>
      <c r="CQ26" s="274"/>
      <c r="CR26" s="231"/>
      <c r="CS26" s="37">
        <v>217377</v>
      </c>
      <c r="CT26" s="36"/>
      <c r="CU26" s="19"/>
      <c r="CV26" s="274"/>
      <c r="CW26" s="231"/>
      <c r="CX26" s="37">
        <v>326256</v>
      </c>
      <c r="CY26" s="36"/>
      <c r="CZ26" s="19"/>
      <c r="DA26" s="274"/>
      <c r="DB26" s="231"/>
      <c r="DC26" s="37">
        <v>332818</v>
      </c>
      <c r="DD26" s="36"/>
      <c r="DE26" s="19"/>
      <c r="DF26" s="274"/>
      <c r="DG26" s="231"/>
      <c r="DH26" s="37">
        <v>561847</v>
      </c>
      <c r="DI26" s="36"/>
      <c r="DJ26" s="19"/>
      <c r="DK26" s="274"/>
      <c r="DL26" s="231"/>
      <c r="DM26" s="37">
        <v>147966</v>
      </c>
      <c r="DN26" s="36"/>
      <c r="DO26" s="19"/>
      <c r="DP26" s="274"/>
      <c r="DQ26" s="231"/>
      <c r="DR26" s="37">
        <v>410236</v>
      </c>
      <c r="DS26" s="36"/>
      <c r="DT26" s="19"/>
      <c r="DU26" s="274"/>
      <c r="DV26" s="231"/>
      <c r="DW26" s="37">
        <v>142852</v>
      </c>
      <c r="DX26" s="36"/>
      <c r="DY26" s="19"/>
      <c r="DZ26" s="274"/>
      <c r="EA26" s="231"/>
      <c r="EB26" s="37">
        <v>655040</v>
      </c>
      <c r="EC26" s="36"/>
      <c r="ED26" s="19"/>
      <c r="EE26" s="274"/>
      <c r="EF26" s="231"/>
      <c r="EG26" s="37">
        <v>171735</v>
      </c>
      <c r="EH26" s="36"/>
      <c r="EI26" s="19"/>
      <c r="EJ26" s="274"/>
      <c r="EK26" s="133"/>
      <c r="EL26" s="37">
        <f>SUM(CD26:EG26)</f>
        <v>3681510</v>
      </c>
      <c r="EM26" s="307"/>
      <c r="EN26" s="19"/>
      <c r="EO26" s="244"/>
      <c r="ER26" s="451"/>
      <c r="ES26" s="451"/>
    </row>
    <row r="27" spans="4:149" x14ac:dyDescent="0.2">
      <c r="D27" s="244"/>
      <c r="E27" s="274"/>
      <c r="G27" s="19"/>
      <c r="H27" s="19"/>
      <c r="I27" s="19"/>
      <c r="J27" s="274"/>
      <c r="K27" s="19"/>
      <c r="L27" s="19"/>
      <c r="M27" s="19"/>
      <c r="N27" s="19"/>
      <c r="O27" s="274"/>
      <c r="P27" s="19"/>
      <c r="Q27" s="19"/>
      <c r="R27" s="19"/>
      <c r="S27" s="19"/>
      <c r="T27" s="274"/>
      <c r="U27" s="19"/>
      <c r="V27" s="19"/>
      <c r="W27" s="19"/>
      <c r="X27" s="19"/>
      <c r="Y27" s="274"/>
      <c r="Z27" s="19"/>
      <c r="AA27" s="19"/>
      <c r="AB27" s="19"/>
      <c r="AC27" s="19"/>
      <c r="AD27" s="274"/>
      <c r="AE27" s="19"/>
      <c r="AF27" s="19"/>
      <c r="AG27" s="19"/>
      <c r="AH27" s="19"/>
      <c r="AI27" s="274"/>
      <c r="AJ27" s="19"/>
      <c r="AK27" s="19"/>
      <c r="AL27" s="19"/>
      <c r="AM27" s="19"/>
      <c r="AN27" s="274"/>
      <c r="AO27" s="19"/>
      <c r="AP27" s="19"/>
      <c r="AQ27" s="19"/>
      <c r="AR27" s="19"/>
      <c r="AS27" s="274"/>
      <c r="AT27" s="19"/>
      <c r="AU27" s="19"/>
      <c r="AV27" s="19"/>
      <c r="AW27" s="19"/>
      <c r="AX27" s="274"/>
      <c r="AY27" s="19"/>
      <c r="AZ27" s="19"/>
      <c r="BA27" s="19"/>
      <c r="BB27" s="19"/>
      <c r="BC27" s="274"/>
      <c r="BD27" s="19"/>
      <c r="BE27" s="19"/>
      <c r="BF27" s="19"/>
      <c r="BG27" s="19"/>
      <c r="BH27" s="274"/>
      <c r="BI27" s="19"/>
      <c r="BJ27" s="19"/>
      <c r="BK27" s="19"/>
      <c r="BL27" s="19"/>
      <c r="BM27" s="274"/>
      <c r="BN27" s="19"/>
      <c r="BO27" s="19"/>
      <c r="BP27" s="19"/>
      <c r="BQ27" s="19"/>
      <c r="BR27" s="274"/>
      <c r="BS27" s="19"/>
      <c r="BT27" s="19"/>
      <c r="BU27" s="19"/>
      <c r="BV27" s="19"/>
      <c r="BW27" s="274"/>
      <c r="BX27" s="19"/>
      <c r="BY27" s="19"/>
      <c r="BZ27" s="19"/>
      <c r="CA27" s="19"/>
      <c r="CB27" s="274"/>
      <c r="CC27" s="19"/>
      <c r="CD27" s="19"/>
      <c r="CE27" s="19"/>
      <c r="CF27" s="19"/>
      <c r="CG27" s="274"/>
      <c r="CH27" s="19"/>
      <c r="CI27" s="19"/>
      <c r="CJ27" s="19"/>
      <c r="CK27" s="19"/>
      <c r="CL27" s="274"/>
      <c r="CM27" s="19"/>
      <c r="CN27" s="19"/>
      <c r="CO27" s="19"/>
      <c r="CP27" s="19"/>
      <c r="CQ27" s="274"/>
      <c r="CR27" s="19"/>
      <c r="CS27" s="19"/>
      <c r="CT27" s="19"/>
      <c r="CU27" s="19"/>
      <c r="CV27" s="274"/>
      <c r="CW27" s="19"/>
      <c r="CX27" s="19"/>
      <c r="CY27" s="19"/>
      <c r="CZ27" s="19"/>
      <c r="DA27" s="274"/>
      <c r="DB27" s="19"/>
      <c r="DC27" s="19"/>
      <c r="DD27" s="19"/>
      <c r="DE27" s="19"/>
      <c r="DF27" s="274"/>
      <c r="DG27" s="19"/>
      <c r="DH27" s="19"/>
      <c r="DI27" s="19"/>
      <c r="DJ27" s="19"/>
      <c r="DK27" s="274"/>
      <c r="DL27" s="19"/>
      <c r="DM27" s="19"/>
      <c r="DN27" s="19"/>
      <c r="DO27" s="19"/>
      <c r="DP27" s="274"/>
      <c r="DQ27" s="19"/>
      <c r="DR27" s="19"/>
      <c r="DS27" s="19"/>
      <c r="DT27" s="19"/>
      <c r="DU27" s="274"/>
      <c r="DV27" s="19"/>
      <c r="DW27" s="19"/>
      <c r="DX27" s="19"/>
      <c r="DY27" s="19"/>
      <c r="DZ27" s="274"/>
      <c r="EA27" s="19"/>
      <c r="EB27" s="19"/>
      <c r="EC27" s="19"/>
      <c r="ED27" s="19"/>
      <c r="EE27" s="274"/>
      <c r="EF27" s="19"/>
      <c r="EG27" s="19"/>
      <c r="EH27" s="19"/>
      <c r="EI27" s="19"/>
      <c r="EJ27" s="274"/>
      <c r="EK27" s="19"/>
      <c r="EL27" s="19"/>
      <c r="EM27" s="19"/>
      <c r="EN27" s="19"/>
      <c r="EO27" s="244"/>
      <c r="ER27" s="451"/>
      <c r="ES27" s="451"/>
    </row>
    <row r="28" spans="4:149" ht="12.75" customHeight="1" x14ac:dyDescent="0.2">
      <c r="D28" s="244" t="s">
        <v>349</v>
      </c>
      <c r="E28" s="274"/>
      <c r="G28" s="19">
        <f>SUM(G29:G32)</f>
        <v>0</v>
      </c>
      <c r="H28" s="19"/>
      <c r="I28" s="19"/>
      <c r="J28" s="274"/>
      <c r="K28" s="19"/>
      <c r="L28" s="19">
        <f>SUM(L29:L32)</f>
        <v>785463</v>
      </c>
      <c r="M28" s="19"/>
      <c r="N28" s="19"/>
      <c r="O28" s="274"/>
      <c r="P28" s="19"/>
      <c r="Q28" s="19">
        <f>SUM(Q29:Q32)</f>
        <v>1376442.4509999999</v>
      </c>
      <c r="R28" s="19"/>
      <c r="S28" s="19"/>
      <c r="T28" s="274"/>
      <c r="U28" s="19"/>
      <c r="V28" s="19">
        <f>SUM(V29:V32)</f>
        <v>2570775</v>
      </c>
      <c r="W28" s="19"/>
      <c r="X28" s="19"/>
      <c r="Y28" s="274"/>
      <c r="Z28" s="19"/>
      <c r="AA28" s="19">
        <f>SUM(AA29:AA32)</f>
        <v>3551900</v>
      </c>
      <c r="AB28" s="19"/>
      <c r="AC28" s="19"/>
      <c r="AD28" s="274"/>
      <c r="AE28" s="19"/>
      <c r="AF28" s="19">
        <f>SUM(AF29:AF32)</f>
        <v>893093</v>
      </c>
      <c r="AG28" s="19"/>
      <c r="AH28" s="19"/>
      <c r="AI28" s="274"/>
      <c r="AJ28" s="19"/>
      <c r="AK28" s="19">
        <f>SUM(AK29:AK32)</f>
        <v>4673396</v>
      </c>
      <c r="AL28" s="19"/>
      <c r="AM28" s="19"/>
      <c r="AN28" s="274"/>
      <c r="AO28" s="19"/>
      <c r="AP28" s="19">
        <f>SUM(AP29:AP32)</f>
        <v>2503075</v>
      </c>
      <c r="AQ28" s="19"/>
      <c r="AR28" s="19"/>
      <c r="AS28" s="274"/>
      <c r="AT28" s="19"/>
      <c r="AU28" s="19">
        <f>SUM(AU29:AU32)</f>
        <v>2153351</v>
      </c>
      <c r="AV28" s="19"/>
      <c r="AW28" s="19"/>
      <c r="AX28" s="274"/>
      <c r="AY28" s="19"/>
      <c r="AZ28" s="19">
        <f>SUM(AZ29:AZ32)</f>
        <v>2186436</v>
      </c>
      <c r="BA28" s="19"/>
      <c r="BB28" s="19"/>
      <c r="BC28" s="274"/>
      <c r="BD28" s="19"/>
      <c r="BE28" s="19">
        <f>SUM(BE29:BE32)</f>
        <v>482233</v>
      </c>
      <c r="BF28" s="19"/>
      <c r="BG28" s="19"/>
      <c r="BH28" s="274"/>
      <c r="BI28" s="19"/>
      <c r="BJ28" s="19">
        <f>SUM(BJ29:BJ32)</f>
        <v>1093644</v>
      </c>
      <c r="BK28" s="19"/>
      <c r="BL28" s="19"/>
      <c r="BM28" s="274"/>
      <c r="BN28" s="19"/>
      <c r="BO28" s="19">
        <f>SUM(BO29:BO32)</f>
        <v>2793885</v>
      </c>
      <c r="BP28" s="19"/>
      <c r="BQ28" s="19"/>
      <c r="BR28" s="274"/>
      <c r="BS28" s="19"/>
      <c r="BT28" s="19">
        <f>SUM(BT29:BT32)</f>
        <v>25063693.450999998</v>
      </c>
      <c r="BU28" s="19"/>
      <c r="BV28" s="19"/>
      <c r="BW28" s="274"/>
      <c r="BX28" s="19"/>
      <c r="BY28" s="19">
        <f>SUM(BY29:BY32)</f>
        <v>10392766</v>
      </c>
      <c r="BZ28" s="19"/>
      <c r="CA28" s="19"/>
      <c r="CB28" s="274"/>
      <c r="CC28" s="19"/>
      <c r="CD28" s="19">
        <f>SUM(CD29:CD32)</f>
        <v>542418</v>
      </c>
      <c r="CE28" s="19"/>
      <c r="CF28" s="19"/>
      <c r="CG28" s="274"/>
      <c r="CH28" s="19"/>
      <c r="CI28" s="19">
        <f>SUM(CI29:CI32)</f>
        <v>691639</v>
      </c>
      <c r="CJ28" s="19"/>
      <c r="CK28" s="19"/>
      <c r="CL28" s="274"/>
      <c r="CM28" s="19"/>
      <c r="CN28" s="19">
        <f>SUM(CN29:CN32)</f>
        <v>1153612</v>
      </c>
      <c r="CO28" s="19"/>
      <c r="CP28" s="19"/>
      <c r="CQ28" s="274"/>
      <c r="CR28" s="19"/>
      <c r="CS28" s="19">
        <f>SUM(CS29:CS32)</f>
        <v>983226</v>
      </c>
      <c r="CT28" s="19"/>
      <c r="CU28" s="19"/>
      <c r="CV28" s="274"/>
      <c r="CW28" s="19"/>
      <c r="CX28" s="19">
        <f>SUM(CX29:CX32)</f>
        <v>532805</v>
      </c>
      <c r="CY28" s="19"/>
      <c r="CZ28" s="19"/>
      <c r="DA28" s="274"/>
      <c r="DB28" s="19"/>
      <c r="DC28" s="19">
        <f>SUM(DC29:DC32)</f>
        <v>1445658</v>
      </c>
      <c r="DD28" s="19"/>
      <c r="DE28" s="19"/>
      <c r="DF28" s="274"/>
      <c r="DG28" s="19"/>
      <c r="DH28" s="19">
        <f>SUM(DH29:DH32)</f>
        <v>1848510</v>
      </c>
      <c r="DI28" s="19"/>
      <c r="DJ28" s="19"/>
      <c r="DK28" s="274"/>
      <c r="DL28" s="19"/>
      <c r="DM28" s="19">
        <f>SUM(DM29:DM32)</f>
        <v>1375404</v>
      </c>
      <c r="DN28" s="19"/>
      <c r="DO28" s="19"/>
      <c r="DP28" s="274"/>
      <c r="DQ28" s="19"/>
      <c r="DR28" s="19">
        <f>SUM(DR29:DR32)</f>
        <v>481533</v>
      </c>
      <c r="DS28" s="19"/>
      <c r="DT28" s="19"/>
      <c r="DU28" s="274"/>
      <c r="DV28" s="19"/>
      <c r="DW28" s="19">
        <f>SUM(DW29:DW32)</f>
        <v>0</v>
      </c>
      <c r="DX28" s="19"/>
      <c r="DY28" s="19"/>
      <c r="DZ28" s="274"/>
      <c r="EA28" s="19"/>
      <c r="EB28" s="19">
        <f>SUM(EB29:EB32)</f>
        <v>774542</v>
      </c>
      <c r="EC28" s="19"/>
      <c r="ED28" s="19"/>
      <c r="EE28" s="274"/>
      <c r="EF28" s="19"/>
      <c r="EG28" s="19">
        <f>SUM(EG29:EG32)</f>
        <v>563419</v>
      </c>
      <c r="EH28" s="19"/>
      <c r="EI28" s="19"/>
      <c r="EJ28" s="274"/>
      <c r="EK28" s="19"/>
      <c r="EL28" s="19">
        <f>SUM(EL29:EL32)</f>
        <v>10392766</v>
      </c>
      <c r="EM28" s="19"/>
      <c r="EN28" s="19"/>
      <c r="EO28" s="244"/>
      <c r="ER28" s="451"/>
      <c r="ES28" s="451"/>
    </row>
    <row r="29" spans="4:149" ht="12.75" customHeight="1" x14ac:dyDescent="0.2">
      <c r="D29" s="244" t="s">
        <v>344</v>
      </c>
      <c r="E29" s="274"/>
      <c r="F29" s="112"/>
      <c r="G29" s="374">
        <v>0</v>
      </c>
      <c r="H29" s="475"/>
      <c r="I29" s="19"/>
      <c r="J29" s="274"/>
      <c r="K29" s="173"/>
      <c r="L29" s="374">
        <f>535000-248436</f>
        <v>286564</v>
      </c>
      <c r="M29" s="475"/>
      <c r="N29" s="19"/>
      <c r="O29" s="274"/>
      <c r="P29" s="173"/>
      <c r="Q29" s="374">
        <f>930000-392511</f>
        <v>537489</v>
      </c>
      <c r="R29" s="475"/>
      <c r="S29" s="19"/>
      <c r="T29" s="274"/>
      <c r="U29" s="173"/>
      <c r="V29" s="374">
        <f>1730000-716748</f>
        <v>1013252</v>
      </c>
      <c r="W29" s="475"/>
      <c r="X29" s="19"/>
      <c r="Y29" s="274"/>
      <c r="Z29" s="173"/>
      <c r="AA29" s="374">
        <f>2390000-1077832</f>
        <v>1312168</v>
      </c>
      <c r="AB29" s="475"/>
      <c r="AC29" s="19"/>
      <c r="AD29" s="274"/>
      <c r="AE29" s="173"/>
      <c r="AF29" s="374">
        <f>605000-265407</f>
        <v>339593</v>
      </c>
      <c r="AG29" s="475"/>
      <c r="AH29" s="19"/>
      <c r="AI29" s="274"/>
      <c r="AJ29" s="173"/>
      <c r="AK29" s="374">
        <f>3165000-1330925</f>
        <v>1834075</v>
      </c>
      <c r="AL29" s="475"/>
      <c r="AM29" s="19"/>
      <c r="AN29" s="274"/>
      <c r="AO29" s="173"/>
      <c r="AP29" s="374">
        <f>1680000-749012</f>
        <v>930988</v>
      </c>
      <c r="AQ29" s="475"/>
      <c r="AR29" s="19"/>
      <c r="AS29" s="274"/>
      <c r="AT29" s="173"/>
      <c r="AU29" s="374">
        <f>1435000-630623</f>
        <v>804377</v>
      </c>
      <c r="AV29" s="475"/>
      <c r="AW29" s="19"/>
      <c r="AX29" s="274"/>
      <c r="AY29" s="173"/>
      <c r="AZ29" s="374">
        <f>1455000-613374</f>
        <v>841626</v>
      </c>
      <c r="BA29" s="475"/>
      <c r="BB29" s="19"/>
      <c r="BC29" s="274"/>
      <c r="BD29" s="173"/>
      <c r="BE29" s="374">
        <f>320000-125783</f>
        <v>194217</v>
      </c>
      <c r="BF29" s="475"/>
      <c r="BG29" s="19"/>
      <c r="BH29" s="274"/>
      <c r="BI29" s="173"/>
      <c r="BJ29" s="374">
        <f>725000-268293</f>
        <v>456707</v>
      </c>
      <c r="BK29" s="475"/>
      <c r="BL29" s="19"/>
      <c r="BM29" s="274"/>
      <c r="BN29" s="173"/>
      <c r="BO29" s="374">
        <f>1850000-673794</f>
        <v>1176206</v>
      </c>
      <c r="BP29" s="475"/>
      <c r="BQ29" s="19"/>
      <c r="BR29" s="274"/>
      <c r="BS29" s="173"/>
      <c r="BT29" s="374">
        <f>SUM(L29:BO29)</f>
        <v>9727262</v>
      </c>
      <c r="BU29" s="475"/>
      <c r="BV29" s="19"/>
      <c r="BW29" s="274"/>
      <c r="BX29" s="173"/>
      <c r="BY29" s="374">
        <v>5329138</v>
      </c>
      <c r="BZ29" s="475"/>
      <c r="CA29" s="19"/>
      <c r="CB29" s="274"/>
      <c r="CC29" s="173"/>
      <c r="CD29" s="374">
        <f>385000-82755</f>
        <v>302245</v>
      </c>
      <c r="CE29" s="475"/>
      <c r="CF29" s="19"/>
      <c r="CG29" s="274"/>
      <c r="CH29" s="173"/>
      <c r="CI29" s="374">
        <f>490000-96874</f>
        <v>393126</v>
      </c>
      <c r="CJ29" s="475"/>
      <c r="CK29" s="19"/>
      <c r="CL29" s="274"/>
      <c r="CM29" s="173"/>
      <c r="CN29" s="374">
        <f>810000-177882</f>
        <v>632118</v>
      </c>
      <c r="CO29" s="475"/>
      <c r="CP29" s="19"/>
      <c r="CQ29" s="274"/>
      <c r="CR29" s="173"/>
      <c r="CS29" s="374">
        <f>685000-150743</f>
        <v>534257</v>
      </c>
      <c r="CT29" s="475"/>
      <c r="CU29" s="19"/>
      <c r="CV29" s="274"/>
      <c r="CW29" s="173"/>
      <c r="CX29" s="374">
        <f>370000-89582</f>
        <v>280418</v>
      </c>
      <c r="CY29" s="475"/>
      <c r="CZ29" s="19"/>
      <c r="DA29" s="274"/>
      <c r="DB29" s="173"/>
      <c r="DC29" s="374">
        <f>1000000-256392</f>
        <v>743608</v>
      </c>
      <c r="DD29" s="475"/>
      <c r="DE29" s="19"/>
      <c r="DF29" s="274"/>
      <c r="DG29" s="173"/>
      <c r="DH29" s="374">
        <f>1275000-329766</f>
        <v>945234</v>
      </c>
      <c r="DI29" s="475"/>
      <c r="DJ29" s="19"/>
      <c r="DK29" s="274"/>
      <c r="DL29" s="173"/>
      <c r="DM29" s="374">
        <f>945000-279439</f>
        <v>665561</v>
      </c>
      <c r="DN29" s="475"/>
      <c r="DO29" s="19"/>
      <c r="DP29" s="274"/>
      <c r="DQ29" s="173"/>
      <c r="DR29" s="374">
        <f>330000-98786</f>
        <v>231214</v>
      </c>
      <c r="DS29" s="475"/>
      <c r="DT29" s="19"/>
      <c r="DU29" s="274"/>
      <c r="DV29" s="173"/>
      <c r="DW29" s="374">
        <v>0</v>
      </c>
      <c r="DX29" s="475"/>
      <c r="DY29" s="19"/>
      <c r="DZ29" s="274"/>
      <c r="EA29" s="173"/>
      <c r="EB29" s="374">
        <f>530000-164514</f>
        <v>365486</v>
      </c>
      <c r="EC29" s="475"/>
      <c r="ED29" s="19"/>
      <c r="EE29" s="274"/>
      <c r="EF29" s="173"/>
      <c r="EG29" s="374">
        <f>385000-149129</f>
        <v>235871</v>
      </c>
      <c r="EH29" s="475"/>
      <c r="EI29" s="19"/>
      <c r="EJ29" s="274"/>
      <c r="EK29" s="173"/>
      <c r="EL29" s="374">
        <f>SUM(CD29:EG29)</f>
        <v>5329138</v>
      </c>
      <c r="EM29" s="475"/>
      <c r="EN29" s="19"/>
      <c r="EO29" s="244"/>
      <c r="ER29" s="451"/>
      <c r="ES29" s="451"/>
    </row>
    <row r="30" spans="4:149" ht="12.75" customHeight="1" x14ac:dyDescent="0.2">
      <c r="D30" s="244" t="s">
        <v>346</v>
      </c>
      <c r="E30" s="274"/>
      <c r="F30" s="82"/>
      <c r="G30" s="19">
        <v>0</v>
      </c>
      <c r="H30" s="18"/>
      <c r="I30" s="19"/>
      <c r="J30" s="274"/>
      <c r="K30" s="274"/>
      <c r="L30" s="19">
        <v>248436</v>
      </c>
      <c r="M30" s="18"/>
      <c r="N30" s="19"/>
      <c r="O30" s="274"/>
      <c r="P30" s="274"/>
      <c r="Q30" s="19">
        <v>392511</v>
      </c>
      <c r="R30" s="18"/>
      <c r="S30" s="19"/>
      <c r="T30" s="274"/>
      <c r="U30" s="274"/>
      <c r="V30" s="19">
        <v>716748</v>
      </c>
      <c r="W30" s="18"/>
      <c r="X30" s="19"/>
      <c r="Y30" s="274"/>
      <c r="Z30" s="274"/>
      <c r="AA30" s="19">
        <v>1077832</v>
      </c>
      <c r="AB30" s="18"/>
      <c r="AC30" s="19"/>
      <c r="AD30" s="274"/>
      <c r="AE30" s="274"/>
      <c r="AF30" s="19">
        <v>265407</v>
      </c>
      <c r="AG30" s="18"/>
      <c r="AH30" s="19"/>
      <c r="AI30" s="274"/>
      <c r="AJ30" s="274"/>
      <c r="AK30" s="19">
        <v>1330925</v>
      </c>
      <c r="AL30" s="18"/>
      <c r="AM30" s="19"/>
      <c r="AN30" s="274"/>
      <c r="AO30" s="274"/>
      <c r="AP30" s="19">
        <v>749012</v>
      </c>
      <c r="AQ30" s="18"/>
      <c r="AR30" s="19"/>
      <c r="AS30" s="274"/>
      <c r="AT30" s="274"/>
      <c r="AU30" s="19">
        <v>630623</v>
      </c>
      <c r="AV30" s="18"/>
      <c r="AW30" s="19"/>
      <c r="AX30" s="274"/>
      <c r="AY30" s="274"/>
      <c r="AZ30" s="19">
        <v>613374</v>
      </c>
      <c r="BA30" s="18"/>
      <c r="BB30" s="19"/>
      <c r="BC30" s="274"/>
      <c r="BD30" s="274"/>
      <c r="BE30" s="19">
        <v>125783</v>
      </c>
      <c r="BF30" s="18"/>
      <c r="BG30" s="19"/>
      <c r="BH30" s="274"/>
      <c r="BI30" s="274"/>
      <c r="BJ30" s="19">
        <v>268293</v>
      </c>
      <c r="BK30" s="18"/>
      <c r="BL30" s="19"/>
      <c r="BM30" s="274"/>
      <c r="BN30" s="274"/>
      <c r="BO30" s="19">
        <v>673794</v>
      </c>
      <c r="BP30" s="18"/>
      <c r="BQ30" s="19"/>
      <c r="BR30" s="274"/>
      <c r="BS30" s="274"/>
      <c r="BT30" s="19">
        <f>SUM(L30:BO30)</f>
        <v>7092738</v>
      </c>
      <c r="BU30" s="18"/>
      <c r="BV30" s="19"/>
      <c r="BW30" s="274"/>
      <c r="BX30" s="274"/>
      <c r="BY30" s="19">
        <v>1875862</v>
      </c>
      <c r="BZ30" s="18"/>
      <c r="CA30" s="19"/>
      <c r="CB30" s="274"/>
      <c r="CC30" s="274"/>
      <c r="CD30" s="19">
        <v>82755</v>
      </c>
      <c r="CE30" s="18"/>
      <c r="CF30" s="19"/>
      <c r="CG30" s="274"/>
      <c r="CH30" s="274"/>
      <c r="CI30" s="19">
        <v>96874</v>
      </c>
      <c r="CJ30" s="18"/>
      <c r="CK30" s="19"/>
      <c r="CL30" s="274"/>
      <c r="CM30" s="274"/>
      <c r="CN30" s="19">
        <v>177882</v>
      </c>
      <c r="CO30" s="18"/>
      <c r="CP30" s="19"/>
      <c r="CQ30" s="274"/>
      <c r="CR30" s="274"/>
      <c r="CS30" s="19">
        <v>150743</v>
      </c>
      <c r="CT30" s="18"/>
      <c r="CU30" s="19"/>
      <c r="CV30" s="274"/>
      <c r="CW30" s="274"/>
      <c r="CX30" s="19">
        <v>89582</v>
      </c>
      <c r="CY30" s="18"/>
      <c r="CZ30" s="19"/>
      <c r="DA30" s="274"/>
      <c r="DB30" s="274"/>
      <c r="DC30" s="19">
        <v>256392</v>
      </c>
      <c r="DD30" s="18"/>
      <c r="DE30" s="19"/>
      <c r="DF30" s="274"/>
      <c r="DG30" s="274"/>
      <c r="DH30" s="19">
        <v>329766</v>
      </c>
      <c r="DI30" s="18"/>
      <c r="DJ30" s="19"/>
      <c r="DK30" s="274"/>
      <c r="DL30" s="274"/>
      <c r="DM30" s="19">
        <v>279439</v>
      </c>
      <c r="DN30" s="18"/>
      <c r="DO30" s="19"/>
      <c r="DP30" s="274"/>
      <c r="DQ30" s="274"/>
      <c r="DR30" s="19">
        <v>98786</v>
      </c>
      <c r="DS30" s="18"/>
      <c r="DT30" s="19"/>
      <c r="DU30" s="274"/>
      <c r="DV30" s="274"/>
      <c r="DW30" s="19">
        <v>0</v>
      </c>
      <c r="DX30" s="18"/>
      <c r="DY30" s="19"/>
      <c r="DZ30" s="274"/>
      <c r="EA30" s="274"/>
      <c r="EB30" s="19">
        <v>164514</v>
      </c>
      <c r="EC30" s="18"/>
      <c r="ED30" s="19"/>
      <c r="EE30" s="274"/>
      <c r="EF30" s="274"/>
      <c r="EG30" s="19">
        <v>149129</v>
      </c>
      <c r="EH30" s="18"/>
      <c r="EI30" s="19"/>
      <c r="EJ30" s="274"/>
      <c r="EK30" s="274"/>
      <c r="EL30" s="19">
        <f>SUM(CD30:EG30)</f>
        <v>1875862</v>
      </c>
      <c r="EM30" s="18"/>
      <c r="EN30" s="19"/>
      <c r="EO30" s="244"/>
      <c r="ER30" s="451"/>
      <c r="ES30" s="451"/>
    </row>
    <row r="31" spans="4:149" ht="12.75" customHeight="1" x14ac:dyDescent="0.2">
      <c r="D31" s="244" t="s">
        <v>347</v>
      </c>
      <c r="E31" s="274"/>
      <c r="F31" s="82"/>
      <c r="G31" s="19">
        <v>0</v>
      </c>
      <c r="H31" s="18"/>
      <c r="I31" s="19"/>
      <c r="J31" s="274"/>
      <c r="K31" s="274"/>
      <c r="L31" s="19">
        <v>0</v>
      </c>
      <c r="M31" s="18"/>
      <c r="N31" s="19"/>
      <c r="O31" s="274"/>
      <c r="P31" s="274"/>
      <c r="Q31" s="19">
        <v>0</v>
      </c>
      <c r="R31" s="18"/>
      <c r="S31" s="19"/>
      <c r="T31" s="274"/>
      <c r="U31" s="274"/>
      <c r="V31" s="19">
        <v>0</v>
      </c>
      <c r="W31" s="18"/>
      <c r="X31" s="19"/>
      <c r="Y31" s="274"/>
      <c r="Z31" s="274"/>
      <c r="AA31" s="19">
        <v>0</v>
      </c>
      <c r="AB31" s="18"/>
      <c r="AC31" s="19"/>
      <c r="AD31" s="274"/>
      <c r="AE31" s="274"/>
      <c r="AF31" s="19">
        <v>0</v>
      </c>
      <c r="AG31" s="18"/>
      <c r="AH31" s="19"/>
      <c r="AI31" s="274"/>
      <c r="AJ31" s="274"/>
      <c r="AK31" s="19">
        <v>0</v>
      </c>
      <c r="AL31" s="18"/>
      <c r="AM31" s="19"/>
      <c r="AN31" s="274"/>
      <c r="AO31" s="274"/>
      <c r="AP31" s="19">
        <v>0</v>
      </c>
      <c r="AQ31" s="18"/>
      <c r="AR31" s="19"/>
      <c r="AS31" s="274"/>
      <c r="AT31" s="274"/>
      <c r="AU31" s="19">
        <v>0</v>
      </c>
      <c r="AV31" s="18"/>
      <c r="AW31" s="19"/>
      <c r="AX31" s="274"/>
      <c r="AY31" s="274"/>
      <c r="AZ31" s="19">
        <v>0</v>
      </c>
      <c r="BA31" s="18"/>
      <c r="BB31" s="19"/>
      <c r="BC31" s="274"/>
      <c r="BD31" s="274"/>
      <c r="BE31" s="19">
        <v>0</v>
      </c>
      <c r="BF31" s="18"/>
      <c r="BG31" s="19"/>
      <c r="BH31" s="274"/>
      <c r="BI31" s="274"/>
      <c r="BJ31" s="19">
        <v>0</v>
      </c>
      <c r="BK31" s="18"/>
      <c r="BL31" s="19"/>
      <c r="BM31" s="274"/>
      <c r="BN31" s="274"/>
      <c r="BO31" s="19">
        <v>0</v>
      </c>
      <c r="BP31" s="18"/>
      <c r="BQ31" s="19"/>
      <c r="BR31" s="274"/>
      <c r="BS31" s="274"/>
      <c r="BT31" s="19">
        <f>SUM(L31:BO31)</f>
        <v>0</v>
      </c>
      <c r="BU31" s="18"/>
      <c r="BV31" s="19"/>
      <c r="BW31" s="274"/>
      <c r="BX31" s="274"/>
      <c r="BY31" s="19">
        <v>0</v>
      </c>
      <c r="BZ31" s="18"/>
      <c r="CA31" s="19"/>
      <c r="CB31" s="274"/>
      <c r="CC31" s="274"/>
      <c r="CD31" s="19">
        <v>0</v>
      </c>
      <c r="CE31" s="18"/>
      <c r="CF31" s="19"/>
      <c r="CG31" s="274"/>
      <c r="CH31" s="274"/>
      <c r="CI31" s="19">
        <v>0</v>
      </c>
      <c r="CJ31" s="18"/>
      <c r="CK31" s="19"/>
      <c r="CL31" s="274"/>
      <c r="CM31" s="274"/>
      <c r="CN31" s="19">
        <v>0</v>
      </c>
      <c r="CO31" s="18"/>
      <c r="CP31" s="19"/>
      <c r="CQ31" s="274"/>
      <c r="CR31" s="274"/>
      <c r="CS31" s="19">
        <v>0</v>
      </c>
      <c r="CT31" s="18"/>
      <c r="CU31" s="19"/>
      <c r="CV31" s="274"/>
      <c r="CW31" s="274"/>
      <c r="CX31" s="19">
        <v>0</v>
      </c>
      <c r="CY31" s="18"/>
      <c r="CZ31" s="19"/>
      <c r="DA31" s="274"/>
      <c r="DB31" s="274"/>
      <c r="DC31" s="19">
        <v>0</v>
      </c>
      <c r="DD31" s="18"/>
      <c r="DE31" s="19"/>
      <c r="DF31" s="274"/>
      <c r="DG31" s="274"/>
      <c r="DH31" s="19">
        <v>0</v>
      </c>
      <c r="DI31" s="18"/>
      <c r="DJ31" s="19"/>
      <c r="DK31" s="274"/>
      <c r="DL31" s="274"/>
      <c r="DM31" s="19">
        <v>0</v>
      </c>
      <c r="DN31" s="18"/>
      <c r="DO31" s="19"/>
      <c r="DP31" s="274"/>
      <c r="DQ31" s="274"/>
      <c r="DR31" s="19">
        <v>0</v>
      </c>
      <c r="DS31" s="18"/>
      <c r="DT31" s="19"/>
      <c r="DU31" s="274"/>
      <c r="DV31" s="274"/>
      <c r="DW31" s="19">
        <v>0</v>
      </c>
      <c r="DX31" s="18"/>
      <c r="DY31" s="19"/>
      <c r="DZ31" s="274"/>
      <c r="EA31" s="274"/>
      <c r="EB31" s="19">
        <v>0</v>
      </c>
      <c r="EC31" s="18"/>
      <c r="ED31" s="19"/>
      <c r="EE31" s="274"/>
      <c r="EF31" s="274"/>
      <c r="EG31" s="19">
        <v>0</v>
      </c>
      <c r="EH31" s="18"/>
      <c r="EI31" s="19"/>
      <c r="EJ31" s="274"/>
      <c r="EK31" s="274"/>
      <c r="EL31" s="19">
        <f>SUM(CD31:EG31)</f>
        <v>0</v>
      </c>
      <c r="EM31" s="18"/>
      <c r="EN31" s="19"/>
      <c r="EO31" s="244"/>
      <c r="ER31" s="451"/>
      <c r="ES31" s="451"/>
    </row>
    <row r="32" spans="4:149" ht="12.75" customHeight="1" x14ac:dyDescent="0.2">
      <c r="D32" s="244" t="s">
        <v>348</v>
      </c>
      <c r="E32" s="274"/>
      <c r="F32" s="276"/>
      <c r="G32" s="37">
        <v>0</v>
      </c>
      <c r="H32" s="36"/>
      <c r="I32" s="19"/>
      <c r="J32" s="274"/>
      <c r="K32" s="231"/>
      <c r="L32" s="37">
        <v>250463</v>
      </c>
      <c r="M32" s="36"/>
      <c r="N32" s="19"/>
      <c r="O32" s="274"/>
      <c r="P32" s="231"/>
      <c r="Q32" s="37">
        <v>446442.451</v>
      </c>
      <c r="R32" s="36"/>
      <c r="S32" s="19"/>
      <c r="T32" s="274"/>
      <c r="U32" s="231"/>
      <c r="V32" s="37">
        <v>840775</v>
      </c>
      <c r="W32" s="36"/>
      <c r="X32" s="19"/>
      <c r="Y32" s="274"/>
      <c r="Z32" s="231"/>
      <c r="AA32" s="37">
        <v>1161900</v>
      </c>
      <c r="AB32" s="36"/>
      <c r="AC32" s="19"/>
      <c r="AD32" s="274"/>
      <c r="AE32" s="231"/>
      <c r="AF32" s="37">
        <v>288093</v>
      </c>
      <c r="AG32" s="36"/>
      <c r="AH32" s="19"/>
      <c r="AI32" s="274"/>
      <c r="AJ32" s="231"/>
      <c r="AK32" s="37">
        <v>1508396</v>
      </c>
      <c r="AL32" s="36"/>
      <c r="AM32" s="19"/>
      <c r="AN32" s="274"/>
      <c r="AO32" s="231"/>
      <c r="AP32" s="37">
        <v>823075</v>
      </c>
      <c r="AQ32" s="36"/>
      <c r="AR32" s="19"/>
      <c r="AS32" s="274"/>
      <c r="AT32" s="231"/>
      <c r="AU32" s="37">
        <v>718351</v>
      </c>
      <c r="AV32" s="36"/>
      <c r="AW32" s="19"/>
      <c r="AX32" s="274"/>
      <c r="AY32" s="231"/>
      <c r="AZ32" s="37">
        <v>731436</v>
      </c>
      <c r="BA32" s="36"/>
      <c r="BB32" s="19"/>
      <c r="BC32" s="274"/>
      <c r="BD32" s="231"/>
      <c r="BE32" s="37">
        <v>162233</v>
      </c>
      <c r="BF32" s="36"/>
      <c r="BG32" s="19"/>
      <c r="BH32" s="274"/>
      <c r="BI32" s="231"/>
      <c r="BJ32" s="37">
        <v>368644</v>
      </c>
      <c r="BK32" s="36"/>
      <c r="BL32" s="19"/>
      <c r="BM32" s="274"/>
      <c r="BN32" s="231"/>
      <c r="BO32" s="37">
        <v>943885</v>
      </c>
      <c r="BP32" s="36"/>
      <c r="BQ32" s="19"/>
      <c r="BR32" s="274"/>
      <c r="BS32" s="231"/>
      <c r="BT32" s="37">
        <f>SUM(L32:BO32)</f>
        <v>8243693.4509999994</v>
      </c>
      <c r="BU32" s="36"/>
      <c r="BV32" s="19"/>
      <c r="BW32" s="274"/>
      <c r="BX32" s="231"/>
      <c r="BY32" s="37">
        <v>3187766</v>
      </c>
      <c r="BZ32" s="36"/>
      <c r="CA32" s="19"/>
      <c r="CB32" s="274"/>
      <c r="CC32" s="231"/>
      <c r="CD32" s="37">
        <v>157418</v>
      </c>
      <c r="CE32" s="36"/>
      <c r="CF32" s="19"/>
      <c r="CG32" s="274"/>
      <c r="CH32" s="231"/>
      <c r="CI32" s="37">
        <v>201639</v>
      </c>
      <c r="CJ32" s="36"/>
      <c r="CK32" s="19"/>
      <c r="CL32" s="274"/>
      <c r="CM32" s="231"/>
      <c r="CN32" s="37">
        <v>343612</v>
      </c>
      <c r="CO32" s="36"/>
      <c r="CP32" s="19"/>
      <c r="CQ32" s="274"/>
      <c r="CR32" s="231"/>
      <c r="CS32" s="37">
        <v>298226</v>
      </c>
      <c r="CT32" s="36"/>
      <c r="CU32" s="19"/>
      <c r="CV32" s="274"/>
      <c r="CW32" s="231"/>
      <c r="CX32" s="37">
        <v>162805</v>
      </c>
      <c r="CY32" s="36"/>
      <c r="CZ32" s="19"/>
      <c r="DA32" s="274"/>
      <c r="DB32" s="231"/>
      <c r="DC32" s="37">
        <v>445658</v>
      </c>
      <c r="DD32" s="36"/>
      <c r="DE32" s="19"/>
      <c r="DF32" s="274"/>
      <c r="DG32" s="231"/>
      <c r="DH32" s="37">
        <v>573510</v>
      </c>
      <c r="DI32" s="36"/>
      <c r="DJ32" s="19"/>
      <c r="DK32" s="274"/>
      <c r="DL32" s="231"/>
      <c r="DM32" s="37">
        <v>430404</v>
      </c>
      <c r="DN32" s="36"/>
      <c r="DO32" s="19"/>
      <c r="DP32" s="274"/>
      <c r="DQ32" s="231"/>
      <c r="DR32" s="37">
        <v>151533</v>
      </c>
      <c r="DS32" s="36"/>
      <c r="DT32" s="19"/>
      <c r="DU32" s="274"/>
      <c r="DV32" s="231"/>
      <c r="DW32" s="37">
        <v>0</v>
      </c>
      <c r="DX32" s="36"/>
      <c r="DY32" s="19"/>
      <c r="DZ32" s="274"/>
      <c r="EA32" s="231"/>
      <c r="EB32" s="37">
        <v>244542</v>
      </c>
      <c r="EC32" s="36"/>
      <c r="ED32" s="19"/>
      <c r="EE32" s="274"/>
      <c r="EF32" s="231"/>
      <c r="EG32" s="37">
        <v>178419</v>
      </c>
      <c r="EH32" s="36"/>
      <c r="EI32" s="19"/>
      <c r="EJ32" s="274"/>
      <c r="EK32" s="231"/>
      <c r="EL32" s="37">
        <f>SUM(CD32:EG32)</f>
        <v>3187766</v>
      </c>
      <c r="EM32" s="36"/>
      <c r="EN32" s="19"/>
      <c r="EO32" s="244"/>
      <c r="ER32" s="451"/>
      <c r="ES32" s="451"/>
    </row>
    <row r="33" spans="4:149" ht="12.75" customHeight="1" x14ac:dyDescent="0.2">
      <c r="D33" s="244"/>
      <c r="E33" s="274"/>
      <c r="G33" s="19"/>
      <c r="H33" s="19"/>
      <c r="I33" s="19"/>
      <c r="J33" s="274"/>
      <c r="K33" s="19"/>
      <c r="L33" s="19"/>
      <c r="M33" s="19"/>
      <c r="N33" s="19"/>
      <c r="O33" s="274"/>
      <c r="P33" s="19"/>
      <c r="Q33" s="19"/>
      <c r="R33" s="19"/>
      <c r="S33" s="19"/>
      <c r="T33" s="274"/>
      <c r="U33" s="19"/>
      <c r="V33" s="19"/>
      <c r="W33" s="19"/>
      <c r="X33" s="19"/>
      <c r="Y33" s="274"/>
      <c r="Z33" s="19"/>
      <c r="AA33" s="19"/>
      <c r="AB33" s="19"/>
      <c r="AC33" s="19"/>
      <c r="AD33" s="274"/>
      <c r="AE33" s="19"/>
      <c r="AF33" s="19"/>
      <c r="AG33" s="19"/>
      <c r="AH33" s="19"/>
      <c r="AI33" s="274"/>
      <c r="AJ33" s="19"/>
      <c r="AK33" s="19"/>
      <c r="AL33" s="19"/>
      <c r="AM33" s="19"/>
      <c r="AN33" s="274"/>
      <c r="AO33" s="19"/>
      <c r="AP33" s="19"/>
      <c r="AQ33" s="19"/>
      <c r="AR33" s="19"/>
      <c r="AS33" s="274"/>
      <c r="AT33" s="19"/>
      <c r="AU33" s="19"/>
      <c r="AV33" s="19"/>
      <c r="AW33" s="19"/>
      <c r="AX33" s="274"/>
      <c r="AY33" s="19"/>
      <c r="AZ33" s="19"/>
      <c r="BA33" s="19"/>
      <c r="BB33" s="19"/>
      <c r="BC33" s="274"/>
      <c r="BD33" s="19"/>
      <c r="BE33" s="19"/>
      <c r="BF33" s="19"/>
      <c r="BG33" s="19"/>
      <c r="BH33" s="274"/>
      <c r="BI33" s="19"/>
      <c r="BJ33" s="19"/>
      <c r="BK33" s="19"/>
      <c r="BL33" s="19"/>
      <c r="BM33" s="274"/>
      <c r="BN33" s="19"/>
      <c r="BO33" s="19"/>
      <c r="BP33" s="19"/>
      <c r="BQ33" s="19"/>
      <c r="BR33" s="274"/>
      <c r="BS33" s="19"/>
      <c r="BT33" s="19"/>
      <c r="BU33" s="19"/>
      <c r="BV33" s="19"/>
      <c r="BW33" s="274"/>
      <c r="BX33" s="19"/>
      <c r="BY33" s="19"/>
      <c r="BZ33" s="19"/>
      <c r="CA33" s="19"/>
      <c r="CB33" s="274"/>
      <c r="CC33" s="19"/>
      <c r="CD33" s="19"/>
      <c r="CE33" s="19"/>
      <c r="CF33" s="19"/>
      <c r="CG33" s="274"/>
      <c r="CH33" s="19"/>
      <c r="CI33" s="19"/>
      <c r="CJ33" s="19"/>
      <c r="CK33" s="19"/>
      <c r="CL33" s="274"/>
      <c r="CM33" s="19"/>
      <c r="CN33" s="19"/>
      <c r="CO33" s="19"/>
      <c r="CP33" s="19"/>
      <c r="CQ33" s="274"/>
      <c r="CR33" s="19"/>
      <c r="CS33" s="19"/>
      <c r="CT33" s="19"/>
      <c r="CU33" s="19"/>
      <c r="CV33" s="274"/>
      <c r="CW33" s="19"/>
      <c r="CX33" s="19"/>
      <c r="CY33" s="19"/>
      <c r="CZ33" s="19"/>
      <c r="DA33" s="274"/>
      <c r="DB33" s="19"/>
      <c r="DC33" s="19"/>
      <c r="DD33" s="19"/>
      <c r="DE33" s="19"/>
      <c r="DF33" s="274"/>
      <c r="DG33" s="19"/>
      <c r="DH33" s="19"/>
      <c r="DI33" s="19"/>
      <c r="DJ33" s="19"/>
      <c r="DK33" s="274"/>
      <c r="DL33" s="19"/>
      <c r="DM33" s="19"/>
      <c r="DN33" s="19"/>
      <c r="DO33" s="19"/>
      <c r="DP33" s="274"/>
      <c r="DQ33" s="19"/>
      <c r="DR33" s="19"/>
      <c r="DS33" s="19"/>
      <c r="DT33" s="19"/>
      <c r="DU33" s="274"/>
      <c r="DV33" s="19"/>
      <c r="DW33" s="19"/>
      <c r="DX33" s="19"/>
      <c r="DY33" s="19"/>
      <c r="DZ33" s="274"/>
      <c r="EA33" s="19"/>
      <c r="EB33" s="19"/>
      <c r="EC33" s="19"/>
      <c r="ED33" s="19"/>
      <c r="EE33" s="274"/>
      <c r="EF33" s="19"/>
      <c r="EG33" s="19"/>
      <c r="EH33" s="19"/>
      <c r="EI33" s="19"/>
      <c r="EJ33" s="274"/>
      <c r="EK33" s="19"/>
      <c r="EL33" s="19"/>
      <c r="EM33" s="19"/>
      <c r="EN33" s="19"/>
      <c r="EO33" s="244"/>
      <c r="ER33" s="451"/>
      <c r="ES33" s="451"/>
    </row>
    <row r="34" spans="4:149" ht="12.75" customHeight="1" x14ac:dyDescent="0.2">
      <c r="D34" s="244" t="s">
        <v>350</v>
      </c>
      <c r="E34" s="274"/>
      <c r="G34" s="19">
        <f>SUM(G35:G38)</f>
        <v>0</v>
      </c>
      <c r="H34" s="19"/>
      <c r="I34" s="19"/>
      <c r="J34" s="274"/>
      <c r="K34" s="19"/>
      <c r="L34" s="19">
        <f>SUM(L35:L38)</f>
        <v>318599</v>
      </c>
      <c r="M34" s="19"/>
      <c r="N34" s="19"/>
      <c r="O34" s="274"/>
      <c r="P34" s="19"/>
      <c r="Q34" s="19">
        <f>SUM(Q35:Q38)</f>
        <v>528391</v>
      </c>
      <c r="R34" s="19"/>
      <c r="S34" s="19"/>
      <c r="T34" s="274"/>
      <c r="U34" s="19"/>
      <c r="V34" s="19">
        <f>SUM(V35:V38)</f>
        <v>861012</v>
      </c>
      <c r="W34" s="19"/>
      <c r="X34" s="19"/>
      <c r="Y34" s="274"/>
      <c r="Z34" s="19"/>
      <c r="AA34" s="19">
        <f>SUM(AA35:AA38)</f>
        <v>3064348</v>
      </c>
      <c r="AB34" s="19"/>
      <c r="AC34" s="19"/>
      <c r="AD34" s="274"/>
      <c r="AE34" s="19"/>
      <c r="AF34" s="19">
        <f>SUM(AF35:AF38)</f>
        <v>3292135</v>
      </c>
      <c r="AG34" s="19"/>
      <c r="AH34" s="19"/>
      <c r="AI34" s="274"/>
      <c r="AJ34" s="19"/>
      <c r="AK34" s="19">
        <f>SUM(AK35:AK38)</f>
        <v>3720536</v>
      </c>
      <c r="AL34" s="19"/>
      <c r="AM34" s="19"/>
      <c r="AN34" s="274"/>
      <c r="AO34" s="19"/>
      <c r="AP34" s="19">
        <f>SUM(AP35:AP38)</f>
        <v>3706561</v>
      </c>
      <c r="AQ34" s="19"/>
      <c r="AR34" s="19"/>
      <c r="AS34" s="274"/>
      <c r="AT34" s="19"/>
      <c r="AU34" s="19">
        <f>SUM(AU35:AU38)</f>
        <v>2192871</v>
      </c>
      <c r="AV34" s="19"/>
      <c r="AW34" s="19"/>
      <c r="AX34" s="274"/>
      <c r="AY34" s="19"/>
      <c r="AZ34" s="19">
        <f>SUM(AZ35:AZ38)</f>
        <v>1770793</v>
      </c>
      <c r="BA34" s="19"/>
      <c r="BB34" s="19"/>
      <c r="BC34" s="274"/>
      <c r="BD34" s="19"/>
      <c r="BE34" s="19">
        <f>SUM(BE35:BE38)</f>
        <v>610750</v>
      </c>
      <c r="BF34" s="19"/>
      <c r="BG34" s="19"/>
      <c r="BH34" s="274"/>
      <c r="BI34" s="19"/>
      <c r="BJ34" s="19">
        <f>SUM(BJ35:BJ38)</f>
        <v>1208494</v>
      </c>
      <c r="BK34" s="19"/>
      <c r="BL34" s="19"/>
      <c r="BM34" s="274"/>
      <c r="BN34" s="19"/>
      <c r="BO34" s="19">
        <f>SUM(BO35:BO38)</f>
        <v>2647036</v>
      </c>
      <c r="BP34" s="19"/>
      <c r="BQ34" s="19"/>
      <c r="BR34" s="274"/>
      <c r="BS34" s="19"/>
      <c r="BT34" s="19">
        <f>SUM(BT35:BT38)</f>
        <v>23921526</v>
      </c>
      <c r="BU34" s="19"/>
      <c r="BV34" s="19"/>
      <c r="BW34" s="274"/>
      <c r="BX34" s="19"/>
      <c r="BY34" s="19">
        <f>SUM(BY35:BY38)</f>
        <v>11505214</v>
      </c>
      <c r="BZ34" s="19"/>
      <c r="CA34" s="19"/>
      <c r="CB34" s="274"/>
      <c r="CC34" s="19"/>
      <c r="CD34" s="19">
        <f>SUM(CD35:CD38)</f>
        <v>411537</v>
      </c>
      <c r="CE34" s="19"/>
      <c r="CF34" s="19"/>
      <c r="CG34" s="274"/>
      <c r="CH34" s="19"/>
      <c r="CI34" s="19">
        <f>SUM(CI35:CI38)</f>
        <v>691086</v>
      </c>
      <c r="CJ34" s="19"/>
      <c r="CK34" s="19"/>
      <c r="CL34" s="274"/>
      <c r="CM34" s="19"/>
      <c r="CN34" s="19">
        <f>SUM(CN35:CN38)</f>
        <v>1052878</v>
      </c>
      <c r="CO34" s="19"/>
      <c r="CP34" s="19"/>
      <c r="CQ34" s="274"/>
      <c r="CR34" s="19"/>
      <c r="CS34" s="19">
        <f>SUM(CS35:CS38)</f>
        <v>621958</v>
      </c>
      <c r="CT34" s="19"/>
      <c r="CU34" s="19"/>
      <c r="CV34" s="274"/>
      <c r="CW34" s="19"/>
      <c r="CX34" s="19">
        <f>SUM(CX35:CX38)</f>
        <v>305672</v>
      </c>
      <c r="CY34" s="19"/>
      <c r="CZ34" s="19"/>
      <c r="DA34" s="274"/>
      <c r="DB34" s="19"/>
      <c r="DC34" s="19">
        <f>SUM(DC35:DC38)</f>
        <v>1737471</v>
      </c>
      <c r="DD34" s="19"/>
      <c r="DE34" s="19"/>
      <c r="DF34" s="274"/>
      <c r="DG34" s="19"/>
      <c r="DH34" s="19">
        <f>SUM(DH35:DH38)</f>
        <v>868577</v>
      </c>
      <c r="DI34" s="19"/>
      <c r="DJ34" s="19"/>
      <c r="DK34" s="274"/>
      <c r="DL34" s="19"/>
      <c r="DM34" s="19">
        <f>SUM(DM35:DM38)</f>
        <v>1084077</v>
      </c>
      <c r="DN34" s="19"/>
      <c r="DO34" s="19"/>
      <c r="DP34" s="274"/>
      <c r="DQ34" s="19"/>
      <c r="DR34" s="19">
        <f>SUM(DR35:DR38)</f>
        <v>549747</v>
      </c>
      <c r="DS34" s="19"/>
      <c r="DT34" s="19"/>
      <c r="DU34" s="274"/>
      <c r="DV34" s="19"/>
      <c r="DW34" s="19">
        <f>SUM(DW35:DW38)</f>
        <v>1087699</v>
      </c>
      <c r="DX34" s="19"/>
      <c r="DY34" s="19"/>
      <c r="DZ34" s="274"/>
      <c r="EA34" s="19"/>
      <c r="EB34" s="19">
        <f>SUM(EB35:EB38)</f>
        <v>1425586</v>
      </c>
      <c r="EC34" s="19"/>
      <c r="ED34" s="19"/>
      <c r="EE34" s="274"/>
      <c r="EF34" s="19"/>
      <c r="EG34" s="19">
        <f>SUM(EG35:EG38)</f>
        <v>1668926</v>
      </c>
      <c r="EH34" s="19"/>
      <c r="EI34" s="19"/>
      <c r="EJ34" s="274"/>
      <c r="EK34" s="19"/>
      <c r="EL34" s="19">
        <f>SUM(EL35:EL38)</f>
        <v>11505214</v>
      </c>
      <c r="EM34" s="19"/>
      <c r="EN34" s="19"/>
      <c r="EO34" s="244"/>
      <c r="ER34" s="451"/>
      <c r="ES34" s="451"/>
    </row>
    <row r="35" spans="4:149" ht="12.75" customHeight="1" x14ac:dyDescent="0.2">
      <c r="D35" s="244" t="s">
        <v>344</v>
      </c>
      <c r="E35" s="274"/>
      <c r="F35" s="112"/>
      <c r="G35" s="374">
        <v>0</v>
      </c>
      <c r="H35" s="475"/>
      <c r="I35" s="19"/>
      <c r="J35" s="274"/>
      <c r="K35" s="173"/>
      <c r="L35" s="374">
        <f>230000-98825</f>
        <v>131175</v>
      </c>
      <c r="M35" s="475"/>
      <c r="N35" s="19"/>
      <c r="O35" s="274"/>
      <c r="P35" s="173"/>
      <c r="Q35" s="374">
        <f>380000-140954</f>
        <v>239046</v>
      </c>
      <c r="R35" s="475"/>
      <c r="S35" s="19"/>
      <c r="T35" s="274"/>
      <c r="U35" s="173"/>
      <c r="V35" s="374">
        <f>615000-271529</f>
        <v>343471</v>
      </c>
      <c r="W35" s="475"/>
      <c r="X35" s="19"/>
      <c r="Y35" s="274"/>
      <c r="Z35" s="173"/>
      <c r="AA35" s="374">
        <f>2190000-1062323</f>
        <v>1127677</v>
      </c>
      <c r="AB35" s="475"/>
      <c r="AC35" s="19"/>
      <c r="AD35" s="274"/>
      <c r="AE35" s="173"/>
      <c r="AF35" s="374">
        <f>2365000-1127992</f>
        <v>1237008</v>
      </c>
      <c r="AG35" s="475"/>
      <c r="AH35" s="19"/>
      <c r="AI35" s="274"/>
      <c r="AJ35" s="173"/>
      <c r="AK35" s="374">
        <f>2675000-1194679</f>
        <v>1480321</v>
      </c>
      <c r="AL35" s="475"/>
      <c r="AM35" s="19"/>
      <c r="AN35" s="274"/>
      <c r="AO35" s="173"/>
      <c r="AP35" s="374">
        <f>2640000-1261213</f>
        <v>1378787</v>
      </c>
      <c r="AQ35" s="475"/>
      <c r="AR35" s="19"/>
      <c r="AS35" s="274"/>
      <c r="AT35" s="173"/>
      <c r="AU35" s="374">
        <f>1550000-742738</f>
        <v>807262</v>
      </c>
      <c r="AV35" s="475"/>
      <c r="AW35" s="19"/>
      <c r="AX35" s="274"/>
      <c r="AY35" s="173"/>
      <c r="AZ35" s="374">
        <f>1250000-540698</f>
        <v>709302</v>
      </c>
      <c r="BA35" s="475"/>
      <c r="BB35" s="19"/>
      <c r="BC35" s="274"/>
      <c r="BD35" s="173"/>
      <c r="BE35" s="374">
        <f>430000-183707</f>
        <v>246293</v>
      </c>
      <c r="BF35" s="475"/>
      <c r="BG35" s="19"/>
      <c r="BH35" s="274"/>
      <c r="BI35" s="173"/>
      <c r="BJ35" s="374">
        <f>850000-341067</f>
        <v>508933</v>
      </c>
      <c r="BK35" s="475"/>
      <c r="BL35" s="19"/>
      <c r="BM35" s="274"/>
      <c r="BN35" s="173"/>
      <c r="BO35" s="374">
        <f>1860000-719674</f>
        <v>1140326</v>
      </c>
      <c r="BP35" s="475"/>
      <c r="BQ35" s="19"/>
      <c r="BR35" s="274"/>
      <c r="BS35" s="173"/>
      <c r="BT35" s="374">
        <f>SUM(L35:BO35)</f>
        <v>9349601</v>
      </c>
      <c r="BU35" s="475"/>
      <c r="BV35" s="19"/>
      <c r="BW35" s="274"/>
      <c r="BX35" s="173"/>
      <c r="BY35" s="374">
        <v>6010062</v>
      </c>
      <c r="BZ35" s="475"/>
      <c r="CA35" s="19"/>
      <c r="CB35" s="274"/>
      <c r="CC35" s="173"/>
      <c r="CD35" s="374">
        <f>310000-65709</f>
        <v>244291</v>
      </c>
      <c r="CE35" s="475"/>
      <c r="CF35" s="19"/>
      <c r="CG35" s="274"/>
      <c r="CH35" s="173"/>
      <c r="CI35" s="374">
        <f>520000-92478</f>
        <v>427522</v>
      </c>
      <c r="CJ35" s="475"/>
      <c r="CK35" s="19"/>
      <c r="CL35" s="274"/>
      <c r="CM35" s="173"/>
      <c r="CN35" s="374">
        <f>785000-168092</f>
        <v>616908</v>
      </c>
      <c r="CO35" s="475"/>
      <c r="CP35" s="19"/>
      <c r="CQ35" s="274"/>
      <c r="CR35" s="173"/>
      <c r="CS35" s="374">
        <f>460000-101629</f>
        <v>358371</v>
      </c>
      <c r="CT35" s="475"/>
      <c r="CU35" s="19"/>
      <c r="CV35" s="274"/>
      <c r="CW35" s="173"/>
      <c r="CX35" s="374">
        <f>225000-54516</f>
        <v>170484</v>
      </c>
      <c r="CY35" s="475"/>
      <c r="CZ35" s="19"/>
      <c r="DA35" s="274"/>
      <c r="DB35" s="173"/>
      <c r="DC35" s="374">
        <f>1275000-330226</f>
        <v>944774</v>
      </c>
      <c r="DD35" s="475"/>
      <c r="DE35" s="19"/>
      <c r="DF35" s="274"/>
      <c r="DG35" s="173"/>
      <c r="DH35" s="374">
        <f>635000-167704</f>
        <v>467296</v>
      </c>
      <c r="DI35" s="475"/>
      <c r="DJ35" s="19"/>
      <c r="DK35" s="274"/>
      <c r="DL35" s="173"/>
      <c r="DM35" s="374">
        <f>790000-250392</f>
        <v>539608</v>
      </c>
      <c r="DN35" s="475"/>
      <c r="DO35" s="19"/>
      <c r="DP35" s="274"/>
      <c r="DQ35" s="173"/>
      <c r="DR35" s="374">
        <f>400000-129701</f>
        <v>270299</v>
      </c>
      <c r="DS35" s="475"/>
      <c r="DT35" s="19"/>
      <c r="DU35" s="274"/>
      <c r="DV35" s="173"/>
      <c r="DW35" s="374">
        <f>790000-248565</f>
        <v>541435</v>
      </c>
      <c r="DX35" s="475"/>
      <c r="DY35" s="19"/>
      <c r="DZ35" s="274"/>
      <c r="EA35" s="173"/>
      <c r="EB35" s="374">
        <f>1035000-326159</f>
        <v>708841</v>
      </c>
      <c r="EC35" s="475"/>
      <c r="ED35" s="19"/>
      <c r="EE35" s="274"/>
      <c r="EF35" s="173"/>
      <c r="EG35" s="374">
        <f>1210000-489767</f>
        <v>720233</v>
      </c>
      <c r="EH35" s="475"/>
      <c r="EI35" s="19"/>
      <c r="EJ35" s="274"/>
      <c r="EK35" s="173"/>
      <c r="EL35" s="374">
        <f>SUM(CD35:EG35)</f>
        <v>6010062</v>
      </c>
      <c r="EM35" s="475"/>
      <c r="EN35" s="19"/>
      <c r="EO35" s="244"/>
      <c r="ER35" s="451"/>
      <c r="ES35" s="451"/>
    </row>
    <row r="36" spans="4:149" ht="12.75" customHeight="1" x14ac:dyDescent="0.2">
      <c r="D36" s="244" t="s">
        <v>346</v>
      </c>
      <c r="E36" s="274"/>
      <c r="F36" s="82"/>
      <c r="G36" s="19">
        <v>0</v>
      </c>
      <c r="H36" s="18"/>
      <c r="I36" s="19"/>
      <c r="J36" s="274"/>
      <c r="K36" s="274"/>
      <c r="L36" s="19">
        <v>98825</v>
      </c>
      <c r="M36" s="18"/>
      <c r="N36" s="19"/>
      <c r="O36" s="274"/>
      <c r="P36" s="274"/>
      <c r="Q36" s="19">
        <v>140954</v>
      </c>
      <c r="R36" s="18"/>
      <c r="S36" s="19"/>
      <c r="T36" s="274"/>
      <c r="U36" s="274"/>
      <c r="V36" s="19">
        <v>271529</v>
      </c>
      <c r="W36" s="18"/>
      <c r="X36" s="19"/>
      <c r="Y36" s="274"/>
      <c r="Z36" s="274"/>
      <c r="AA36" s="19">
        <v>1062323</v>
      </c>
      <c r="AB36" s="18"/>
      <c r="AC36" s="19"/>
      <c r="AD36" s="274"/>
      <c r="AE36" s="274"/>
      <c r="AF36" s="19">
        <v>1127992</v>
      </c>
      <c r="AG36" s="18"/>
      <c r="AH36" s="19"/>
      <c r="AI36" s="274"/>
      <c r="AJ36" s="274"/>
      <c r="AK36" s="19">
        <v>1194679</v>
      </c>
      <c r="AL36" s="18"/>
      <c r="AM36" s="19"/>
      <c r="AN36" s="274"/>
      <c r="AO36" s="274"/>
      <c r="AP36" s="19">
        <v>1261213</v>
      </c>
      <c r="AQ36" s="18"/>
      <c r="AR36" s="19"/>
      <c r="AS36" s="274"/>
      <c r="AT36" s="274"/>
      <c r="AU36" s="19">
        <v>742738</v>
      </c>
      <c r="AV36" s="18"/>
      <c r="AW36" s="19"/>
      <c r="AX36" s="274"/>
      <c r="AY36" s="274"/>
      <c r="AZ36" s="19">
        <v>540698</v>
      </c>
      <c r="BA36" s="18"/>
      <c r="BB36" s="19"/>
      <c r="BC36" s="274"/>
      <c r="BD36" s="274"/>
      <c r="BE36" s="19">
        <v>183707</v>
      </c>
      <c r="BF36" s="18"/>
      <c r="BG36" s="19"/>
      <c r="BH36" s="274"/>
      <c r="BI36" s="274"/>
      <c r="BJ36" s="19">
        <v>341067</v>
      </c>
      <c r="BK36" s="18"/>
      <c r="BL36" s="19"/>
      <c r="BM36" s="274"/>
      <c r="BN36" s="274"/>
      <c r="BO36" s="19">
        <v>719674</v>
      </c>
      <c r="BP36" s="18"/>
      <c r="BQ36" s="19"/>
      <c r="BR36" s="274"/>
      <c r="BS36" s="274"/>
      <c r="BT36" s="19">
        <f>SUM(L36:BO36)</f>
        <v>7685399</v>
      </c>
      <c r="BU36" s="18"/>
      <c r="BV36" s="19"/>
      <c r="BW36" s="274"/>
      <c r="BX36" s="274"/>
      <c r="BY36" s="19">
        <v>2424937</v>
      </c>
      <c r="BZ36" s="18"/>
      <c r="CA36" s="19"/>
      <c r="CB36" s="274"/>
      <c r="CC36" s="274"/>
      <c r="CD36" s="19">
        <v>65709</v>
      </c>
      <c r="CE36" s="18"/>
      <c r="CF36" s="19"/>
      <c r="CG36" s="274"/>
      <c r="CH36" s="274"/>
      <c r="CI36" s="19">
        <v>92477</v>
      </c>
      <c r="CJ36" s="18"/>
      <c r="CK36" s="19"/>
      <c r="CL36" s="274"/>
      <c r="CM36" s="274"/>
      <c r="CN36" s="19">
        <v>168092</v>
      </c>
      <c r="CO36" s="18"/>
      <c r="CP36" s="19"/>
      <c r="CQ36" s="274"/>
      <c r="CR36" s="274"/>
      <c r="CS36" s="19">
        <v>101629</v>
      </c>
      <c r="CT36" s="18"/>
      <c r="CU36" s="19"/>
      <c r="CV36" s="274"/>
      <c r="CW36" s="274"/>
      <c r="CX36" s="19">
        <v>54516</v>
      </c>
      <c r="CY36" s="18"/>
      <c r="CZ36" s="19"/>
      <c r="DA36" s="274"/>
      <c r="DB36" s="274"/>
      <c r="DC36" s="19">
        <v>330226</v>
      </c>
      <c r="DD36" s="18"/>
      <c r="DE36" s="19"/>
      <c r="DF36" s="274"/>
      <c r="DG36" s="274"/>
      <c r="DH36" s="19">
        <v>167704</v>
      </c>
      <c r="DI36" s="18"/>
      <c r="DJ36" s="19"/>
      <c r="DK36" s="274"/>
      <c r="DL36" s="274"/>
      <c r="DM36" s="19">
        <v>250392</v>
      </c>
      <c r="DN36" s="18"/>
      <c r="DO36" s="19"/>
      <c r="DP36" s="274"/>
      <c r="DQ36" s="274"/>
      <c r="DR36" s="19">
        <v>129701</v>
      </c>
      <c r="DS36" s="18"/>
      <c r="DT36" s="19"/>
      <c r="DU36" s="274"/>
      <c r="DV36" s="274"/>
      <c r="DW36" s="19">
        <v>248565</v>
      </c>
      <c r="DX36" s="18"/>
      <c r="DY36" s="19"/>
      <c r="DZ36" s="274"/>
      <c r="EA36" s="274"/>
      <c r="EB36" s="19">
        <v>326159</v>
      </c>
      <c r="EC36" s="18"/>
      <c r="ED36" s="19"/>
      <c r="EE36" s="274"/>
      <c r="EF36" s="274"/>
      <c r="EG36" s="19">
        <v>489767</v>
      </c>
      <c r="EH36" s="18"/>
      <c r="EI36" s="19"/>
      <c r="EJ36" s="274"/>
      <c r="EK36" s="274"/>
      <c r="EL36" s="19">
        <f>SUM(CD36:EG36)</f>
        <v>2424937</v>
      </c>
      <c r="EM36" s="18"/>
      <c r="EN36" s="19"/>
      <c r="EO36" s="244"/>
      <c r="ER36" s="451"/>
      <c r="ES36" s="451"/>
    </row>
    <row r="37" spans="4:149" ht="12.75" customHeight="1" x14ac:dyDescent="0.2">
      <c r="D37" s="244" t="s">
        <v>347</v>
      </c>
      <c r="E37" s="274"/>
      <c r="F37" s="82"/>
      <c r="G37" s="19">
        <v>0</v>
      </c>
      <c r="H37" s="18"/>
      <c r="I37" s="19"/>
      <c r="J37" s="274"/>
      <c r="K37" s="274"/>
      <c r="L37" s="19">
        <v>0</v>
      </c>
      <c r="M37" s="18"/>
      <c r="N37" s="19"/>
      <c r="O37" s="274"/>
      <c r="P37" s="274"/>
      <c r="Q37" s="19">
        <v>0</v>
      </c>
      <c r="R37" s="18"/>
      <c r="S37" s="19"/>
      <c r="T37" s="274"/>
      <c r="U37" s="274"/>
      <c r="V37" s="19">
        <v>0</v>
      </c>
      <c r="W37" s="18"/>
      <c r="X37" s="19"/>
      <c r="Y37" s="274"/>
      <c r="Z37" s="274"/>
      <c r="AA37" s="19">
        <v>0</v>
      </c>
      <c r="AB37" s="18"/>
      <c r="AC37" s="19"/>
      <c r="AD37" s="274"/>
      <c r="AE37" s="274"/>
      <c r="AF37" s="19">
        <v>0</v>
      </c>
      <c r="AG37" s="18"/>
      <c r="AH37" s="19"/>
      <c r="AI37" s="274"/>
      <c r="AJ37" s="274"/>
      <c r="AK37" s="19">
        <v>0</v>
      </c>
      <c r="AL37" s="18"/>
      <c r="AM37" s="19"/>
      <c r="AN37" s="274"/>
      <c r="AO37" s="274"/>
      <c r="AP37" s="19">
        <v>0</v>
      </c>
      <c r="AQ37" s="18"/>
      <c r="AR37" s="19"/>
      <c r="AS37" s="274"/>
      <c r="AT37" s="274"/>
      <c r="AU37" s="19">
        <v>0</v>
      </c>
      <c r="AV37" s="18"/>
      <c r="AW37" s="19"/>
      <c r="AX37" s="274"/>
      <c r="AY37" s="274"/>
      <c r="AZ37" s="19">
        <v>0</v>
      </c>
      <c r="BA37" s="18"/>
      <c r="BB37" s="19"/>
      <c r="BC37" s="274"/>
      <c r="BD37" s="274"/>
      <c r="BE37" s="19">
        <v>0</v>
      </c>
      <c r="BF37" s="18"/>
      <c r="BG37" s="19"/>
      <c r="BH37" s="274"/>
      <c r="BI37" s="274"/>
      <c r="BJ37" s="19">
        <v>0</v>
      </c>
      <c r="BK37" s="18"/>
      <c r="BL37" s="19"/>
      <c r="BM37" s="274"/>
      <c r="BN37" s="274"/>
      <c r="BO37" s="19">
        <v>0</v>
      </c>
      <c r="BP37" s="18"/>
      <c r="BQ37" s="19"/>
      <c r="BR37" s="274"/>
      <c r="BS37" s="274"/>
      <c r="BT37" s="19">
        <f>SUM(L37:BO37)</f>
        <v>0</v>
      </c>
      <c r="BU37" s="18"/>
      <c r="BV37" s="19"/>
      <c r="BW37" s="274"/>
      <c r="BX37" s="274"/>
      <c r="BY37" s="19">
        <v>0</v>
      </c>
      <c r="BZ37" s="18"/>
      <c r="CA37" s="19"/>
      <c r="CB37" s="274"/>
      <c r="CC37" s="274"/>
      <c r="CD37" s="19">
        <v>0</v>
      </c>
      <c r="CE37" s="18"/>
      <c r="CF37" s="19"/>
      <c r="CG37" s="274"/>
      <c r="CH37" s="274"/>
      <c r="CI37" s="19">
        <v>0</v>
      </c>
      <c r="CJ37" s="18"/>
      <c r="CK37" s="19"/>
      <c r="CL37" s="274"/>
      <c r="CM37" s="274"/>
      <c r="CN37" s="19">
        <v>0</v>
      </c>
      <c r="CO37" s="18"/>
      <c r="CP37" s="19"/>
      <c r="CQ37" s="274"/>
      <c r="CR37" s="274"/>
      <c r="CS37" s="19">
        <v>0</v>
      </c>
      <c r="CT37" s="18"/>
      <c r="CU37" s="19"/>
      <c r="CV37" s="274"/>
      <c r="CW37" s="274"/>
      <c r="CX37" s="19">
        <v>0</v>
      </c>
      <c r="CY37" s="18"/>
      <c r="CZ37" s="19"/>
      <c r="DA37" s="274"/>
      <c r="DB37" s="274"/>
      <c r="DC37" s="19">
        <v>0</v>
      </c>
      <c r="DD37" s="18"/>
      <c r="DE37" s="19"/>
      <c r="DF37" s="274"/>
      <c r="DG37" s="274"/>
      <c r="DH37" s="19">
        <v>0</v>
      </c>
      <c r="DI37" s="18"/>
      <c r="DJ37" s="19"/>
      <c r="DK37" s="274"/>
      <c r="DL37" s="274"/>
      <c r="DM37" s="19">
        <v>0</v>
      </c>
      <c r="DN37" s="18"/>
      <c r="DO37" s="19"/>
      <c r="DP37" s="274"/>
      <c r="DQ37" s="274"/>
      <c r="DR37" s="19">
        <v>0</v>
      </c>
      <c r="DS37" s="18"/>
      <c r="DT37" s="19"/>
      <c r="DU37" s="274"/>
      <c r="DV37" s="274"/>
      <c r="DW37" s="19">
        <v>0</v>
      </c>
      <c r="DX37" s="18"/>
      <c r="DY37" s="19"/>
      <c r="DZ37" s="274"/>
      <c r="EA37" s="274"/>
      <c r="EB37" s="19">
        <v>0</v>
      </c>
      <c r="EC37" s="18"/>
      <c r="ED37" s="19"/>
      <c r="EE37" s="274"/>
      <c r="EF37" s="274"/>
      <c r="EG37" s="19">
        <v>0</v>
      </c>
      <c r="EH37" s="18"/>
      <c r="EI37" s="19"/>
      <c r="EJ37" s="274"/>
      <c r="EK37" s="274"/>
      <c r="EL37" s="19">
        <f>SUM(CD37:EG37)</f>
        <v>0</v>
      </c>
      <c r="EM37" s="18"/>
      <c r="EN37" s="19"/>
      <c r="EO37" s="244"/>
      <c r="ER37" s="451"/>
      <c r="ES37" s="451"/>
    </row>
    <row r="38" spans="4:149" ht="12.75" customHeight="1" x14ac:dyDescent="0.2">
      <c r="D38" s="244" t="s">
        <v>348</v>
      </c>
      <c r="E38" s="274"/>
      <c r="F38" s="276"/>
      <c r="G38" s="37">
        <v>0</v>
      </c>
      <c r="H38" s="36"/>
      <c r="I38" s="19"/>
      <c r="J38" s="274"/>
      <c r="K38" s="231"/>
      <c r="L38" s="37">
        <v>88599</v>
      </c>
      <c r="M38" s="36"/>
      <c r="N38" s="19"/>
      <c r="O38" s="274"/>
      <c r="P38" s="231"/>
      <c r="Q38" s="37">
        <v>148391</v>
      </c>
      <c r="R38" s="36"/>
      <c r="S38" s="19"/>
      <c r="T38" s="274"/>
      <c r="U38" s="231"/>
      <c r="V38" s="37">
        <v>246012</v>
      </c>
      <c r="W38" s="36"/>
      <c r="X38" s="19"/>
      <c r="Y38" s="274"/>
      <c r="Z38" s="231"/>
      <c r="AA38" s="37">
        <v>874348</v>
      </c>
      <c r="AB38" s="36"/>
      <c r="AC38" s="19"/>
      <c r="AD38" s="274"/>
      <c r="AE38" s="231"/>
      <c r="AF38" s="37">
        <v>927135</v>
      </c>
      <c r="AG38" s="36"/>
      <c r="AH38" s="19"/>
      <c r="AI38" s="274"/>
      <c r="AJ38" s="231"/>
      <c r="AK38" s="37">
        <v>1045536</v>
      </c>
      <c r="AL38" s="36"/>
      <c r="AM38" s="19"/>
      <c r="AN38" s="274"/>
      <c r="AO38" s="231"/>
      <c r="AP38" s="37">
        <v>1066561</v>
      </c>
      <c r="AQ38" s="36"/>
      <c r="AR38" s="19"/>
      <c r="AS38" s="274"/>
      <c r="AT38" s="231"/>
      <c r="AU38" s="37">
        <v>642871</v>
      </c>
      <c r="AV38" s="36"/>
      <c r="AW38" s="19"/>
      <c r="AX38" s="274"/>
      <c r="AY38" s="231"/>
      <c r="AZ38" s="37">
        <v>520793</v>
      </c>
      <c r="BA38" s="36"/>
      <c r="BB38" s="19"/>
      <c r="BC38" s="274"/>
      <c r="BD38" s="231"/>
      <c r="BE38" s="37">
        <v>180750</v>
      </c>
      <c r="BF38" s="36"/>
      <c r="BG38" s="19"/>
      <c r="BH38" s="274"/>
      <c r="BI38" s="231"/>
      <c r="BJ38" s="37">
        <v>358494</v>
      </c>
      <c r="BK38" s="36"/>
      <c r="BL38" s="19"/>
      <c r="BM38" s="274"/>
      <c r="BN38" s="231"/>
      <c r="BO38" s="37">
        <v>787036</v>
      </c>
      <c r="BP38" s="36"/>
      <c r="BQ38" s="19"/>
      <c r="BR38" s="274"/>
      <c r="BS38" s="231"/>
      <c r="BT38" s="37">
        <f>SUM(L38:BO38)</f>
        <v>6886526</v>
      </c>
      <c r="BU38" s="36"/>
      <c r="BV38" s="19"/>
      <c r="BW38" s="274"/>
      <c r="BX38" s="231"/>
      <c r="BY38" s="37">
        <v>3070215</v>
      </c>
      <c r="BZ38" s="36"/>
      <c r="CA38" s="19"/>
      <c r="CB38" s="274"/>
      <c r="CC38" s="231"/>
      <c r="CD38" s="37">
        <v>101537</v>
      </c>
      <c r="CE38" s="36"/>
      <c r="CF38" s="19"/>
      <c r="CG38" s="274"/>
      <c r="CH38" s="231"/>
      <c r="CI38" s="37">
        <v>171087</v>
      </c>
      <c r="CJ38" s="36"/>
      <c r="CK38" s="19"/>
      <c r="CL38" s="274"/>
      <c r="CM38" s="231"/>
      <c r="CN38" s="37">
        <v>267878</v>
      </c>
      <c r="CO38" s="36"/>
      <c r="CP38" s="19"/>
      <c r="CQ38" s="274"/>
      <c r="CR38" s="231"/>
      <c r="CS38" s="37">
        <v>161958</v>
      </c>
      <c r="CT38" s="36"/>
      <c r="CU38" s="19"/>
      <c r="CV38" s="274"/>
      <c r="CW38" s="231"/>
      <c r="CX38" s="37">
        <v>80672</v>
      </c>
      <c r="CY38" s="36"/>
      <c r="CZ38" s="19"/>
      <c r="DA38" s="274"/>
      <c r="DB38" s="231"/>
      <c r="DC38" s="37">
        <v>462471</v>
      </c>
      <c r="DD38" s="36"/>
      <c r="DE38" s="19"/>
      <c r="DF38" s="274"/>
      <c r="DG38" s="231"/>
      <c r="DH38" s="37">
        <v>233577</v>
      </c>
      <c r="DI38" s="36"/>
      <c r="DJ38" s="19"/>
      <c r="DK38" s="274"/>
      <c r="DL38" s="231"/>
      <c r="DM38" s="37">
        <v>294077</v>
      </c>
      <c r="DN38" s="36"/>
      <c r="DO38" s="19"/>
      <c r="DP38" s="274"/>
      <c r="DQ38" s="231"/>
      <c r="DR38" s="37">
        <v>149747</v>
      </c>
      <c r="DS38" s="36"/>
      <c r="DT38" s="19"/>
      <c r="DU38" s="274"/>
      <c r="DV38" s="231"/>
      <c r="DW38" s="37">
        <v>297699</v>
      </c>
      <c r="DX38" s="36"/>
      <c r="DY38" s="19"/>
      <c r="DZ38" s="274"/>
      <c r="EA38" s="231"/>
      <c r="EB38" s="37">
        <v>390586</v>
      </c>
      <c r="EC38" s="36"/>
      <c r="ED38" s="19"/>
      <c r="EE38" s="274"/>
      <c r="EF38" s="231"/>
      <c r="EG38" s="37">
        <v>458926</v>
      </c>
      <c r="EH38" s="36"/>
      <c r="EI38" s="19"/>
      <c r="EJ38" s="274"/>
      <c r="EK38" s="231"/>
      <c r="EL38" s="37">
        <f>SUM(CD38:EG38)</f>
        <v>3070215</v>
      </c>
      <c r="EM38" s="36"/>
      <c r="EN38" s="19"/>
      <c r="EO38" s="244"/>
      <c r="ER38" s="451"/>
      <c r="ES38" s="451"/>
    </row>
    <row r="39" spans="4:149" x14ac:dyDescent="0.2">
      <c r="D39" s="244"/>
      <c r="E39" s="274"/>
      <c r="G39" s="19"/>
      <c r="H39" s="19"/>
      <c r="I39" s="19"/>
      <c r="J39" s="274"/>
      <c r="K39" s="19"/>
      <c r="L39" s="19"/>
      <c r="M39" s="19"/>
      <c r="N39" s="19"/>
      <c r="O39" s="274"/>
      <c r="P39" s="19"/>
      <c r="Q39" s="19"/>
      <c r="R39" s="19"/>
      <c r="S39" s="19"/>
      <c r="T39" s="274"/>
      <c r="U39" s="19"/>
      <c r="V39" s="19"/>
      <c r="W39" s="19"/>
      <c r="X39" s="19"/>
      <c r="Y39" s="274"/>
      <c r="Z39" s="19"/>
      <c r="AA39" s="19"/>
      <c r="AB39" s="19"/>
      <c r="AC39" s="19"/>
      <c r="AD39" s="274"/>
      <c r="AE39" s="19"/>
      <c r="AF39" s="19"/>
      <c r="AG39" s="19"/>
      <c r="AH39" s="19"/>
      <c r="AI39" s="274"/>
      <c r="AJ39" s="19"/>
      <c r="AK39" s="19"/>
      <c r="AL39" s="19"/>
      <c r="AM39" s="19"/>
      <c r="AN39" s="274"/>
      <c r="AO39" s="19"/>
      <c r="AP39" s="19"/>
      <c r="AQ39" s="19"/>
      <c r="AR39" s="19"/>
      <c r="AS39" s="274"/>
      <c r="AT39" s="19"/>
      <c r="AU39" s="19"/>
      <c r="AV39" s="19"/>
      <c r="AW39" s="19"/>
      <c r="AX39" s="274"/>
      <c r="AY39" s="19"/>
      <c r="AZ39" s="19"/>
      <c r="BA39" s="19"/>
      <c r="BB39" s="19"/>
      <c r="BC39" s="274"/>
      <c r="BD39" s="19"/>
      <c r="BE39" s="19"/>
      <c r="BF39" s="19"/>
      <c r="BG39" s="19"/>
      <c r="BH39" s="274"/>
      <c r="BI39" s="19"/>
      <c r="BJ39" s="19"/>
      <c r="BK39" s="19"/>
      <c r="BL39" s="19"/>
      <c r="BM39" s="274"/>
      <c r="BN39" s="19"/>
      <c r="BO39" s="19"/>
      <c r="BP39" s="19"/>
      <c r="BQ39" s="19"/>
      <c r="BR39" s="274"/>
      <c r="BS39" s="19"/>
      <c r="BT39" s="19"/>
      <c r="BU39" s="19"/>
      <c r="BV39" s="19"/>
      <c r="BW39" s="274"/>
      <c r="BX39" s="19"/>
      <c r="BY39" s="19"/>
      <c r="BZ39" s="19"/>
      <c r="CA39" s="19"/>
      <c r="CB39" s="274"/>
      <c r="CC39" s="19"/>
      <c r="CD39" s="19"/>
      <c r="CE39" s="19"/>
      <c r="CF39" s="19"/>
      <c r="CG39" s="274"/>
      <c r="CH39" s="19"/>
      <c r="CI39" s="19"/>
      <c r="CJ39" s="19"/>
      <c r="CK39" s="19"/>
      <c r="CL39" s="274"/>
      <c r="CM39" s="19"/>
      <c r="CN39" s="19"/>
      <c r="CO39" s="19"/>
      <c r="CP39" s="19"/>
      <c r="CQ39" s="274"/>
      <c r="CR39" s="19"/>
      <c r="CS39" s="19"/>
      <c r="CT39" s="19"/>
      <c r="CU39" s="19"/>
      <c r="CV39" s="274"/>
      <c r="CW39" s="19"/>
      <c r="CX39" s="19"/>
      <c r="CY39" s="19"/>
      <c r="CZ39" s="19"/>
      <c r="DA39" s="274"/>
      <c r="DB39" s="19"/>
      <c r="DC39" s="19"/>
      <c r="DD39" s="19"/>
      <c r="DE39" s="19"/>
      <c r="DF39" s="274"/>
      <c r="DG39" s="19"/>
      <c r="DH39" s="19"/>
      <c r="DI39" s="19"/>
      <c r="DJ39" s="19"/>
      <c r="DK39" s="274"/>
      <c r="DL39" s="19"/>
      <c r="DM39" s="19"/>
      <c r="DN39" s="19"/>
      <c r="DO39" s="19"/>
      <c r="DP39" s="274"/>
      <c r="DQ39" s="19"/>
      <c r="DR39" s="19"/>
      <c r="DS39" s="19"/>
      <c r="DT39" s="19"/>
      <c r="DU39" s="274"/>
      <c r="DV39" s="19"/>
      <c r="DW39" s="19"/>
      <c r="DX39" s="19"/>
      <c r="DY39" s="19"/>
      <c r="DZ39" s="274"/>
      <c r="EA39" s="19"/>
      <c r="EB39" s="19"/>
      <c r="EC39" s="19"/>
      <c r="ED39" s="19"/>
      <c r="EE39" s="274"/>
      <c r="EF39" s="19"/>
      <c r="EG39" s="19"/>
      <c r="EH39" s="19"/>
      <c r="EI39" s="19"/>
      <c r="EJ39" s="274"/>
      <c r="EK39" s="19"/>
      <c r="EL39" s="19"/>
      <c r="EM39" s="19"/>
      <c r="EN39" s="19"/>
      <c r="EO39" s="244"/>
      <c r="ER39" s="451"/>
      <c r="ES39" s="451"/>
    </row>
    <row r="40" spans="4:149" ht="12.75" customHeight="1" x14ac:dyDescent="0.2">
      <c r="D40" s="244" t="s">
        <v>351</v>
      </c>
      <c r="E40" s="274"/>
      <c r="G40" s="19">
        <f>SUM(G41:G44)</f>
        <v>0</v>
      </c>
      <c r="H40" s="19"/>
      <c r="I40" s="19"/>
      <c r="J40" s="274"/>
      <c r="K40" s="19"/>
      <c r="L40" s="19">
        <f>SUM(L41:L44)</f>
        <v>758012</v>
      </c>
      <c r="M40" s="19"/>
      <c r="N40" s="19"/>
      <c r="O40" s="274"/>
      <c r="P40" s="19"/>
      <c r="Q40" s="19">
        <f>SUM(Q41:Q44)</f>
        <v>592400</v>
      </c>
      <c r="R40" s="19"/>
      <c r="S40" s="19"/>
      <c r="T40" s="274"/>
      <c r="U40" s="19"/>
      <c r="V40" s="19">
        <f>SUM(V41:V44)</f>
        <v>817596</v>
      </c>
      <c r="W40" s="19"/>
      <c r="X40" s="19"/>
      <c r="Y40" s="274"/>
      <c r="Z40" s="19"/>
      <c r="AA40" s="19">
        <f>SUM(AA41:AA44)</f>
        <v>0</v>
      </c>
      <c r="AB40" s="19"/>
      <c r="AC40" s="19"/>
      <c r="AD40" s="274"/>
      <c r="AE40" s="19"/>
      <c r="AF40" s="19">
        <f>SUM(AF41:AF44)</f>
        <v>1611709</v>
      </c>
      <c r="AG40" s="19"/>
      <c r="AH40" s="19"/>
      <c r="AI40" s="274"/>
      <c r="AJ40" s="19"/>
      <c r="AK40" s="19">
        <f>SUM(AK41:AK44)</f>
        <v>0</v>
      </c>
      <c r="AL40" s="19"/>
      <c r="AM40" s="19"/>
      <c r="AN40" s="274"/>
      <c r="AO40" s="19"/>
      <c r="AP40" s="19">
        <f>SUM(AP41:AP44)</f>
        <v>1218728</v>
      </c>
      <c r="AQ40" s="19"/>
      <c r="AR40" s="19"/>
      <c r="AS40" s="274"/>
      <c r="AT40" s="19"/>
      <c r="AU40" s="19">
        <f>SUM(AU41:AU44)</f>
        <v>2181019</v>
      </c>
      <c r="AV40" s="19"/>
      <c r="AW40" s="19"/>
      <c r="AX40" s="274"/>
      <c r="AY40" s="19"/>
      <c r="AZ40" s="19">
        <f>SUM(AZ41:AZ44)</f>
        <v>2952785</v>
      </c>
      <c r="BA40" s="19"/>
      <c r="BB40" s="19"/>
      <c r="BC40" s="274"/>
      <c r="BD40" s="19"/>
      <c r="BE40" s="19">
        <f>SUM(BE41:BE44)</f>
        <v>0</v>
      </c>
      <c r="BF40" s="19"/>
      <c r="BG40" s="19"/>
      <c r="BH40" s="274"/>
      <c r="BI40" s="19"/>
      <c r="BJ40" s="19">
        <f>SUM(BJ41:BJ44)</f>
        <v>681563</v>
      </c>
      <c r="BK40" s="19"/>
      <c r="BL40" s="19"/>
      <c r="BM40" s="274"/>
      <c r="BN40" s="19"/>
      <c r="BO40" s="19">
        <f>SUM(BO41:BO44)</f>
        <v>881441</v>
      </c>
      <c r="BP40" s="19"/>
      <c r="BQ40" s="19"/>
      <c r="BR40" s="274"/>
      <c r="BS40" s="19"/>
      <c r="BT40" s="19">
        <f>SUM(BT41:BT44)</f>
        <v>11695253</v>
      </c>
      <c r="BU40" s="19"/>
      <c r="BV40" s="19"/>
      <c r="BW40" s="274"/>
      <c r="BX40" s="19"/>
      <c r="BY40" s="19">
        <f>SUM(BY41:BY44)</f>
        <v>8017003</v>
      </c>
      <c r="BZ40" s="19"/>
      <c r="CA40" s="19"/>
      <c r="CB40" s="274"/>
      <c r="CC40" s="19"/>
      <c r="CD40" s="19">
        <f>SUM(CD41:CD44)</f>
        <v>180035</v>
      </c>
      <c r="CE40" s="19"/>
      <c r="CF40" s="19"/>
      <c r="CG40" s="274"/>
      <c r="CH40" s="19"/>
      <c r="CI40" s="19">
        <f>SUM(CI41:CI44)</f>
        <v>451598</v>
      </c>
      <c r="CJ40" s="19"/>
      <c r="CK40" s="19"/>
      <c r="CL40" s="274"/>
      <c r="CM40" s="19"/>
      <c r="CN40" s="19">
        <f>SUM(CN41:CN44)</f>
        <v>242544</v>
      </c>
      <c r="CO40" s="19"/>
      <c r="CP40" s="19"/>
      <c r="CQ40" s="274"/>
      <c r="CR40" s="19"/>
      <c r="CS40" s="19">
        <f>SUM(CS41:CS44)</f>
        <v>934738</v>
      </c>
      <c r="CT40" s="19"/>
      <c r="CU40" s="19"/>
      <c r="CV40" s="274"/>
      <c r="CW40" s="19"/>
      <c r="CX40" s="19">
        <f>SUM(CX41:CX44)</f>
        <v>1364565</v>
      </c>
      <c r="CY40" s="19"/>
      <c r="CZ40" s="19"/>
      <c r="DA40" s="274"/>
      <c r="DB40" s="19"/>
      <c r="DC40" s="19">
        <f>SUM(DC41:DC44)</f>
        <v>369427</v>
      </c>
      <c r="DD40" s="19"/>
      <c r="DE40" s="19"/>
      <c r="DF40" s="274"/>
      <c r="DG40" s="19"/>
      <c r="DH40" s="19">
        <f>SUM(DH41:DH44)</f>
        <v>1168651</v>
      </c>
      <c r="DI40" s="19"/>
      <c r="DJ40" s="19"/>
      <c r="DK40" s="274"/>
      <c r="DL40" s="19"/>
      <c r="DM40" s="19">
        <f>SUM(DM41:DM44)</f>
        <v>248013</v>
      </c>
      <c r="DN40" s="19"/>
      <c r="DO40" s="19"/>
      <c r="DP40" s="274"/>
      <c r="DQ40" s="19"/>
      <c r="DR40" s="19">
        <f>SUM(DR41:DR44)</f>
        <v>608756</v>
      </c>
      <c r="DS40" s="19"/>
      <c r="DT40" s="19"/>
      <c r="DU40" s="274"/>
      <c r="DV40" s="19"/>
      <c r="DW40" s="19">
        <f>SUM(DW41:DW44)</f>
        <v>927774</v>
      </c>
      <c r="DX40" s="19"/>
      <c r="DY40" s="19"/>
      <c r="DZ40" s="274"/>
      <c r="EA40" s="19"/>
      <c r="EB40" s="19">
        <f>SUM(EB41:EB44)</f>
        <v>1003132</v>
      </c>
      <c r="EC40" s="19"/>
      <c r="ED40" s="19"/>
      <c r="EE40" s="274"/>
      <c r="EF40" s="19"/>
      <c r="EG40" s="19">
        <f>SUM(EG41:EG44)</f>
        <v>517770</v>
      </c>
      <c r="EH40" s="19"/>
      <c r="EI40" s="19"/>
      <c r="EJ40" s="274"/>
      <c r="EK40" s="19"/>
      <c r="EL40" s="19">
        <f>SUM(EL41:EL44)</f>
        <v>8017003</v>
      </c>
      <c r="EM40" s="19"/>
      <c r="EN40" s="19"/>
      <c r="EO40" s="244"/>
      <c r="ER40" s="451"/>
      <c r="ES40" s="451"/>
    </row>
    <row r="41" spans="4:149" ht="12.75" customHeight="1" x14ac:dyDescent="0.2">
      <c r="D41" s="244" t="s">
        <v>344</v>
      </c>
      <c r="E41" s="274"/>
      <c r="F41" s="112"/>
      <c r="G41" s="374">
        <v>0</v>
      </c>
      <c r="H41" s="475"/>
      <c r="I41" s="19"/>
      <c r="J41" s="274"/>
      <c r="K41" s="173"/>
      <c r="L41" s="374">
        <f>605000-189324</f>
        <v>415676</v>
      </c>
      <c r="M41" s="475"/>
      <c r="N41" s="19"/>
      <c r="O41" s="274"/>
      <c r="P41" s="173"/>
      <c r="Q41" s="374">
        <f>470000-150889</f>
        <v>319111</v>
      </c>
      <c r="R41" s="475"/>
      <c r="S41" s="19"/>
      <c r="T41" s="274"/>
      <c r="U41" s="173"/>
      <c r="V41" s="374">
        <f>645000-201995</f>
        <v>443005</v>
      </c>
      <c r="W41" s="475"/>
      <c r="X41" s="19"/>
      <c r="Y41" s="274"/>
      <c r="Z41" s="173"/>
      <c r="AA41" s="374">
        <v>0</v>
      </c>
      <c r="AB41" s="475"/>
      <c r="AC41" s="19"/>
      <c r="AD41" s="274"/>
      <c r="AE41" s="173"/>
      <c r="AF41" s="374">
        <f>1280000-424956</f>
        <v>855044</v>
      </c>
      <c r="AG41" s="475"/>
      <c r="AH41" s="19"/>
      <c r="AI41" s="274"/>
      <c r="AJ41" s="173"/>
      <c r="AK41" s="374">
        <v>0</v>
      </c>
      <c r="AL41" s="475"/>
      <c r="AM41" s="19"/>
      <c r="AN41" s="274"/>
      <c r="AO41" s="173"/>
      <c r="AP41" s="374">
        <f>955000-322457</f>
        <v>632543</v>
      </c>
      <c r="AQ41" s="475"/>
      <c r="AR41" s="19"/>
      <c r="AS41" s="274"/>
      <c r="AT41" s="173"/>
      <c r="AU41" s="374">
        <f>1705000-574806</f>
        <v>1130194</v>
      </c>
      <c r="AV41" s="475"/>
      <c r="AW41" s="19"/>
      <c r="AX41" s="274"/>
      <c r="AY41" s="173"/>
      <c r="AZ41" s="374">
        <f>2305000-740466</f>
        <v>1564534</v>
      </c>
      <c r="BA41" s="475"/>
      <c r="BB41" s="19"/>
      <c r="BC41" s="274"/>
      <c r="BD41" s="173"/>
      <c r="BE41" s="374">
        <v>0</v>
      </c>
      <c r="BF41" s="475"/>
      <c r="BG41" s="19"/>
      <c r="BH41" s="274"/>
      <c r="BI41" s="173"/>
      <c r="BJ41" s="374">
        <f>530000-144379</f>
        <v>385621</v>
      </c>
      <c r="BK41" s="475"/>
      <c r="BL41" s="19"/>
      <c r="BM41" s="274"/>
      <c r="BN41" s="173"/>
      <c r="BO41" s="374">
        <f>685000-181955</f>
        <v>503045</v>
      </c>
      <c r="BP41" s="475"/>
      <c r="BQ41" s="19"/>
      <c r="BR41" s="274"/>
      <c r="BS41" s="173"/>
      <c r="BT41" s="374">
        <f>SUM(L41:BO41)</f>
        <v>6248773</v>
      </c>
      <c r="BU41" s="475"/>
      <c r="BV41" s="19"/>
      <c r="BW41" s="274"/>
      <c r="BX41" s="173"/>
      <c r="BY41" s="374">
        <v>5047111</v>
      </c>
      <c r="BZ41" s="475"/>
      <c r="CA41" s="19"/>
      <c r="CB41" s="274"/>
      <c r="CC41" s="173"/>
      <c r="CD41" s="374">
        <f>150000-28734</f>
        <v>121266</v>
      </c>
      <c r="CE41" s="475"/>
      <c r="CF41" s="19"/>
      <c r="CG41" s="274"/>
      <c r="CH41" s="173"/>
      <c r="CI41" s="374">
        <f>375000-59360</f>
        <v>315640</v>
      </c>
      <c r="CJ41" s="475"/>
      <c r="CK41" s="19"/>
      <c r="CL41" s="274"/>
      <c r="CM41" s="173"/>
      <c r="CN41" s="374">
        <f>200000-37417</f>
        <v>162583</v>
      </c>
      <c r="CO41" s="475"/>
      <c r="CP41" s="19"/>
      <c r="CQ41" s="274"/>
      <c r="CR41" s="173"/>
      <c r="CS41" s="374">
        <f>765000-148926</f>
        <v>616074</v>
      </c>
      <c r="CT41" s="475"/>
      <c r="CU41" s="19"/>
      <c r="CV41" s="274"/>
      <c r="CW41" s="173"/>
      <c r="CX41" s="374">
        <f>1110000-237389</f>
        <v>872611</v>
      </c>
      <c r="CY41" s="475"/>
      <c r="CZ41" s="19"/>
      <c r="DA41" s="274"/>
      <c r="DB41" s="173"/>
      <c r="DC41" s="374">
        <f>300000-65094</f>
        <v>234906</v>
      </c>
      <c r="DD41" s="475"/>
      <c r="DE41" s="19"/>
      <c r="DF41" s="274"/>
      <c r="DG41" s="173"/>
      <c r="DH41" s="374">
        <f>945000-208838</f>
        <v>736162</v>
      </c>
      <c r="DI41" s="475"/>
      <c r="DJ41" s="19"/>
      <c r="DK41" s="274"/>
      <c r="DL41" s="173"/>
      <c r="DM41" s="374">
        <f>200000-46504</f>
        <v>153496</v>
      </c>
      <c r="DN41" s="475"/>
      <c r="DO41" s="19"/>
      <c r="DP41" s="274"/>
      <c r="DQ41" s="173"/>
      <c r="DR41" s="374">
        <f>490000-123771</f>
        <v>366229</v>
      </c>
      <c r="DS41" s="475"/>
      <c r="DT41" s="19"/>
      <c r="DU41" s="274"/>
      <c r="DV41" s="173"/>
      <c r="DW41" s="374">
        <f>745000-186023</f>
        <v>558977</v>
      </c>
      <c r="DX41" s="475"/>
      <c r="DY41" s="19"/>
      <c r="DZ41" s="274"/>
      <c r="EA41" s="173"/>
      <c r="EB41" s="374">
        <f>805000-200319</f>
        <v>604681</v>
      </c>
      <c r="EC41" s="475"/>
      <c r="ED41" s="19"/>
      <c r="EE41" s="274"/>
      <c r="EF41" s="173"/>
      <c r="EG41" s="374">
        <f>415000-110514</f>
        <v>304486</v>
      </c>
      <c r="EH41" s="475"/>
      <c r="EI41" s="19"/>
      <c r="EJ41" s="274"/>
      <c r="EK41" s="173"/>
      <c r="EL41" s="374">
        <f>SUM(CD41:EG41)</f>
        <v>5047111</v>
      </c>
      <c r="EM41" s="475"/>
      <c r="EN41" s="19"/>
      <c r="EO41" s="244"/>
      <c r="ER41" s="451"/>
      <c r="ES41" s="451"/>
    </row>
    <row r="42" spans="4:149" ht="12.75" customHeight="1" x14ac:dyDescent="0.2">
      <c r="D42" s="244" t="s">
        <v>346</v>
      </c>
      <c r="E42" s="274"/>
      <c r="F42" s="82"/>
      <c r="G42" s="19">
        <v>0</v>
      </c>
      <c r="H42" s="18"/>
      <c r="I42" s="19"/>
      <c r="J42" s="274"/>
      <c r="K42" s="274"/>
      <c r="L42" s="19">
        <v>189324</v>
      </c>
      <c r="M42" s="18"/>
      <c r="N42" s="19"/>
      <c r="O42" s="274"/>
      <c r="P42" s="274"/>
      <c r="Q42" s="19">
        <v>150889</v>
      </c>
      <c r="R42" s="18"/>
      <c r="S42" s="19"/>
      <c r="T42" s="274"/>
      <c r="U42" s="274"/>
      <c r="V42" s="19">
        <v>201995</v>
      </c>
      <c r="W42" s="18"/>
      <c r="X42" s="19"/>
      <c r="Y42" s="274"/>
      <c r="Z42" s="274"/>
      <c r="AA42" s="19">
        <v>0</v>
      </c>
      <c r="AB42" s="18"/>
      <c r="AC42" s="19"/>
      <c r="AD42" s="274"/>
      <c r="AE42" s="274"/>
      <c r="AF42" s="19">
        <v>424956</v>
      </c>
      <c r="AG42" s="18"/>
      <c r="AH42" s="19"/>
      <c r="AI42" s="274"/>
      <c r="AJ42" s="274"/>
      <c r="AK42" s="19">
        <v>0</v>
      </c>
      <c r="AL42" s="18"/>
      <c r="AM42" s="19"/>
      <c r="AN42" s="274"/>
      <c r="AO42" s="274"/>
      <c r="AP42" s="19">
        <v>322457</v>
      </c>
      <c r="AQ42" s="18"/>
      <c r="AR42" s="19"/>
      <c r="AS42" s="274"/>
      <c r="AT42" s="274"/>
      <c r="AU42" s="19">
        <v>574806</v>
      </c>
      <c r="AV42" s="18"/>
      <c r="AW42" s="19"/>
      <c r="AX42" s="274"/>
      <c r="AY42" s="274"/>
      <c r="AZ42" s="19">
        <v>740466</v>
      </c>
      <c r="BA42" s="18"/>
      <c r="BB42" s="19"/>
      <c r="BC42" s="274"/>
      <c r="BD42" s="274"/>
      <c r="BE42" s="19">
        <v>0</v>
      </c>
      <c r="BF42" s="18"/>
      <c r="BG42" s="19"/>
      <c r="BH42" s="274"/>
      <c r="BI42" s="274"/>
      <c r="BJ42" s="19">
        <v>144379</v>
      </c>
      <c r="BK42" s="18"/>
      <c r="BL42" s="19"/>
      <c r="BM42" s="274"/>
      <c r="BN42" s="274"/>
      <c r="BO42" s="19">
        <v>181955</v>
      </c>
      <c r="BP42" s="18"/>
      <c r="BQ42" s="19"/>
      <c r="BR42" s="274"/>
      <c r="BS42" s="274"/>
      <c r="BT42" s="19">
        <f>SUM(L42:BO42)</f>
        <v>2931227</v>
      </c>
      <c r="BU42" s="18"/>
      <c r="BV42" s="19"/>
      <c r="BW42" s="274"/>
      <c r="BX42" s="274"/>
      <c r="BY42" s="19">
        <v>1452889</v>
      </c>
      <c r="BZ42" s="18"/>
      <c r="CA42" s="19"/>
      <c r="CB42" s="274"/>
      <c r="CC42" s="274"/>
      <c r="CD42" s="19">
        <v>28734</v>
      </c>
      <c r="CE42" s="18"/>
      <c r="CF42" s="19"/>
      <c r="CG42" s="274"/>
      <c r="CH42" s="274"/>
      <c r="CI42" s="19">
        <v>59360</v>
      </c>
      <c r="CJ42" s="18"/>
      <c r="CK42" s="19"/>
      <c r="CL42" s="274"/>
      <c r="CM42" s="274"/>
      <c r="CN42" s="19">
        <v>37417</v>
      </c>
      <c r="CO42" s="18"/>
      <c r="CP42" s="19"/>
      <c r="CQ42" s="274"/>
      <c r="CR42" s="274"/>
      <c r="CS42" s="19">
        <v>148926</v>
      </c>
      <c r="CT42" s="18"/>
      <c r="CU42" s="19"/>
      <c r="CV42" s="274"/>
      <c r="CW42" s="274"/>
      <c r="CX42" s="19">
        <v>237389</v>
      </c>
      <c r="CY42" s="18"/>
      <c r="CZ42" s="19"/>
      <c r="DA42" s="274"/>
      <c r="DB42" s="274"/>
      <c r="DC42" s="19">
        <v>65094</v>
      </c>
      <c r="DD42" s="18"/>
      <c r="DE42" s="19"/>
      <c r="DF42" s="274"/>
      <c r="DG42" s="274"/>
      <c r="DH42" s="19">
        <v>208838</v>
      </c>
      <c r="DI42" s="18"/>
      <c r="DJ42" s="19"/>
      <c r="DK42" s="274"/>
      <c r="DL42" s="274"/>
      <c r="DM42" s="19">
        <v>46504</v>
      </c>
      <c r="DN42" s="18"/>
      <c r="DO42" s="19"/>
      <c r="DP42" s="274"/>
      <c r="DQ42" s="274"/>
      <c r="DR42" s="19">
        <v>123771</v>
      </c>
      <c r="DS42" s="18"/>
      <c r="DT42" s="19"/>
      <c r="DU42" s="274"/>
      <c r="DV42" s="274"/>
      <c r="DW42" s="19">
        <v>186023</v>
      </c>
      <c r="DX42" s="18"/>
      <c r="DY42" s="19"/>
      <c r="DZ42" s="274"/>
      <c r="EA42" s="274"/>
      <c r="EB42" s="19">
        <v>200319</v>
      </c>
      <c r="EC42" s="18"/>
      <c r="ED42" s="19"/>
      <c r="EE42" s="274"/>
      <c r="EF42" s="274"/>
      <c r="EG42" s="19">
        <v>110514</v>
      </c>
      <c r="EH42" s="18"/>
      <c r="EI42" s="19"/>
      <c r="EJ42" s="274"/>
      <c r="EK42" s="274"/>
      <c r="EL42" s="19">
        <f>SUM(CD42:EG42)</f>
        <v>1452889</v>
      </c>
      <c r="EM42" s="18"/>
      <c r="EN42" s="19"/>
      <c r="EO42" s="244"/>
      <c r="ER42" s="451"/>
      <c r="ES42" s="451"/>
    </row>
    <row r="43" spans="4:149" ht="12.75" customHeight="1" x14ac:dyDescent="0.2">
      <c r="D43" s="244" t="s">
        <v>347</v>
      </c>
      <c r="E43" s="274"/>
      <c r="F43" s="82"/>
      <c r="G43" s="19">
        <v>0</v>
      </c>
      <c r="H43" s="18"/>
      <c r="I43" s="19"/>
      <c r="J43" s="274"/>
      <c r="K43" s="274"/>
      <c r="L43" s="19">
        <v>0</v>
      </c>
      <c r="M43" s="18"/>
      <c r="N43" s="19"/>
      <c r="O43" s="274"/>
      <c r="P43" s="274"/>
      <c r="Q43" s="19">
        <v>0</v>
      </c>
      <c r="R43" s="18"/>
      <c r="S43" s="19"/>
      <c r="T43" s="274"/>
      <c r="U43" s="274"/>
      <c r="V43" s="19">
        <v>0</v>
      </c>
      <c r="W43" s="18"/>
      <c r="X43" s="19"/>
      <c r="Y43" s="274"/>
      <c r="Z43" s="274"/>
      <c r="AA43" s="19">
        <v>0</v>
      </c>
      <c r="AB43" s="18"/>
      <c r="AC43" s="19"/>
      <c r="AD43" s="274"/>
      <c r="AE43" s="274"/>
      <c r="AF43" s="19">
        <v>0</v>
      </c>
      <c r="AG43" s="18"/>
      <c r="AH43" s="19"/>
      <c r="AI43" s="274"/>
      <c r="AJ43" s="274"/>
      <c r="AK43" s="19">
        <v>0</v>
      </c>
      <c r="AL43" s="18"/>
      <c r="AM43" s="19"/>
      <c r="AN43" s="274"/>
      <c r="AO43" s="274"/>
      <c r="AP43" s="19">
        <v>0</v>
      </c>
      <c r="AQ43" s="18"/>
      <c r="AR43" s="19"/>
      <c r="AS43" s="274"/>
      <c r="AT43" s="274"/>
      <c r="AU43" s="19">
        <v>0</v>
      </c>
      <c r="AV43" s="18"/>
      <c r="AW43" s="19"/>
      <c r="AX43" s="274"/>
      <c r="AY43" s="274"/>
      <c r="AZ43" s="19">
        <v>0</v>
      </c>
      <c r="BA43" s="18"/>
      <c r="BB43" s="19"/>
      <c r="BC43" s="274"/>
      <c r="BD43" s="274"/>
      <c r="BE43" s="19">
        <v>0</v>
      </c>
      <c r="BF43" s="18"/>
      <c r="BG43" s="19"/>
      <c r="BH43" s="274"/>
      <c r="BI43" s="274"/>
      <c r="BJ43" s="19">
        <v>0</v>
      </c>
      <c r="BK43" s="18"/>
      <c r="BL43" s="19"/>
      <c r="BM43" s="274"/>
      <c r="BN43" s="274"/>
      <c r="BO43" s="19">
        <v>0</v>
      </c>
      <c r="BP43" s="18"/>
      <c r="BQ43" s="19"/>
      <c r="BR43" s="274"/>
      <c r="BS43" s="274"/>
      <c r="BT43" s="19">
        <f>SUM(L43:BO43)</f>
        <v>0</v>
      </c>
      <c r="BU43" s="18"/>
      <c r="BV43" s="19"/>
      <c r="BW43" s="274"/>
      <c r="BX43" s="274"/>
      <c r="BY43" s="19">
        <v>0</v>
      </c>
      <c r="BZ43" s="18"/>
      <c r="CA43" s="19"/>
      <c r="CB43" s="274"/>
      <c r="CC43" s="274"/>
      <c r="CD43" s="19">
        <v>0</v>
      </c>
      <c r="CE43" s="18"/>
      <c r="CF43" s="19"/>
      <c r="CG43" s="274"/>
      <c r="CH43" s="274"/>
      <c r="CI43" s="19">
        <v>0</v>
      </c>
      <c r="CJ43" s="18"/>
      <c r="CK43" s="19"/>
      <c r="CL43" s="274"/>
      <c r="CM43" s="274"/>
      <c r="CN43" s="19">
        <v>0</v>
      </c>
      <c r="CO43" s="18"/>
      <c r="CP43" s="19"/>
      <c r="CQ43" s="274"/>
      <c r="CR43" s="274"/>
      <c r="CS43" s="19">
        <v>0</v>
      </c>
      <c r="CT43" s="18"/>
      <c r="CU43" s="19"/>
      <c r="CV43" s="274"/>
      <c r="CW43" s="274"/>
      <c r="CX43" s="19">
        <v>0</v>
      </c>
      <c r="CY43" s="18"/>
      <c r="CZ43" s="19"/>
      <c r="DA43" s="274"/>
      <c r="DB43" s="274"/>
      <c r="DC43" s="19">
        <v>0</v>
      </c>
      <c r="DD43" s="18"/>
      <c r="DE43" s="19"/>
      <c r="DF43" s="274"/>
      <c r="DG43" s="274"/>
      <c r="DH43" s="19">
        <v>0</v>
      </c>
      <c r="DI43" s="18"/>
      <c r="DJ43" s="19"/>
      <c r="DK43" s="274"/>
      <c r="DL43" s="274"/>
      <c r="DM43" s="19">
        <v>0</v>
      </c>
      <c r="DN43" s="18"/>
      <c r="DO43" s="19"/>
      <c r="DP43" s="274"/>
      <c r="DQ43" s="274"/>
      <c r="DR43" s="19">
        <v>0</v>
      </c>
      <c r="DS43" s="18"/>
      <c r="DT43" s="19"/>
      <c r="DU43" s="274"/>
      <c r="DV43" s="274"/>
      <c r="DW43" s="19">
        <v>0</v>
      </c>
      <c r="DX43" s="18"/>
      <c r="DY43" s="19"/>
      <c r="DZ43" s="274"/>
      <c r="EA43" s="274"/>
      <c r="EB43" s="19">
        <v>0</v>
      </c>
      <c r="EC43" s="18"/>
      <c r="ED43" s="19"/>
      <c r="EE43" s="274"/>
      <c r="EF43" s="274"/>
      <c r="EG43" s="19">
        <v>0</v>
      </c>
      <c r="EH43" s="18"/>
      <c r="EI43" s="19"/>
      <c r="EJ43" s="274"/>
      <c r="EK43" s="274"/>
      <c r="EL43" s="19">
        <f>SUM(CD43:EG43)</f>
        <v>0</v>
      </c>
      <c r="EM43" s="18"/>
      <c r="EN43" s="19"/>
      <c r="EO43" s="244"/>
      <c r="ER43" s="451"/>
      <c r="ES43" s="451"/>
    </row>
    <row r="44" spans="4:149" ht="12.75" customHeight="1" x14ac:dyDescent="0.2">
      <c r="D44" s="244" t="s">
        <v>348</v>
      </c>
      <c r="E44" s="274"/>
      <c r="F44" s="276"/>
      <c r="G44" s="37">
        <v>0</v>
      </c>
      <c r="H44" s="36"/>
      <c r="I44" s="19"/>
      <c r="J44" s="274"/>
      <c r="K44" s="231"/>
      <c r="L44" s="37">
        <v>153012</v>
      </c>
      <c r="M44" s="36"/>
      <c r="N44" s="19"/>
      <c r="O44" s="274"/>
      <c r="P44" s="231"/>
      <c r="Q44" s="37">
        <v>122400</v>
      </c>
      <c r="R44" s="36"/>
      <c r="S44" s="19"/>
      <c r="T44" s="274"/>
      <c r="U44" s="231"/>
      <c r="V44" s="37">
        <v>172596</v>
      </c>
      <c r="W44" s="36"/>
      <c r="X44" s="19"/>
      <c r="Y44" s="274"/>
      <c r="Z44" s="231"/>
      <c r="AA44" s="37">
        <v>0</v>
      </c>
      <c r="AB44" s="36"/>
      <c r="AC44" s="19"/>
      <c r="AD44" s="274"/>
      <c r="AE44" s="231"/>
      <c r="AF44" s="37">
        <v>331709</v>
      </c>
      <c r="AG44" s="36"/>
      <c r="AH44" s="19"/>
      <c r="AI44" s="274"/>
      <c r="AJ44" s="231"/>
      <c r="AK44" s="37">
        <v>0</v>
      </c>
      <c r="AL44" s="36"/>
      <c r="AM44" s="19"/>
      <c r="AN44" s="274"/>
      <c r="AO44" s="231"/>
      <c r="AP44" s="37">
        <v>263728</v>
      </c>
      <c r="AQ44" s="36"/>
      <c r="AR44" s="19"/>
      <c r="AS44" s="274"/>
      <c r="AT44" s="231"/>
      <c r="AU44" s="37">
        <v>476019</v>
      </c>
      <c r="AV44" s="36"/>
      <c r="AW44" s="19"/>
      <c r="AX44" s="274"/>
      <c r="AY44" s="231"/>
      <c r="AZ44" s="37">
        <v>647785</v>
      </c>
      <c r="BA44" s="36"/>
      <c r="BB44" s="19"/>
      <c r="BC44" s="274"/>
      <c r="BD44" s="231"/>
      <c r="BE44" s="37">
        <v>0</v>
      </c>
      <c r="BF44" s="36"/>
      <c r="BG44" s="19"/>
      <c r="BH44" s="274"/>
      <c r="BI44" s="231"/>
      <c r="BJ44" s="37">
        <v>151563</v>
      </c>
      <c r="BK44" s="36"/>
      <c r="BL44" s="19"/>
      <c r="BM44" s="274"/>
      <c r="BN44" s="231"/>
      <c r="BO44" s="37">
        <v>196441</v>
      </c>
      <c r="BP44" s="36"/>
      <c r="BQ44" s="19"/>
      <c r="BR44" s="274"/>
      <c r="BS44" s="231"/>
      <c r="BT44" s="37">
        <f>SUM(L44:BO44)</f>
        <v>2515253</v>
      </c>
      <c r="BU44" s="36"/>
      <c r="BV44" s="19"/>
      <c r="BW44" s="274"/>
      <c r="BX44" s="231"/>
      <c r="BY44" s="37">
        <v>1517003</v>
      </c>
      <c r="BZ44" s="36"/>
      <c r="CA44" s="19"/>
      <c r="CB44" s="274"/>
      <c r="CC44" s="231"/>
      <c r="CD44" s="37">
        <v>30035</v>
      </c>
      <c r="CE44" s="36"/>
      <c r="CF44" s="19"/>
      <c r="CG44" s="274"/>
      <c r="CH44" s="231"/>
      <c r="CI44" s="37">
        <v>76598</v>
      </c>
      <c r="CJ44" s="36"/>
      <c r="CK44" s="19"/>
      <c r="CL44" s="274"/>
      <c r="CM44" s="231"/>
      <c r="CN44" s="37">
        <v>42544</v>
      </c>
      <c r="CO44" s="36"/>
      <c r="CP44" s="19"/>
      <c r="CQ44" s="274"/>
      <c r="CR44" s="231"/>
      <c r="CS44" s="37">
        <v>169738</v>
      </c>
      <c r="CT44" s="36"/>
      <c r="CU44" s="19"/>
      <c r="CV44" s="274"/>
      <c r="CW44" s="231"/>
      <c r="CX44" s="37">
        <v>254565</v>
      </c>
      <c r="CY44" s="36"/>
      <c r="CZ44" s="19"/>
      <c r="DA44" s="274"/>
      <c r="DB44" s="231"/>
      <c r="DC44" s="37">
        <v>69427</v>
      </c>
      <c r="DD44" s="36"/>
      <c r="DE44" s="19"/>
      <c r="DF44" s="274"/>
      <c r="DG44" s="231"/>
      <c r="DH44" s="37">
        <v>223651</v>
      </c>
      <c r="DI44" s="36"/>
      <c r="DJ44" s="19"/>
      <c r="DK44" s="274"/>
      <c r="DL44" s="231"/>
      <c r="DM44" s="37">
        <v>48013</v>
      </c>
      <c r="DN44" s="36"/>
      <c r="DO44" s="19"/>
      <c r="DP44" s="274"/>
      <c r="DQ44" s="231"/>
      <c r="DR44" s="37">
        <v>118756</v>
      </c>
      <c r="DS44" s="36"/>
      <c r="DT44" s="19"/>
      <c r="DU44" s="274"/>
      <c r="DV44" s="231"/>
      <c r="DW44" s="37">
        <v>182774</v>
      </c>
      <c r="DX44" s="36"/>
      <c r="DY44" s="19"/>
      <c r="DZ44" s="274"/>
      <c r="EA44" s="231"/>
      <c r="EB44" s="37">
        <v>198132</v>
      </c>
      <c r="EC44" s="36"/>
      <c r="ED44" s="19"/>
      <c r="EE44" s="274"/>
      <c r="EF44" s="231"/>
      <c r="EG44" s="37">
        <v>102770</v>
      </c>
      <c r="EH44" s="36"/>
      <c r="EI44" s="19"/>
      <c r="EJ44" s="274"/>
      <c r="EK44" s="231"/>
      <c r="EL44" s="37">
        <f>SUM(CD44:EG44)</f>
        <v>1517003</v>
      </c>
      <c r="EM44" s="36"/>
      <c r="EN44" s="19"/>
      <c r="EO44" s="244"/>
      <c r="ER44" s="451"/>
      <c r="ES44" s="451"/>
    </row>
    <row r="45" spans="4:149" ht="12.75" customHeight="1" x14ac:dyDescent="0.2">
      <c r="D45" s="244"/>
      <c r="E45" s="274"/>
      <c r="G45" s="19"/>
      <c r="H45" s="19"/>
      <c r="I45" s="19"/>
      <c r="J45" s="274"/>
      <c r="K45" s="19"/>
      <c r="L45" s="19"/>
      <c r="M45" s="19"/>
      <c r="N45" s="19"/>
      <c r="O45" s="274"/>
      <c r="P45" s="19"/>
      <c r="Q45" s="19"/>
      <c r="R45" s="19"/>
      <c r="S45" s="19"/>
      <c r="T45" s="274"/>
      <c r="U45" s="19"/>
      <c r="V45" s="19"/>
      <c r="W45" s="19"/>
      <c r="X45" s="19"/>
      <c r="Y45" s="274"/>
      <c r="Z45" s="19"/>
      <c r="AA45" s="19"/>
      <c r="AB45" s="19"/>
      <c r="AC45" s="19"/>
      <c r="AD45" s="274"/>
      <c r="AE45" s="19"/>
      <c r="AF45" s="19"/>
      <c r="AG45" s="19"/>
      <c r="AH45" s="19"/>
      <c r="AI45" s="274"/>
      <c r="AJ45" s="19"/>
      <c r="AK45" s="19"/>
      <c r="AL45" s="19"/>
      <c r="AM45" s="19"/>
      <c r="AN45" s="274"/>
      <c r="AO45" s="19"/>
      <c r="AP45" s="19"/>
      <c r="AQ45" s="19"/>
      <c r="AR45" s="19"/>
      <c r="AS45" s="274"/>
      <c r="AT45" s="19"/>
      <c r="AU45" s="19"/>
      <c r="AV45" s="19"/>
      <c r="AW45" s="19"/>
      <c r="AX45" s="274"/>
      <c r="AY45" s="19"/>
      <c r="AZ45" s="19"/>
      <c r="BA45" s="19"/>
      <c r="BB45" s="19"/>
      <c r="BC45" s="274"/>
      <c r="BD45" s="19"/>
      <c r="BE45" s="19"/>
      <c r="BF45" s="19"/>
      <c r="BG45" s="19"/>
      <c r="BH45" s="274"/>
      <c r="BI45" s="19"/>
      <c r="BJ45" s="19"/>
      <c r="BK45" s="19"/>
      <c r="BL45" s="19"/>
      <c r="BM45" s="274"/>
      <c r="BN45" s="19"/>
      <c r="BO45" s="19"/>
      <c r="BP45" s="19"/>
      <c r="BQ45" s="19"/>
      <c r="BR45" s="274"/>
      <c r="BS45" s="19"/>
      <c r="BT45" s="19"/>
      <c r="BU45" s="19"/>
      <c r="BV45" s="19"/>
      <c r="BW45" s="274"/>
      <c r="BX45" s="19"/>
      <c r="BY45" s="19"/>
      <c r="BZ45" s="19"/>
      <c r="CA45" s="19"/>
      <c r="CB45" s="274"/>
      <c r="CC45" s="19"/>
      <c r="CD45" s="19"/>
      <c r="CE45" s="19"/>
      <c r="CF45" s="19"/>
      <c r="CG45" s="274"/>
      <c r="CH45" s="19"/>
      <c r="CI45" s="19"/>
      <c r="CJ45" s="19"/>
      <c r="CK45" s="19"/>
      <c r="CL45" s="274"/>
      <c r="CM45" s="19"/>
      <c r="CN45" s="19"/>
      <c r="CO45" s="19"/>
      <c r="CP45" s="19"/>
      <c r="CQ45" s="274"/>
      <c r="CR45" s="19"/>
      <c r="CS45" s="19"/>
      <c r="CT45" s="19"/>
      <c r="CU45" s="19"/>
      <c r="CV45" s="274"/>
      <c r="CW45" s="19"/>
      <c r="CX45" s="19"/>
      <c r="CY45" s="19"/>
      <c r="CZ45" s="19"/>
      <c r="DA45" s="274"/>
      <c r="DB45" s="19"/>
      <c r="DC45" s="19"/>
      <c r="DD45" s="19"/>
      <c r="DE45" s="19"/>
      <c r="DF45" s="274"/>
      <c r="DG45" s="19"/>
      <c r="DH45" s="19"/>
      <c r="DI45" s="19"/>
      <c r="DJ45" s="19"/>
      <c r="DK45" s="274"/>
      <c r="DL45" s="19"/>
      <c r="DM45" s="19"/>
      <c r="DN45" s="19"/>
      <c r="DO45" s="19"/>
      <c r="DP45" s="274"/>
      <c r="DQ45" s="19"/>
      <c r="DR45" s="19"/>
      <c r="DS45" s="19"/>
      <c r="DT45" s="19"/>
      <c r="DU45" s="274"/>
      <c r="DV45" s="19"/>
      <c r="DW45" s="19"/>
      <c r="DX45" s="19"/>
      <c r="DY45" s="19"/>
      <c r="DZ45" s="274"/>
      <c r="EA45" s="19"/>
      <c r="EB45" s="19"/>
      <c r="EC45" s="19"/>
      <c r="ED45" s="19"/>
      <c r="EE45" s="274"/>
      <c r="EF45" s="19"/>
      <c r="EG45" s="19"/>
      <c r="EH45" s="19"/>
      <c r="EI45" s="19"/>
      <c r="EJ45" s="274"/>
      <c r="EK45" s="19"/>
      <c r="EL45" s="19"/>
      <c r="EM45" s="19"/>
      <c r="EN45" s="19"/>
      <c r="EO45" s="244"/>
      <c r="ER45" s="451"/>
      <c r="ES45" s="451"/>
    </row>
    <row r="46" spans="4:149" ht="12.75" customHeight="1" x14ac:dyDescent="0.2">
      <c r="D46" s="244" t="s">
        <v>352</v>
      </c>
      <c r="E46" s="274"/>
      <c r="G46" s="19">
        <f>SUM(G47:G50)</f>
        <v>0</v>
      </c>
      <c r="H46" s="19"/>
      <c r="I46" s="19"/>
      <c r="J46" s="274"/>
      <c r="K46" s="19"/>
      <c r="L46" s="19">
        <f>SUM(L47:L50)</f>
        <v>982689</v>
      </c>
      <c r="M46" s="19"/>
      <c r="N46" s="19"/>
      <c r="O46" s="274"/>
      <c r="P46" s="19"/>
      <c r="Q46" s="19">
        <f>SUM(Q47:Q50)</f>
        <v>1986453</v>
      </c>
      <c r="R46" s="19"/>
      <c r="S46" s="19"/>
      <c r="T46" s="274"/>
      <c r="U46" s="19"/>
      <c r="V46" s="19">
        <f>SUM(V47:V50)</f>
        <v>1403161</v>
      </c>
      <c r="W46" s="19"/>
      <c r="X46" s="19"/>
      <c r="Y46" s="274"/>
      <c r="Z46" s="19"/>
      <c r="AA46" s="19">
        <f>SUM(AA47:AA50)</f>
        <v>2745650</v>
      </c>
      <c r="AB46" s="19"/>
      <c r="AC46" s="19"/>
      <c r="AD46" s="274"/>
      <c r="AE46" s="19"/>
      <c r="AF46" s="19">
        <f>SUM(AF47:AF50)</f>
        <v>797349</v>
      </c>
      <c r="AG46" s="19"/>
      <c r="AH46" s="19"/>
      <c r="AI46" s="274"/>
      <c r="AJ46" s="19"/>
      <c r="AK46" s="19">
        <f>SUM(AK47:AK50)</f>
        <v>2383632</v>
      </c>
      <c r="AL46" s="19"/>
      <c r="AM46" s="19"/>
      <c r="AN46" s="274"/>
      <c r="AO46" s="19"/>
      <c r="AP46" s="19">
        <f>SUM(AP47:AP50)</f>
        <v>969298</v>
      </c>
      <c r="AQ46" s="19"/>
      <c r="AR46" s="19"/>
      <c r="AS46" s="274"/>
      <c r="AT46" s="19"/>
      <c r="AU46" s="19">
        <f>SUM(AU47:AU50)</f>
        <v>2188195</v>
      </c>
      <c r="AV46" s="19"/>
      <c r="AW46" s="19"/>
      <c r="AX46" s="274"/>
      <c r="AY46" s="19"/>
      <c r="AZ46" s="19">
        <f>SUM(AZ47:AZ50)</f>
        <v>999149</v>
      </c>
      <c r="BA46" s="19"/>
      <c r="BB46" s="19"/>
      <c r="BC46" s="274"/>
      <c r="BD46" s="19"/>
      <c r="BE46" s="19">
        <f>SUM(BE47:BE50)</f>
        <v>557392</v>
      </c>
      <c r="BF46" s="19"/>
      <c r="BG46" s="19"/>
      <c r="BH46" s="274"/>
      <c r="BI46" s="19"/>
      <c r="BJ46" s="19">
        <f>SUM(BJ47:BJ50)</f>
        <v>2366127</v>
      </c>
      <c r="BK46" s="19"/>
      <c r="BL46" s="19"/>
      <c r="BM46" s="274"/>
      <c r="BN46" s="19"/>
      <c r="BO46" s="19">
        <f>SUM(BO47:BO50)</f>
        <v>1531530</v>
      </c>
      <c r="BP46" s="19"/>
      <c r="BQ46" s="19"/>
      <c r="BR46" s="274"/>
      <c r="BS46" s="19"/>
      <c r="BT46" s="19">
        <f>SUM(BT47:BT50)</f>
        <v>18910625</v>
      </c>
      <c r="BU46" s="19"/>
      <c r="BV46" s="19"/>
      <c r="BW46" s="274"/>
      <c r="BX46" s="19"/>
      <c r="BY46" s="19">
        <f>SUM(BY47:BY50)</f>
        <v>12727813</v>
      </c>
      <c r="BZ46" s="19"/>
      <c r="CA46" s="19"/>
      <c r="CB46" s="274"/>
      <c r="CC46" s="19"/>
      <c r="CD46" s="19">
        <f>SUM(CD47:CD50)</f>
        <v>590959</v>
      </c>
      <c r="CE46" s="19"/>
      <c r="CF46" s="19"/>
      <c r="CG46" s="274"/>
      <c r="CH46" s="19"/>
      <c r="CI46" s="19">
        <f>SUM(CI47:CI50)</f>
        <v>2259424</v>
      </c>
      <c r="CJ46" s="19"/>
      <c r="CK46" s="19"/>
      <c r="CL46" s="274"/>
      <c r="CM46" s="19"/>
      <c r="CN46" s="19">
        <f>SUM(CN47:CN50)</f>
        <v>903148</v>
      </c>
      <c r="CO46" s="19"/>
      <c r="CP46" s="19"/>
      <c r="CQ46" s="274"/>
      <c r="CR46" s="19"/>
      <c r="CS46" s="19">
        <f>SUM(CS47:CS50)</f>
        <v>1699018</v>
      </c>
      <c r="CT46" s="19"/>
      <c r="CU46" s="19"/>
      <c r="CV46" s="274"/>
      <c r="CW46" s="19"/>
      <c r="CX46" s="19">
        <f>SUM(CX47:CX50)</f>
        <v>316434</v>
      </c>
      <c r="CY46" s="19"/>
      <c r="CZ46" s="19"/>
      <c r="DA46" s="274"/>
      <c r="DB46" s="19"/>
      <c r="DC46" s="19">
        <f>SUM(DC47:DC50)</f>
        <v>454219</v>
      </c>
      <c r="DD46" s="19"/>
      <c r="DE46" s="19"/>
      <c r="DF46" s="274"/>
      <c r="DG46" s="19"/>
      <c r="DH46" s="19">
        <f>SUM(DH47:DH50)</f>
        <v>1592963</v>
      </c>
      <c r="DI46" s="19"/>
      <c r="DJ46" s="19"/>
      <c r="DK46" s="274"/>
      <c r="DL46" s="19"/>
      <c r="DM46" s="19">
        <f>SUM(DM47:DM50)</f>
        <v>1736282</v>
      </c>
      <c r="DN46" s="19"/>
      <c r="DO46" s="19"/>
      <c r="DP46" s="274"/>
      <c r="DQ46" s="19"/>
      <c r="DR46" s="19">
        <f>SUM(DR47:DR50)</f>
        <v>1027139</v>
      </c>
      <c r="DS46" s="19"/>
      <c r="DT46" s="19"/>
      <c r="DU46" s="274"/>
      <c r="DV46" s="19"/>
      <c r="DW46" s="19">
        <f>SUM(DW47:DW50)</f>
        <v>591085</v>
      </c>
      <c r="DX46" s="19"/>
      <c r="DY46" s="19"/>
      <c r="DZ46" s="274"/>
      <c r="EA46" s="19"/>
      <c r="EB46" s="19">
        <f>SUM(EB47:EB50)</f>
        <v>350464</v>
      </c>
      <c r="EC46" s="19"/>
      <c r="ED46" s="19"/>
      <c r="EE46" s="274"/>
      <c r="EF46" s="19"/>
      <c r="EG46" s="19">
        <f>SUM(EG47:EG50)</f>
        <v>1206678</v>
      </c>
      <c r="EH46" s="19"/>
      <c r="EI46" s="19"/>
      <c r="EJ46" s="274"/>
      <c r="EK46" s="19"/>
      <c r="EL46" s="19">
        <f>SUM(EL47:EL50)</f>
        <v>12727813</v>
      </c>
      <c r="EM46" s="19"/>
      <c r="EN46" s="19"/>
      <c r="EO46" s="244"/>
      <c r="ER46" s="451"/>
      <c r="ES46" s="451"/>
    </row>
    <row r="47" spans="4:149" ht="12.75" customHeight="1" x14ac:dyDescent="0.2">
      <c r="D47" s="244" t="s">
        <v>344</v>
      </c>
      <c r="E47" s="274"/>
      <c r="F47" s="112"/>
      <c r="G47" s="374">
        <v>0</v>
      </c>
      <c r="H47" s="475"/>
      <c r="I47" s="19"/>
      <c r="J47" s="274"/>
      <c r="K47" s="173"/>
      <c r="L47" s="374">
        <f>670000-314206</f>
        <v>355794</v>
      </c>
      <c r="M47" s="475"/>
      <c r="N47" s="19"/>
      <c r="O47" s="274"/>
      <c r="P47" s="173"/>
      <c r="Q47" s="374">
        <f>1345000-656147</f>
        <v>688853</v>
      </c>
      <c r="R47" s="475"/>
      <c r="S47" s="19"/>
      <c r="T47" s="274"/>
      <c r="U47" s="173"/>
      <c r="V47" s="374">
        <f>945000-485085</f>
        <v>459915</v>
      </c>
      <c r="W47" s="475"/>
      <c r="X47" s="19"/>
      <c r="Y47" s="274"/>
      <c r="Z47" s="173"/>
      <c r="AA47" s="374">
        <f>1850000-1026711</f>
        <v>823289</v>
      </c>
      <c r="AB47" s="475"/>
      <c r="AC47" s="19"/>
      <c r="AD47" s="274"/>
      <c r="AE47" s="173"/>
      <c r="AF47" s="374">
        <f>540000-296291</f>
        <v>243709</v>
      </c>
      <c r="AG47" s="475"/>
      <c r="AH47" s="19"/>
      <c r="AI47" s="274"/>
      <c r="AJ47" s="173"/>
      <c r="AK47" s="374">
        <f>1615000-838888</f>
        <v>776112</v>
      </c>
      <c r="AL47" s="475"/>
      <c r="AM47" s="19"/>
      <c r="AN47" s="274"/>
      <c r="AO47" s="173"/>
      <c r="AP47" s="374">
        <f>650000-353640</f>
        <v>296360</v>
      </c>
      <c r="AQ47" s="475"/>
      <c r="AR47" s="19"/>
      <c r="AS47" s="274"/>
      <c r="AT47" s="173"/>
      <c r="AU47" s="374">
        <f>1460000-813214</f>
        <v>646786</v>
      </c>
      <c r="AV47" s="475"/>
      <c r="AW47" s="19"/>
      <c r="AX47" s="274"/>
      <c r="AY47" s="173"/>
      <c r="AZ47" s="374">
        <f>665000-318471</f>
        <v>346529</v>
      </c>
      <c r="BA47" s="475"/>
      <c r="BB47" s="19"/>
      <c r="BC47" s="274"/>
      <c r="BD47" s="173"/>
      <c r="BE47" s="374">
        <f>370000-180925</f>
        <v>189075</v>
      </c>
      <c r="BF47" s="475"/>
      <c r="BG47" s="19"/>
      <c r="BH47" s="274"/>
      <c r="BI47" s="173"/>
      <c r="BJ47" s="374">
        <f>1570000-720713</f>
        <v>849287</v>
      </c>
      <c r="BK47" s="475"/>
      <c r="BL47" s="19"/>
      <c r="BM47" s="274"/>
      <c r="BN47" s="173"/>
      <c r="BO47" s="374">
        <f>1015000-457008</f>
        <v>557992</v>
      </c>
      <c r="BP47" s="475"/>
      <c r="BQ47" s="19"/>
      <c r="BR47" s="274"/>
      <c r="BS47" s="173"/>
      <c r="BT47" s="374">
        <f>SUM(L47:BO47)</f>
        <v>6233701</v>
      </c>
      <c r="BU47" s="475"/>
      <c r="BV47" s="19"/>
      <c r="BW47" s="274"/>
      <c r="BX47" s="173"/>
      <c r="BY47" s="374">
        <v>6147056</v>
      </c>
      <c r="BZ47" s="475"/>
      <c r="CA47" s="19"/>
      <c r="CB47" s="274"/>
      <c r="CC47" s="173"/>
      <c r="CD47" s="374">
        <f>420000-105371</f>
        <v>314629</v>
      </c>
      <c r="CE47" s="475"/>
      <c r="CF47" s="19"/>
      <c r="CG47" s="274"/>
      <c r="CH47" s="173"/>
      <c r="CI47" s="374">
        <f>1600000-346544</f>
        <v>1253456</v>
      </c>
      <c r="CJ47" s="475"/>
      <c r="CK47" s="19"/>
      <c r="CL47" s="274"/>
      <c r="CM47" s="173"/>
      <c r="CN47" s="374">
        <f>635000-161746</f>
        <v>473254</v>
      </c>
      <c r="CO47" s="475"/>
      <c r="CP47" s="19"/>
      <c r="CQ47" s="274"/>
      <c r="CR47" s="173"/>
      <c r="CS47" s="374">
        <f>1185000-302090</f>
        <v>882910</v>
      </c>
      <c r="CT47" s="475"/>
      <c r="CU47" s="19"/>
      <c r="CV47" s="274"/>
      <c r="CW47" s="173"/>
      <c r="CX47" s="374">
        <f>220000-60528</f>
        <v>159472</v>
      </c>
      <c r="CY47" s="475"/>
      <c r="CZ47" s="19"/>
      <c r="DA47" s="274"/>
      <c r="DB47" s="173"/>
      <c r="DC47" s="374">
        <f>315000-92691</f>
        <v>222309</v>
      </c>
      <c r="DD47" s="475"/>
      <c r="DE47" s="19"/>
      <c r="DF47" s="274"/>
      <c r="DG47" s="173"/>
      <c r="DH47" s="374">
        <f>1100000-334504</f>
        <v>765496</v>
      </c>
      <c r="DI47" s="475"/>
      <c r="DJ47" s="19"/>
      <c r="DK47" s="274"/>
      <c r="DL47" s="173"/>
      <c r="DM47" s="374">
        <f>1195000-407902</f>
        <v>787098</v>
      </c>
      <c r="DN47" s="475"/>
      <c r="DO47" s="19"/>
      <c r="DP47" s="274"/>
      <c r="DQ47" s="173"/>
      <c r="DR47" s="374">
        <f>705000-264352</f>
        <v>440648</v>
      </c>
      <c r="DS47" s="475"/>
      <c r="DT47" s="19"/>
      <c r="DU47" s="274"/>
      <c r="DV47" s="173"/>
      <c r="DW47" s="374">
        <f>405000-150522</f>
        <v>254478</v>
      </c>
      <c r="DX47" s="475"/>
      <c r="DY47" s="19"/>
      <c r="DZ47" s="274"/>
      <c r="EA47" s="173"/>
      <c r="EB47" s="374">
        <f>240000-88649</f>
        <v>151351</v>
      </c>
      <c r="EC47" s="475"/>
      <c r="ED47" s="19"/>
      <c r="EE47" s="274"/>
      <c r="EF47" s="173"/>
      <c r="EG47" s="374">
        <f>825000-383045</f>
        <v>441955</v>
      </c>
      <c r="EH47" s="475"/>
      <c r="EI47" s="19"/>
      <c r="EJ47" s="274"/>
      <c r="EK47" s="173"/>
      <c r="EL47" s="374">
        <f>SUM(CD47:EG47)</f>
        <v>6147056</v>
      </c>
      <c r="EM47" s="475"/>
      <c r="EN47" s="19"/>
      <c r="EO47" s="244"/>
      <c r="ER47" s="451"/>
      <c r="ES47" s="451"/>
    </row>
    <row r="48" spans="4:149" ht="12.75" customHeight="1" x14ac:dyDescent="0.2">
      <c r="D48" s="244" t="s">
        <v>346</v>
      </c>
      <c r="E48" s="274"/>
      <c r="F48" s="82"/>
      <c r="G48" s="19">
        <v>0</v>
      </c>
      <c r="H48" s="18"/>
      <c r="I48" s="19"/>
      <c r="J48" s="274"/>
      <c r="K48" s="274"/>
      <c r="L48" s="19">
        <v>314206</v>
      </c>
      <c r="M48" s="18"/>
      <c r="N48" s="19"/>
      <c r="O48" s="274"/>
      <c r="P48" s="274"/>
      <c r="Q48" s="19">
        <v>656147</v>
      </c>
      <c r="R48" s="18"/>
      <c r="S48" s="19"/>
      <c r="T48" s="274"/>
      <c r="U48" s="274"/>
      <c r="V48" s="19">
        <v>485085</v>
      </c>
      <c r="W48" s="18"/>
      <c r="X48" s="19"/>
      <c r="Y48" s="274"/>
      <c r="Z48" s="274"/>
      <c r="AA48" s="19">
        <v>1026711</v>
      </c>
      <c r="AB48" s="18"/>
      <c r="AC48" s="19"/>
      <c r="AD48" s="274"/>
      <c r="AE48" s="274"/>
      <c r="AF48" s="19">
        <v>296291</v>
      </c>
      <c r="AG48" s="18"/>
      <c r="AH48" s="19"/>
      <c r="AI48" s="274"/>
      <c r="AJ48" s="274"/>
      <c r="AK48" s="19">
        <v>838888</v>
      </c>
      <c r="AL48" s="18"/>
      <c r="AM48" s="19"/>
      <c r="AN48" s="274"/>
      <c r="AO48" s="274"/>
      <c r="AP48" s="19">
        <v>353640</v>
      </c>
      <c r="AQ48" s="18"/>
      <c r="AR48" s="19"/>
      <c r="AS48" s="274"/>
      <c r="AT48" s="274"/>
      <c r="AU48" s="19">
        <v>813214</v>
      </c>
      <c r="AV48" s="18"/>
      <c r="AW48" s="19"/>
      <c r="AX48" s="274"/>
      <c r="AY48" s="274"/>
      <c r="AZ48" s="19">
        <v>318471</v>
      </c>
      <c r="BA48" s="18"/>
      <c r="BB48" s="19"/>
      <c r="BC48" s="274"/>
      <c r="BD48" s="274"/>
      <c r="BE48" s="19">
        <v>180925</v>
      </c>
      <c r="BF48" s="18"/>
      <c r="BG48" s="19"/>
      <c r="BH48" s="274"/>
      <c r="BI48" s="274"/>
      <c r="BJ48" s="19">
        <v>720713</v>
      </c>
      <c r="BK48" s="18"/>
      <c r="BL48" s="19"/>
      <c r="BM48" s="274"/>
      <c r="BN48" s="274"/>
      <c r="BO48" s="19">
        <v>457008</v>
      </c>
      <c r="BP48" s="18"/>
      <c r="BQ48" s="19"/>
      <c r="BR48" s="274"/>
      <c r="BS48" s="274"/>
      <c r="BT48" s="19">
        <f>SUM(L48:BO48)</f>
        <v>6461299</v>
      </c>
      <c r="BU48" s="18"/>
      <c r="BV48" s="19"/>
      <c r="BW48" s="274"/>
      <c r="BX48" s="274"/>
      <c r="BY48" s="19">
        <v>2697944</v>
      </c>
      <c r="BZ48" s="18"/>
      <c r="CA48" s="19"/>
      <c r="CB48" s="274"/>
      <c r="CC48" s="274"/>
      <c r="CD48" s="19">
        <v>105371</v>
      </c>
      <c r="CE48" s="18"/>
      <c r="CF48" s="19"/>
      <c r="CG48" s="274"/>
      <c r="CH48" s="274"/>
      <c r="CI48" s="19">
        <v>346544</v>
      </c>
      <c r="CJ48" s="18"/>
      <c r="CK48" s="19"/>
      <c r="CL48" s="274"/>
      <c r="CM48" s="274"/>
      <c r="CN48" s="19">
        <v>161746</v>
      </c>
      <c r="CO48" s="18"/>
      <c r="CP48" s="19"/>
      <c r="CQ48" s="274"/>
      <c r="CR48" s="274"/>
      <c r="CS48" s="19">
        <v>302090</v>
      </c>
      <c r="CT48" s="18"/>
      <c r="CU48" s="19"/>
      <c r="CV48" s="274"/>
      <c r="CW48" s="274"/>
      <c r="CX48" s="19">
        <v>60528</v>
      </c>
      <c r="CY48" s="18"/>
      <c r="CZ48" s="19"/>
      <c r="DA48" s="274"/>
      <c r="DB48" s="274"/>
      <c r="DC48" s="19">
        <v>92691</v>
      </c>
      <c r="DD48" s="18"/>
      <c r="DE48" s="19"/>
      <c r="DF48" s="274"/>
      <c r="DG48" s="274"/>
      <c r="DH48" s="19">
        <v>334504</v>
      </c>
      <c r="DI48" s="18"/>
      <c r="DJ48" s="19"/>
      <c r="DK48" s="274"/>
      <c r="DL48" s="274"/>
      <c r="DM48" s="19">
        <v>407902</v>
      </c>
      <c r="DN48" s="18"/>
      <c r="DO48" s="19"/>
      <c r="DP48" s="274"/>
      <c r="DQ48" s="274"/>
      <c r="DR48" s="19">
        <v>264352</v>
      </c>
      <c r="DS48" s="18"/>
      <c r="DT48" s="19"/>
      <c r="DU48" s="274"/>
      <c r="DV48" s="274"/>
      <c r="DW48" s="19">
        <v>150522</v>
      </c>
      <c r="DX48" s="18"/>
      <c r="DY48" s="19"/>
      <c r="DZ48" s="274"/>
      <c r="EA48" s="274"/>
      <c r="EB48" s="19">
        <v>88649</v>
      </c>
      <c r="EC48" s="18"/>
      <c r="ED48" s="19"/>
      <c r="EE48" s="274"/>
      <c r="EF48" s="274"/>
      <c r="EG48" s="19">
        <v>383045</v>
      </c>
      <c r="EH48" s="18"/>
      <c r="EI48" s="19"/>
      <c r="EJ48" s="274"/>
      <c r="EK48" s="274"/>
      <c r="EL48" s="19">
        <f>SUM(CD48:EG48)</f>
        <v>2697944</v>
      </c>
      <c r="EM48" s="18"/>
      <c r="EN48" s="19"/>
      <c r="EO48" s="244"/>
      <c r="ER48" s="451"/>
      <c r="ES48" s="451"/>
    </row>
    <row r="49" spans="4:149" ht="12.75" customHeight="1" x14ac:dyDescent="0.2">
      <c r="D49" s="244" t="s">
        <v>347</v>
      </c>
      <c r="E49" s="274"/>
      <c r="F49" s="82"/>
      <c r="G49" s="19">
        <v>0</v>
      </c>
      <c r="H49" s="18"/>
      <c r="I49" s="19"/>
      <c r="J49" s="274"/>
      <c r="K49" s="274"/>
      <c r="L49" s="19">
        <v>0</v>
      </c>
      <c r="M49" s="18"/>
      <c r="N49" s="19"/>
      <c r="O49" s="274"/>
      <c r="P49" s="274"/>
      <c r="Q49" s="19">
        <v>0</v>
      </c>
      <c r="R49" s="18"/>
      <c r="S49" s="19"/>
      <c r="T49" s="274"/>
      <c r="U49" s="274"/>
      <c r="V49" s="19">
        <v>0</v>
      </c>
      <c r="W49" s="18"/>
      <c r="X49" s="19"/>
      <c r="Y49" s="274"/>
      <c r="Z49" s="274"/>
      <c r="AA49" s="19">
        <v>0</v>
      </c>
      <c r="AB49" s="18"/>
      <c r="AC49" s="19"/>
      <c r="AD49" s="274"/>
      <c r="AE49" s="274"/>
      <c r="AF49" s="19">
        <v>0</v>
      </c>
      <c r="AG49" s="18"/>
      <c r="AH49" s="19"/>
      <c r="AI49" s="274"/>
      <c r="AJ49" s="274"/>
      <c r="AK49" s="19">
        <v>0</v>
      </c>
      <c r="AL49" s="18"/>
      <c r="AM49" s="19"/>
      <c r="AN49" s="274"/>
      <c r="AO49" s="274"/>
      <c r="AP49" s="19">
        <v>0</v>
      </c>
      <c r="AQ49" s="18"/>
      <c r="AR49" s="19"/>
      <c r="AS49" s="274"/>
      <c r="AT49" s="274"/>
      <c r="AU49" s="19">
        <v>0</v>
      </c>
      <c r="AV49" s="18"/>
      <c r="AW49" s="19"/>
      <c r="AX49" s="274"/>
      <c r="AY49" s="274"/>
      <c r="AZ49" s="19">
        <v>0</v>
      </c>
      <c r="BA49" s="18"/>
      <c r="BB49" s="19"/>
      <c r="BC49" s="274"/>
      <c r="BD49" s="274"/>
      <c r="BE49" s="19">
        <v>0</v>
      </c>
      <c r="BF49" s="18"/>
      <c r="BG49" s="19"/>
      <c r="BH49" s="274"/>
      <c r="BI49" s="274"/>
      <c r="BJ49" s="19">
        <v>0</v>
      </c>
      <c r="BK49" s="18"/>
      <c r="BL49" s="19"/>
      <c r="BM49" s="274"/>
      <c r="BN49" s="274"/>
      <c r="BO49" s="19">
        <v>0</v>
      </c>
      <c r="BP49" s="18"/>
      <c r="BQ49" s="19"/>
      <c r="BR49" s="274"/>
      <c r="BS49" s="274"/>
      <c r="BT49" s="19">
        <f>SUM(L49:BO49)</f>
        <v>0</v>
      </c>
      <c r="BU49" s="18"/>
      <c r="BV49" s="19"/>
      <c r="BW49" s="274"/>
      <c r="BX49" s="274"/>
      <c r="BY49" s="19">
        <v>0</v>
      </c>
      <c r="BZ49" s="18"/>
      <c r="CA49" s="19"/>
      <c r="CB49" s="274"/>
      <c r="CC49" s="274"/>
      <c r="CD49" s="19">
        <v>0</v>
      </c>
      <c r="CE49" s="18"/>
      <c r="CF49" s="19"/>
      <c r="CG49" s="274"/>
      <c r="CH49" s="274"/>
      <c r="CI49" s="19">
        <v>0</v>
      </c>
      <c r="CJ49" s="18"/>
      <c r="CK49" s="19"/>
      <c r="CL49" s="274"/>
      <c r="CM49" s="274"/>
      <c r="CN49" s="19">
        <v>0</v>
      </c>
      <c r="CO49" s="18"/>
      <c r="CP49" s="19"/>
      <c r="CQ49" s="274"/>
      <c r="CR49" s="274"/>
      <c r="CS49" s="19">
        <v>0</v>
      </c>
      <c r="CT49" s="18"/>
      <c r="CU49" s="19"/>
      <c r="CV49" s="274"/>
      <c r="CW49" s="274"/>
      <c r="CX49" s="19">
        <v>0</v>
      </c>
      <c r="CY49" s="18"/>
      <c r="CZ49" s="19"/>
      <c r="DA49" s="274"/>
      <c r="DB49" s="274"/>
      <c r="DC49" s="19">
        <v>0</v>
      </c>
      <c r="DD49" s="18"/>
      <c r="DE49" s="19"/>
      <c r="DF49" s="274"/>
      <c r="DG49" s="274"/>
      <c r="DH49" s="19">
        <v>0</v>
      </c>
      <c r="DI49" s="18"/>
      <c r="DJ49" s="19"/>
      <c r="DK49" s="274"/>
      <c r="DL49" s="274"/>
      <c r="DM49" s="19">
        <v>0</v>
      </c>
      <c r="DN49" s="18"/>
      <c r="DO49" s="19"/>
      <c r="DP49" s="274"/>
      <c r="DQ49" s="274"/>
      <c r="DR49" s="19">
        <v>0</v>
      </c>
      <c r="DS49" s="18"/>
      <c r="DT49" s="19"/>
      <c r="DU49" s="274"/>
      <c r="DV49" s="274"/>
      <c r="DW49" s="19">
        <v>0</v>
      </c>
      <c r="DX49" s="18"/>
      <c r="DY49" s="19"/>
      <c r="DZ49" s="274"/>
      <c r="EA49" s="274"/>
      <c r="EB49" s="19">
        <v>0</v>
      </c>
      <c r="EC49" s="18"/>
      <c r="ED49" s="19"/>
      <c r="EE49" s="274"/>
      <c r="EF49" s="274"/>
      <c r="EG49" s="19">
        <v>0</v>
      </c>
      <c r="EH49" s="18"/>
      <c r="EI49" s="19"/>
      <c r="EJ49" s="274"/>
      <c r="EK49" s="274"/>
      <c r="EL49" s="19">
        <f>SUM(CD49:EG49)</f>
        <v>0</v>
      </c>
      <c r="EM49" s="18"/>
      <c r="EN49" s="19"/>
      <c r="EO49" s="244"/>
      <c r="ER49" s="451"/>
      <c r="ES49" s="451"/>
    </row>
    <row r="50" spans="4:149" ht="12.75" customHeight="1" x14ac:dyDescent="0.2">
      <c r="D50" s="244" t="s">
        <v>348</v>
      </c>
      <c r="E50" s="274"/>
      <c r="F50" s="276"/>
      <c r="G50" s="37">
        <v>0</v>
      </c>
      <c r="H50" s="36"/>
      <c r="I50" s="19"/>
      <c r="J50" s="274"/>
      <c r="K50" s="231"/>
      <c r="L50" s="37">
        <v>312689</v>
      </c>
      <c r="M50" s="36"/>
      <c r="N50" s="19"/>
      <c r="O50" s="274"/>
      <c r="P50" s="231"/>
      <c r="Q50" s="37">
        <v>641453</v>
      </c>
      <c r="R50" s="36"/>
      <c r="S50" s="19"/>
      <c r="T50" s="274"/>
      <c r="U50" s="231"/>
      <c r="V50" s="37">
        <v>458161</v>
      </c>
      <c r="W50" s="36"/>
      <c r="X50" s="19"/>
      <c r="Y50" s="274"/>
      <c r="Z50" s="231"/>
      <c r="AA50" s="37">
        <v>895650</v>
      </c>
      <c r="AB50" s="36"/>
      <c r="AC50" s="19"/>
      <c r="AD50" s="274"/>
      <c r="AE50" s="231"/>
      <c r="AF50" s="37">
        <v>257349</v>
      </c>
      <c r="AG50" s="36"/>
      <c r="AH50" s="19"/>
      <c r="AI50" s="274"/>
      <c r="AJ50" s="231"/>
      <c r="AK50" s="37">
        <v>768632</v>
      </c>
      <c r="AL50" s="36"/>
      <c r="AM50" s="19"/>
      <c r="AN50" s="274"/>
      <c r="AO50" s="231"/>
      <c r="AP50" s="37">
        <v>319298</v>
      </c>
      <c r="AQ50" s="36"/>
      <c r="AR50" s="19"/>
      <c r="AS50" s="274"/>
      <c r="AT50" s="231"/>
      <c r="AU50" s="37">
        <v>728195</v>
      </c>
      <c r="AV50" s="36"/>
      <c r="AW50" s="19"/>
      <c r="AX50" s="274"/>
      <c r="AY50" s="231"/>
      <c r="AZ50" s="37">
        <v>334149</v>
      </c>
      <c r="BA50" s="36"/>
      <c r="BB50" s="19"/>
      <c r="BC50" s="274"/>
      <c r="BD50" s="231"/>
      <c r="BE50" s="37">
        <v>187392</v>
      </c>
      <c r="BF50" s="36"/>
      <c r="BG50" s="19"/>
      <c r="BH50" s="274"/>
      <c r="BI50" s="231"/>
      <c r="BJ50" s="37">
        <v>796127</v>
      </c>
      <c r="BK50" s="36"/>
      <c r="BL50" s="19"/>
      <c r="BM50" s="274"/>
      <c r="BN50" s="231"/>
      <c r="BO50" s="37">
        <v>516530</v>
      </c>
      <c r="BP50" s="36"/>
      <c r="BQ50" s="19"/>
      <c r="BR50" s="274"/>
      <c r="BS50" s="231"/>
      <c r="BT50" s="37">
        <f>SUM(L50:BO50)</f>
        <v>6215625</v>
      </c>
      <c r="BU50" s="36"/>
      <c r="BV50" s="19"/>
      <c r="BW50" s="274"/>
      <c r="BX50" s="231"/>
      <c r="BY50" s="37">
        <v>3882813</v>
      </c>
      <c r="BZ50" s="36"/>
      <c r="CA50" s="19"/>
      <c r="CB50" s="274"/>
      <c r="CC50" s="231"/>
      <c r="CD50" s="37">
        <v>170959</v>
      </c>
      <c r="CE50" s="36"/>
      <c r="CF50" s="19"/>
      <c r="CG50" s="274"/>
      <c r="CH50" s="231"/>
      <c r="CI50" s="37">
        <v>659424</v>
      </c>
      <c r="CJ50" s="36"/>
      <c r="CK50" s="19"/>
      <c r="CL50" s="274"/>
      <c r="CM50" s="231"/>
      <c r="CN50" s="37">
        <v>268148</v>
      </c>
      <c r="CO50" s="36"/>
      <c r="CP50" s="19"/>
      <c r="CQ50" s="274"/>
      <c r="CR50" s="231"/>
      <c r="CS50" s="37">
        <v>514018</v>
      </c>
      <c r="CT50" s="36"/>
      <c r="CU50" s="19"/>
      <c r="CV50" s="274"/>
      <c r="CW50" s="231"/>
      <c r="CX50" s="37">
        <v>96434</v>
      </c>
      <c r="CY50" s="36"/>
      <c r="CZ50" s="19"/>
      <c r="DA50" s="274"/>
      <c r="DB50" s="231"/>
      <c r="DC50" s="37">
        <v>139219</v>
      </c>
      <c r="DD50" s="36"/>
      <c r="DE50" s="19"/>
      <c r="DF50" s="274"/>
      <c r="DG50" s="231"/>
      <c r="DH50" s="37">
        <v>492963</v>
      </c>
      <c r="DI50" s="36"/>
      <c r="DJ50" s="19"/>
      <c r="DK50" s="274"/>
      <c r="DL50" s="231"/>
      <c r="DM50" s="37">
        <v>541282</v>
      </c>
      <c r="DN50" s="36"/>
      <c r="DO50" s="19"/>
      <c r="DP50" s="274"/>
      <c r="DQ50" s="231"/>
      <c r="DR50" s="37">
        <v>322139</v>
      </c>
      <c r="DS50" s="36"/>
      <c r="DT50" s="19"/>
      <c r="DU50" s="274"/>
      <c r="DV50" s="231"/>
      <c r="DW50" s="37">
        <v>186085</v>
      </c>
      <c r="DX50" s="36"/>
      <c r="DY50" s="19"/>
      <c r="DZ50" s="274"/>
      <c r="EA50" s="231"/>
      <c r="EB50" s="37">
        <v>110464</v>
      </c>
      <c r="EC50" s="36"/>
      <c r="ED50" s="19"/>
      <c r="EE50" s="274"/>
      <c r="EF50" s="231"/>
      <c r="EG50" s="37">
        <v>381678</v>
      </c>
      <c r="EH50" s="36"/>
      <c r="EI50" s="19"/>
      <c r="EJ50" s="274"/>
      <c r="EK50" s="231"/>
      <c r="EL50" s="37">
        <f>SUM(CD50:EG50)</f>
        <v>3882813</v>
      </c>
      <c r="EM50" s="36"/>
      <c r="EN50" s="19"/>
      <c r="EO50" s="244"/>
      <c r="ER50" s="451"/>
      <c r="ES50" s="451"/>
    </row>
    <row r="51" spans="4:149" x14ac:dyDescent="0.2">
      <c r="D51" s="244"/>
      <c r="E51" s="274"/>
      <c r="G51" s="19"/>
      <c r="H51" s="19"/>
      <c r="I51" s="19"/>
      <c r="J51" s="274"/>
      <c r="K51" s="19"/>
      <c r="L51" s="19"/>
      <c r="M51" s="19"/>
      <c r="N51" s="19"/>
      <c r="O51" s="274"/>
      <c r="P51" s="19"/>
      <c r="Q51" s="19"/>
      <c r="R51" s="19"/>
      <c r="S51" s="19"/>
      <c r="T51" s="274"/>
      <c r="U51" s="19"/>
      <c r="V51" s="19"/>
      <c r="W51" s="19"/>
      <c r="X51" s="19"/>
      <c r="Y51" s="274"/>
      <c r="Z51" s="19"/>
      <c r="AA51" s="19"/>
      <c r="AB51" s="19"/>
      <c r="AC51" s="19"/>
      <c r="AD51" s="274"/>
      <c r="AE51" s="19"/>
      <c r="AF51" s="19"/>
      <c r="AG51" s="19"/>
      <c r="AH51" s="19"/>
      <c r="AI51" s="274"/>
      <c r="AJ51" s="19"/>
      <c r="AK51" s="19"/>
      <c r="AL51" s="19"/>
      <c r="AM51" s="19"/>
      <c r="AN51" s="274"/>
      <c r="AO51" s="19"/>
      <c r="AP51" s="19"/>
      <c r="AQ51" s="19"/>
      <c r="AR51" s="19"/>
      <c r="AS51" s="274"/>
      <c r="AT51" s="19"/>
      <c r="AU51" s="19"/>
      <c r="AV51" s="19"/>
      <c r="AW51" s="19"/>
      <c r="AX51" s="274"/>
      <c r="AY51" s="19"/>
      <c r="AZ51" s="19"/>
      <c r="BA51" s="19"/>
      <c r="BB51" s="19"/>
      <c r="BC51" s="274"/>
      <c r="BD51" s="19"/>
      <c r="BE51" s="19"/>
      <c r="BF51" s="19"/>
      <c r="BG51" s="19"/>
      <c r="BH51" s="274"/>
      <c r="BI51" s="19"/>
      <c r="BJ51" s="19"/>
      <c r="BK51" s="19"/>
      <c r="BL51" s="19"/>
      <c r="BM51" s="274"/>
      <c r="BN51" s="19"/>
      <c r="BO51" s="19"/>
      <c r="BP51" s="19"/>
      <c r="BQ51" s="19"/>
      <c r="BR51" s="274"/>
      <c r="BS51" s="19"/>
      <c r="BT51" s="19"/>
      <c r="BU51" s="19"/>
      <c r="BV51" s="19"/>
      <c r="BW51" s="274"/>
      <c r="BX51" s="19"/>
      <c r="BY51" s="19"/>
      <c r="BZ51" s="19"/>
      <c r="CA51" s="19"/>
      <c r="CB51" s="274"/>
      <c r="CC51" s="19"/>
      <c r="CD51" s="19"/>
      <c r="CE51" s="19"/>
      <c r="CF51" s="19"/>
      <c r="CG51" s="274"/>
      <c r="CH51" s="19"/>
      <c r="CI51" s="19"/>
      <c r="CJ51" s="19"/>
      <c r="CK51" s="19"/>
      <c r="CL51" s="274"/>
      <c r="CM51" s="19"/>
      <c r="CN51" s="19"/>
      <c r="CO51" s="19"/>
      <c r="CP51" s="19"/>
      <c r="CQ51" s="274"/>
      <c r="CR51" s="19"/>
      <c r="CS51" s="19"/>
      <c r="CT51" s="19"/>
      <c r="CU51" s="19"/>
      <c r="CV51" s="274"/>
      <c r="CW51" s="19"/>
      <c r="CX51" s="19"/>
      <c r="CY51" s="19"/>
      <c r="CZ51" s="19"/>
      <c r="DA51" s="274"/>
      <c r="DB51" s="19"/>
      <c r="DC51" s="19"/>
      <c r="DD51" s="19"/>
      <c r="DE51" s="19"/>
      <c r="DF51" s="274"/>
      <c r="DG51" s="19"/>
      <c r="DH51" s="19"/>
      <c r="DI51" s="19"/>
      <c r="DJ51" s="19"/>
      <c r="DK51" s="274"/>
      <c r="DL51" s="19"/>
      <c r="DM51" s="19"/>
      <c r="DN51" s="19"/>
      <c r="DO51" s="19"/>
      <c r="DP51" s="274"/>
      <c r="DQ51" s="19"/>
      <c r="DR51" s="19"/>
      <c r="DS51" s="19"/>
      <c r="DT51" s="19"/>
      <c r="DU51" s="274"/>
      <c r="DV51" s="19"/>
      <c r="DW51" s="19"/>
      <c r="DX51" s="19"/>
      <c r="DY51" s="19"/>
      <c r="DZ51" s="274"/>
      <c r="EA51" s="19"/>
      <c r="EB51" s="19"/>
      <c r="EC51" s="19"/>
      <c r="ED51" s="19"/>
      <c r="EE51" s="274"/>
      <c r="EF51" s="19"/>
      <c r="EG51" s="19"/>
      <c r="EH51" s="19"/>
      <c r="EI51" s="19"/>
      <c r="EJ51" s="274"/>
      <c r="EK51" s="19"/>
      <c r="EL51" s="19"/>
      <c r="EM51" s="19"/>
      <c r="EN51" s="19"/>
      <c r="EO51" s="244"/>
      <c r="ER51" s="451"/>
      <c r="ES51" s="451"/>
    </row>
    <row r="52" spans="4:149" ht="12.75" customHeight="1" x14ac:dyDescent="0.2">
      <c r="D52" s="244" t="s">
        <v>353</v>
      </c>
      <c r="E52" s="274"/>
      <c r="G52" s="19">
        <f>SUM(G53:G55)</f>
        <v>0</v>
      </c>
      <c r="H52" s="19"/>
      <c r="I52" s="19"/>
      <c r="J52" s="274"/>
      <c r="K52" s="19"/>
      <c r="L52" s="19">
        <f>SUM(L53:L55)</f>
        <v>1510000</v>
      </c>
      <c r="M52" s="19"/>
      <c r="N52" s="19"/>
      <c r="O52" s="274"/>
      <c r="P52" s="19"/>
      <c r="Q52" s="19">
        <f>SUM(Q53:Q55)</f>
        <v>7508000</v>
      </c>
      <c r="R52" s="19"/>
      <c r="S52" s="19"/>
      <c r="T52" s="274"/>
      <c r="U52" s="19"/>
      <c r="V52" s="19">
        <f>SUM(V53:V55)</f>
        <v>8200000</v>
      </c>
      <c r="W52" s="19"/>
      <c r="X52" s="19"/>
      <c r="Y52" s="274"/>
      <c r="Z52" s="19"/>
      <c r="AA52" s="19">
        <f>SUM(AA53:AA55)</f>
        <v>3508000</v>
      </c>
      <c r="AB52" s="19"/>
      <c r="AC52" s="19"/>
      <c r="AD52" s="274"/>
      <c r="AE52" s="19"/>
      <c r="AF52" s="19">
        <f>SUM(AF53:AF55)</f>
        <v>0</v>
      </c>
      <c r="AG52" s="19"/>
      <c r="AH52" s="19"/>
      <c r="AI52" s="274"/>
      <c r="AJ52" s="19"/>
      <c r="AK52" s="19">
        <f>SUM(AK53:AK55)</f>
        <v>6391000</v>
      </c>
      <c r="AL52" s="19"/>
      <c r="AM52" s="19"/>
      <c r="AN52" s="274"/>
      <c r="AO52" s="19"/>
      <c r="AP52" s="19">
        <f>SUM(AP53:AP55)</f>
        <v>0</v>
      </c>
      <c r="AQ52" s="19"/>
      <c r="AR52" s="19"/>
      <c r="AS52" s="274"/>
      <c r="AT52" s="19"/>
      <c r="AU52" s="19">
        <f>SUM(AU53:AU55)</f>
        <v>6646000</v>
      </c>
      <c r="AV52" s="19"/>
      <c r="AW52" s="19"/>
      <c r="AX52" s="274"/>
      <c r="AY52" s="19"/>
      <c r="AZ52" s="19">
        <f>SUM(AZ53:AZ55)</f>
        <v>2151000</v>
      </c>
      <c r="BA52" s="19"/>
      <c r="BB52" s="19"/>
      <c r="BC52" s="274"/>
      <c r="BD52" s="19"/>
      <c r="BE52" s="19">
        <f>SUM(BE53:BE55)</f>
        <v>4397000</v>
      </c>
      <c r="BF52" s="19"/>
      <c r="BG52" s="19"/>
      <c r="BH52" s="274"/>
      <c r="BI52" s="19"/>
      <c r="BJ52" s="19">
        <f>SUM(BJ53:BJ55)</f>
        <v>2203493</v>
      </c>
      <c r="BK52" s="19"/>
      <c r="BL52" s="19"/>
      <c r="BM52" s="274"/>
      <c r="BN52" s="19"/>
      <c r="BO52" s="19">
        <f>SUM(BO53:BO55)</f>
        <v>5501000</v>
      </c>
      <c r="BP52" s="19"/>
      <c r="BQ52" s="19"/>
      <c r="BR52" s="274"/>
      <c r="BS52" s="19"/>
      <c r="BT52" s="19">
        <f>SUM(BT53:BT55)</f>
        <v>48015493</v>
      </c>
      <c r="BU52" s="19"/>
      <c r="BV52" s="19"/>
      <c r="BW52" s="274"/>
      <c r="BX52" s="19"/>
      <c r="BY52" s="19">
        <f>SUM(BY53:BY55)</f>
        <v>43345055</v>
      </c>
      <c r="BZ52" s="19"/>
      <c r="CA52" s="19"/>
      <c r="CB52" s="274"/>
      <c r="CC52" s="19"/>
      <c r="CD52" s="19">
        <f>SUM(CD53:CD55)</f>
        <v>3301000</v>
      </c>
      <c r="CE52" s="19"/>
      <c r="CF52" s="19"/>
      <c r="CG52" s="274"/>
      <c r="CH52" s="19"/>
      <c r="CI52" s="19">
        <f>SUM(CI53:CI55)</f>
        <v>2750055</v>
      </c>
      <c r="CJ52" s="19"/>
      <c r="CK52" s="19"/>
      <c r="CL52" s="274"/>
      <c r="CM52" s="19"/>
      <c r="CN52" s="19">
        <f>SUM(CN53:CN55)</f>
        <v>4397000</v>
      </c>
      <c r="CO52" s="19"/>
      <c r="CP52" s="19"/>
      <c r="CQ52" s="274"/>
      <c r="CR52" s="19"/>
      <c r="CS52" s="19">
        <f>SUM(CS53:CS55)</f>
        <v>3302000</v>
      </c>
      <c r="CT52" s="19"/>
      <c r="CU52" s="19"/>
      <c r="CV52" s="274"/>
      <c r="CW52" s="19"/>
      <c r="CX52" s="19">
        <f>SUM(CX53:CX55)</f>
        <v>4787000</v>
      </c>
      <c r="CY52" s="19"/>
      <c r="CZ52" s="19"/>
      <c r="DA52" s="274"/>
      <c r="DB52" s="19"/>
      <c r="DC52" s="19">
        <f>SUM(DC53:DC55)</f>
        <v>5287000</v>
      </c>
      <c r="DD52" s="19"/>
      <c r="DE52" s="19"/>
      <c r="DF52" s="274"/>
      <c r="DG52" s="19"/>
      <c r="DH52" s="19">
        <f>SUM(DH53:DH55)</f>
        <v>6794000</v>
      </c>
      <c r="DI52" s="19"/>
      <c r="DJ52" s="19"/>
      <c r="DK52" s="274"/>
      <c r="DL52" s="19"/>
      <c r="DM52" s="19">
        <f>SUM(DM53:DM55)</f>
        <v>2265000</v>
      </c>
      <c r="DN52" s="19"/>
      <c r="DO52" s="19"/>
      <c r="DP52" s="274"/>
      <c r="DQ52" s="19"/>
      <c r="DR52" s="19">
        <f>SUM(DR53:DR55)</f>
        <v>4529000</v>
      </c>
      <c r="DS52" s="19"/>
      <c r="DT52" s="19"/>
      <c r="DU52" s="274"/>
      <c r="DV52" s="19"/>
      <c r="DW52" s="19">
        <f>SUM(DW53:DW55)</f>
        <v>1534000</v>
      </c>
      <c r="DX52" s="19"/>
      <c r="DY52" s="19"/>
      <c r="DZ52" s="274"/>
      <c r="EA52" s="19"/>
      <c r="EB52" s="19">
        <f>SUM(EB53:EB55)</f>
        <v>4399000</v>
      </c>
      <c r="EC52" s="19"/>
      <c r="ED52" s="19"/>
      <c r="EE52" s="274"/>
      <c r="EF52" s="19"/>
      <c r="EG52" s="19">
        <f>SUM(EG53:EG55)</f>
        <v>0</v>
      </c>
      <c r="EH52" s="19"/>
      <c r="EI52" s="19"/>
      <c r="EJ52" s="274"/>
      <c r="EK52" s="19"/>
      <c r="EL52" s="19">
        <f>SUM(EL53:EL55)</f>
        <v>43345055</v>
      </c>
      <c r="EM52" s="19"/>
      <c r="EN52" s="19"/>
      <c r="EO52" s="244"/>
      <c r="ER52" s="451"/>
      <c r="ES52" s="451"/>
    </row>
    <row r="53" spans="4:149" ht="12.75" customHeight="1" x14ac:dyDescent="0.2">
      <c r="D53" s="244" t="s">
        <v>344</v>
      </c>
      <c r="E53" s="274"/>
      <c r="F53" s="112"/>
      <c r="G53" s="374">
        <v>0</v>
      </c>
      <c r="H53" s="475"/>
      <c r="I53" s="19"/>
      <c r="J53" s="274"/>
      <c r="K53" s="173"/>
      <c r="L53" s="374">
        <f>1510000-253860</f>
        <v>1256140</v>
      </c>
      <c r="M53" s="475"/>
      <c r="N53" s="19"/>
      <c r="O53" s="274"/>
      <c r="P53" s="173"/>
      <c r="Q53" s="374">
        <f>7508000-917243</f>
        <v>6590757</v>
      </c>
      <c r="R53" s="475"/>
      <c r="S53" s="19"/>
      <c r="T53" s="274"/>
      <c r="U53" s="173"/>
      <c r="V53" s="374">
        <f>8200000-1034972</f>
        <v>7165028</v>
      </c>
      <c r="W53" s="475"/>
      <c r="X53" s="19"/>
      <c r="Y53" s="274"/>
      <c r="Z53" s="173"/>
      <c r="AA53" s="374">
        <f>3508000-491482</f>
        <v>3016518</v>
      </c>
      <c r="AB53" s="475"/>
      <c r="AC53" s="19"/>
      <c r="AD53" s="274"/>
      <c r="AE53" s="173"/>
      <c r="AF53" s="374">
        <v>0</v>
      </c>
      <c r="AG53" s="475"/>
      <c r="AH53" s="19"/>
      <c r="AI53" s="274"/>
      <c r="AJ53" s="173"/>
      <c r="AK53" s="374">
        <f>6391000-983778</f>
        <v>5407222</v>
      </c>
      <c r="AL53" s="475"/>
      <c r="AM53" s="19"/>
      <c r="AN53" s="274"/>
      <c r="AO53" s="173"/>
      <c r="AP53" s="374">
        <v>0</v>
      </c>
      <c r="AQ53" s="475"/>
      <c r="AR53" s="19"/>
      <c r="AS53" s="274"/>
      <c r="AT53" s="173"/>
      <c r="AU53" s="374">
        <f>6646000-988220</f>
        <v>5657780</v>
      </c>
      <c r="AV53" s="475"/>
      <c r="AW53" s="19"/>
      <c r="AX53" s="274"/>
      <c r="AY53" s="173"/>
      <c r="AZ53" s="374">
        <f>2151000-262780</f>
        <v>1888220</v>
      </c>
      <c r="BA53" s="475"/>
      <c r="BB53" s="19"/>
      <c r="BC53" s="274"/>
      <c r="BD53" s="173"/>
      <c r="BE53" s="374">
        <f>4397000-540028</f>
        <v>3856972</v>
      </c>
      <c r="BF53" s="475"/>
      <c r="BG53" s="19"/>
      <c r="BH53" s="274"/>
      <c r="BI53" s="173"/>
      <c r="BJ53" s="374">
        <f>2203493-200914</f>
        <v>2002579</v>
      </c>
      <c r="BK53" s="475"/>
      <c r="BL53" s="19"/>
      <c r="BM53" s="274"/>
      <c r="BN53" s="173"/>
      <c r="BO53" s="374">
        <f>5501000-761983</f>
        <v>4739017</v>
      </c>
      <c r="BP53" s="475"/>
      <c r="BQ53" s="19"/>
      <c r="BR53" s="274"/>
      <c r="BS53" s="173"/>
      <c r="BT53" s="374">
        <f>SUM(L53:BO53)</f>
        <v>41580233</v>
      </c>
      <c r="BU53" s="475"/>
      <c r="BV53" s="19"/>
      <c r="BW53" s="274"/>
      <c r="BX53" s="173"/>
      <c r="BY53" s="374">
        <v>40775369</v>
      </c>
      <c r="BZ53" s="475"/>
      <c r="CA53" s="19"/>
      <c r="CB53" s="274"/>
      <c r="CC53" s="173"/>
      <c r="CD53" s="374">
        <f>3301000-163830</f>
        <v>3137170</v>
      </c>
      <c r="CE53" s="475"/>
      <c r="CF53" s="19"/>
      <c r="CG53" s="274"/>
      <c r="CH53" s="173"/>
      <c r="CI53" s="374">
        <f>2750055-165548</f>
        <v>2584507</v>
      </c>
      <c r="CJ53" s="475"/>
      <c r="CK53" s="19"/>
      <c r="CL53" s="274"/>
      <c r="CM53" s="173"/>
      <c r="CN53" s="374">
        <f>4397000-272440</f>
        <v>4124560</v>
      </c>
      <c r="CO53" s="475"/>
      <c r="CP53" s="19"/>
      <c r="CQ53" s="274"/>
      <c r="CR53" s="173"/>
      <c r="CS53" s="374">
        <f>3302000-133787</f>
        <v>3168213</v>
      </c>
      <c r="CT53" s="475"/>
      <c r="CU53" s="19"/>
      <c r="CV53" s="274"/>
      <c r="CW53" s="173"/>
      <c r="CX53" s="374">
        <f>4787000-293432</f>
        <v>4493568</v>
      </c>
      <c r="CY53" s="475"/>
      <c r="CZ53" s="19"/>
      <c r="DA53" s="274"/>
      <c r="DB53" s="173"/>
      <c r="DC53" s="374">
        <f>5287000-271864</f>
        <v>5015136</v>
      </c>
      <c r="DD53" s="475"/>
      <c r="DE53" s="19"/>
      <c r="DF53" s="274"/>
      <c r="DG53" s="173"/>
      <c r="DH53" s="374">
        <f>6794000-375118</f>
        <v>6418882</v>
      </c>
      <c r="DI53" s="475"/>
      <c r="DJ53" s="19"/>
      <c r="DK53" s="274"/>
      <c r="DL53" s="173"/>
      <c r="DM53" s="374">
        <f>2265000-159336</f>
        <v>2105664</v>
      </c>
      <c r="DN53" s="475"/>
      <c r="DO53" s="19"/>
      <c r="DP53" s="274"/>
      <c r="DQ53" s="173"/>
      <c r="DR53" s="374">
        <f>4529000-353943</f>
        <v>4175057</v>
      </c>
      <c r="DS53" s="475"/>
      <c r="DT53" s="19"/>
      <c r="DU53" s="274"/>
      <c r="DV53" s="173"/>
      <c r="DW53" s="374">
        <f>1534000-99046</f>
        <v>1434954</v>
      </c>
      <c r="DX53" s="475"/>
      <c r="DY53" s="19"/>
      <c r="DZ53" s="274"/>
      <c r="EA53" s="173"/>
      <c r="EB53" s="374">
        <f>4399000-281342</f>
        <v>4117658</v>
      </c>
      <c r="EC53" s="475"/>
      <c r="ED53" s="19"/>
      <c r="EE53" s="274"/>
      <c r="EF53" s="173"/>
      <c r="EG53" s="374">
        <v>0</v>
      </c>
      <c r="EH53" s="475"/>
      <c r="EI53" s="19"/>
      <c r="EJ53" s="274"/>
      <c r="EK53" s="173"/>
      <c r="EL53" s="374">
        <f>SUM(CD53:EG53)</f>
        <v>40775369</v>
      </c>
      <c r="EM53" s="475"/>
      <c r="EN53" s="19"/>
      <c r="EO53" s="244"/>
      <c r="ER53" s="451"/>
      <c r="ES53" s="451"/>
    </row>
    <row r="54" spans="4:149" ht="12.75" customHeight="1" x14ac:dyDescent="0.2">
      <c r="D54" s="244" t="s">
        <v>346</v>
      </c>
      <c r="E54" s="274"/>
      <c r="F54" s="82"/>
      <c r="G54" s="19">
        <v>0</v>
      </c>
      <c r="H54" s="18"/>
      <c r="I54" s="19"/>
      <c r="J54" s="274"/>
      <c r="K54" s="274"/>
      <c r="L54" s="19">
        <v>253860</v>
      </c>
      <c r="M54" s="18"/>
      <c r="N54" s="19"/>
      <c r="O54" s="274"/>
      <c r="P54" s="274"/>
      <c r="Q54" s="19">
        <v>917243</v>
      </c>
      <c r="R54" s="18"/>
      <c r="S54" s="19"/>
      <c r="T54" s="274"/>
      <c r="U54" s="274"/>
      <c r="V54" s="19">
        <v>1034972</v>
      </c>
      <c r="W54" s="18"/>
      <c r="X54" s="19"/>
      <c r="Y54" s="274"/>
      <c r="Z54" s="274"/>
      <c r="AA54" s="19">
        <v>491482</v>
      </c>
      <c r="AB54" s="18"/>
      <c r="AC54" s="19"/>
      <c r="AD54" s="274"/>
      <c r="AE54" s="274"/>
      <c r="AF54" s="19">
        <v>0</v>
      </c>
      <c r="AG54" s="18"/>
      <c r="AH54" s="19"/>
      <c r="AI54" s="274"/>
      <c r="AJ54" s="274"/>
      <c r="AK54" s="19">
        <v>983778</v>
      </c>
      <c r="AL54" s="18"/>
      <c r="AM54" s="19"/>
      <c r="AN54" s="274"/>
      <c r="AO54" s="274"/>
      <c r="AP54" s="19">
        <v>0</v>
      </c>
      <c r="AQ54" s="18"/>
      <c r="AR54" s="19"/>
      <c r="AS54" s="274"/>
      <c r="AT54" s="274"/>
      <c r="AU54" s="19">
        <v>988220</v>
      </c>
      <c r="AV54" s="18"/>
      <c r="AW54" s="19"/>
      <c r="AX54" s="274"/>
      <c r="AY54" s="274"/>
      <c r="AZ54" s="19">
        <v>262780</v>
      </c>
      <c r="BA54" s="18"/>
      <c r="BB54" s="19"/>
      <c r="BC54" s="274"/>
      <c r="BD54" s="274"/>
      <c r="BE54" s="19">
        <v>540028</v>
      </c>
      <c r="BF54" s="18"/>
      <c r="BG54" s="19"/>
      <c r="BH54" s="274"/>
      <c r="BI54" s="274"/>
      <c r="BJ54" s="19">
        <v>200914</v>
      </c>
      <c r="BK54" s="18"/>
      <c r="BL54" s="19"/>
      <c r="BM54" s="274"/>
      <c r="BN54" s="274"/>
      <c r="BO54" s="19">
        <v>761983</v>
      </c>
      <c r="BP54" s="18"/>
      <c r="BQ54" s="19"/>
      <c r="BR54" s="274"/>
      <c r="BS54" s="274"/>
      <c r="BT54" s="19">
        <f>SUM(L54:BO54)</f>
        <v>6435260</v>
      </c>
      <c r="BU54" s="18"/>
      <c r="BV54" s="19"/>
      <c r="BW54" s="274"/>
      <c r="BX54" s="274"/>
      <c r="BY54" s="19">
        <v>2569686</v>
      </c>
      <c r="BZ54" s="18"/>
      <c r="CA54" s="19"/>
      <c r="CB54" s="274"/>
      <c r="CC54" s="274"/>
      <c r="CD54" s="19">
        <v>163830</v>
      </c>
      <c r="CE54" s="18"/>
      <c r="CF54" s="19"/>
      <c r="CG54" s="274"/>
      <c r="CH54" s="274"/>
      <c r="CI54" s="19">
        <v>165548</v>
      </c>
      <c r="CJ54" s="18"/>
      <c r="CK54" s="19"/>
      <c r="CL54" s="274"/>
      <c r="CM54" s="274"/>
      <c r="CN54" s="19">
        <v>272440</v>
      </c>
      <c r="CO54" s="18"/>
      <c r="CP54" s="19"/>
      <c r="CQ54" s="274"/>
      <c r="CR54" s="274"/>
      <c r="CS54" s="19">
        <v>133787</v>
      </c>
      <c r="CT54" s="18"/>
      <c r="CU54" s="19"/>
      <c r="CV54" s="274"/>
      <c r="CW54" s="274"/>
      <c r="CX54" s="19">
        <v>293432</v>
      </c>
      <c r="CY54" s="18"/>
      <c r="CZ54" s="19"/>
      <c r="DA54" s="274"/>
      <c r="DB54" s="274"/>
      <c r="DC54" s="19">
        <v>271864</v>
      </c>
      <c r="DD54" s="18"/>
      <c r="DE54" s="19"/>
      <c r="DF54" s="274"/>
      <c r="DG54" s="274"/>
      <c r="DH54" s="19">
        <v>375118</v>
      </c>
      <c r="DI54" s="18"/>
      <c r="DJ54" s="19"/>
      <c r="DK54" s="274"/>
      <c r="DL54" s="274"/>
      <c r="DM54" s="19">
        <v>159336</v>
      </c>
      <c r="DN54" s="18"/>
      <c r="DO54" s="19"/>
      <c r="DP54" s="274"/>
      <c r="DQ54" s="274"/>
      <c r="DR54" s="19">
        <v>353943</v>
      </c>
      <c r="DS54" s="18"/>
      <c r="DT54" s="19"/>
      <c r="DU54" s="274"/>
      <c r="DV54" s="274"/>
      <c r="DW54" s="19">
        <v>99046</v>
      </c>
      <c r="DX54" s="18"/>
      <c r="DY54" s="19"/>
      <c r="DZ54" s="274"/>
      <c r="EA54" s="274"/>
      <c r="EB54" s="19">
        <v>281342</v>
      </c>
      <c r="EC54" s="18"/>
      <c r="ED54" s="19"/>
      <c r="EE54" s="274"/>
      <c r="EF54" s="274"/>
      <c r="EG54" s="19">
        <v>0</v>
      </c>
      <c r="EH54" s="18"/>
      <c r="EI54" s="19"/>
      <c r="EJ54" s="274"/>
      <c r="EK54" s="274"/>
      <c r="EL54" s="19">
        <f>SUM(CD54:EG54)</f>
        <v>2569686</v>
      </c>
      <c r="EM54" s="18"/>
      <c r="EN54" s="19"/>
      <c r="EO54" s="244"/>
      <c r="ER54" s="451"/>
      <c r="ES54" s="451"/>
    </row>
    <row r="55" spans="4:149" ht="12.75" customHeight="1" x14ac:dyDescent="0.2">
      <c r="D55" s="244" t="s">
        <v>354</v>
      </c>
      <c r="E55" s="274"/>
      <c r="F55" s="276"/>
      <c r="G55" s="37">
        <v>0</v>
      </c>
      <c r="H55" s="36"/>
      <c r="I55" s="19"/>
      <c r="J55" s="274"/>
      <c r="K55" s="231"/>
      <c r="L55" s="37">
        <v>0</v>
      </c>
      <c r="M55" s="36"/>
      <c r="N55" s="19"/>
      <c r="O55" s="274"/>
      <c r="P55" s="231"/>
      <c r="Q55" s="37">
        <v>0</v>
      </c>
      <c r="R55" s="36"/>
      <c r="S55" s="19"/>
      <c r="T55" s="274"/>
      <c r="U55" s="231"/>
      <c r="V55" s="37">
        <v>0</v>
      </c>
      <c r="W55" s="36"/>
      <c r="X55" s="19"/>
      <c r="Y55" s="274"/>
      <c r="Z55" s="231"/>
      <c r="AA55" s="37">
        <v>0</v>
      </c>
      <c r="AB55" s="36"/>
      <c r="AC55" s="19"/>
      <c r="AD55" s="274"/>
      <c r="AE55" s="231"/>
      <c r="AF55" s="37">
        <v>0</v>
      </c>
      <c r="AG55" s="36"/>
      <c r="AH55" s="19"/>
      <c r="AI55" s="274"/>
      <c r="AJ55" s="231"/>
      <c r="AK55" s="37">
        <v>0</v>
      </c>
      <c r="AL55" s="36"/>
      <c r="AM55" s="19"/>
      <c r="AN55" s="274"/>
      <c r="AO55" s="231"/>
      <c r="AP55" s="37">
        <v>0</v>
      </c>
      <c r="AQ55" s="36"/>
      <c r="AR55" s="19"/>
      <c r="AS55" s="274"/>
      <c r="AT55" s="231"/>
      <c r="AU55" s="37">
        <v>0</v>
      </c>
      <c r="AV55" s="36"/>
      <c r="AW55" s="19"/>
      <c r="AX55" s="274"/>
      <c r="AY55" s="231"/>
      <c r="AZ55" s="37">
        <v>0</v>
      </c>
      <c r="BA55" s="36"/>
      <c r="BB55" s="19"/>
      <c r="BC55" s="274"/>
      <c r="BD55" s="231"/>
      <c r="BE55" s="37">
        <v>0</v>
      </c>
      <c r="BF55" s="36"/>
      <c r="BG55" s="19"/>
      <c r="BH55" s="274"/>
      <c r="BI55" s="231"/>
      <c r="BJ55" s="37">
        <v>0</v>
      </c>
      <c r="BK55" s="36"/>
      <c r="BL55" s="19"/>
      <c r="BM55" s="274"/>
      <c r="BN55" s="231"/>
      <c r="BO55" s="37">
        <v>0</v>
      </c>
      <c r="BP55" s="36"/>
      <c r="BQ55" s="19"/>
      <c r="BR55" s="274"/>
      <c r="BS55" s="231"/>
      <c r="BT55" s="37">
        <f>SUM(L55:BO55)</f>
        <v>0</v>
      </c>
      <c r="BU55" s="36"/>
      <c r="BV55" s="19"/>
      <c r="BW55" s="274"/>
      <c r="BX55" s="231"/>
      <c r="BY55" s="37">
        <v>0</v>
      </c>
      <c r="BZ55" s="36"/>
      <c r="CA55" s="19"/>
      <c r="CB55" s="274"/>
      <c r="CC55" s="231"/>
      <c r="CD55" s="37">
        <v>0</v>
      </c>
      <c r="CE55" s="36"/>
      <c r="CF55" s="19"/>
      <c r="CG55" s="274"/>
      <c r="CH55" s="231"/>
      <c r="CI55" s="37">
        <v>0</v>
      </c>
      <c r="CJ55" s="36"/>
      <c r="CK55" s="19"/>
      <c r="CL55" s="274"/>
      <c r="CM55" s="231"/>
      <c r="CN55" s="37">
        <v>0</v>
      </c>
      <c r="CO55" s="36"/>
      <c r="CP55" s="19"/>
      <c r="CQ55" s="274"/>
      <c r="CR55" s="231"/>
      <c r="CS55" s="37">
        <v>0</v>
      </c>
      <c r="CT55" s="36"/>
      <c r="CU55" s="19"/>
      <c r="CV55" s="274"/>
      <c r="CW55" s="231"/>
      <c r="CX55" s="37">
        <v>0</v>
      </c>
      <c r="CY55" s="36"/>
      <c r="CZ55" s="19"/>
      <c r="DA55" s="274"/>
      <c r="DB55" s="231"/>
      <c r="DC55" s="37">
        <v>0</v>
      </c>
      <c r="DD55" s="36"/>
      <c r="DE55" s="19"/>
      <c r="DF55" s="274"/>
      <c r="DG55" s="231"/>
      <c r="DH55" s="37">
        <v>0</v>
      </c>
      <c r="DI55" s="36"/>
      <c r="DJ55" s="19"/>
      <c r="DK55" s="274"/>
      <c r="DL55" s="231"/>
      <c r="DM55" s="37">
        <v>0</v>
      </c>
      <c r="DN55" s="36"/>
      <c r="DO55" s="19"/>
      <c r="DP55" s="274"/>
      <c r="DQ55" s="231"/>
      <c r="DR55" s="37">
        <v>0</v>
      </c>
      <c r="DS55" s="36"/>
      <c r="DT55" s="19"/>
      <c r="DU55" s="274"/>
      <c r="DV55" s="231"/>
      <c r="DW55" s="37">
        <v>0</v>
      </c>
      <c r="DX55" s="36"/>
      <c r="DY55" s="19"/>
      <c r="DZ55" s="274"/>
      <c r="EA55" s="231"/>
      <c r="EB55" s="37">
        <v>0</v>
      </c>
      <c r="EC55" s="36"/>
      <c r="ED55" s="19"/>
      <c r="EE55" s="274"/>
      <c r="EF55" s="231"/>
      <c r="EG55" s="37">
        <v>0</v>
      </c>
      <c r="EH55" s="36"/>
      <c r="EI55" s="19"/>
      <c r="EJ55" s="274"/>
      <c r="EK55" s="231"/>
      <c r="EL55" s="37">
        <f>SUM(CD55:EG55)</f>
        <v>0</v>
      </c>
      <c r="EM55" s="36"/>
      <c r="EN55" s="19"/>
      <c r="EO55" s="244"/>
      <c r="ER55" s="451"/>
      <c r="ES55" s="451"/>
    </row>
    <row r="56" spans="4:149" ht="12.75" customHeight="1" x14ac:dyDescent="0.2">
      <c r="D56" s="244"/>
      <c r="E56" s="274"/>
      <c r="G56" s="19"/>
      <c r="H56" s="19"/>
      <c r="I56" s="19"/>
      <c r="J56" s="274"/>
      <c r="K56" s="19"/>
      <c r="L56" s="19"/>
      <c r="M56" s="19"/>
      <c r="N56" s="19"/>
      <c r="O56" s="274"/>
      <c r="P56" s="19"/>
      <c r="Q56" s="19"/>
      <c r="R56" s="19"/>
      <c r="S56" s="19"/>
      <c r="T56" s="274"/>
      <c r="U56" s="19"/>
      <c r="V56" s="19"/>
      <c r="W56" s="19"/>
      <c r="X56" s="19"/>
      <c r="Y56" s="274"/>
      <c r="Z56" s="19"/>
      <c r="AA56" s="19"/>
      <c r="AB56" s="19"/>
      <c r="AC56" s="19"/>
      <c r="AD56" s="274"/>
      <c r="AE56" s="19"/>
      <c r="AF56" s="19"/>
      <c r="AG56" s="19"/>
      <c r="AH56" s="19"/>
      <c r="AI56" s="274"/>
      <c r="AJ56" s="19"/>
      <c r="AK56" s="19"/>
      <c r="AL56" s="19"/>
      <c r="AM56" s="19"/>
      <c r="AN56" s="274"/>
      <c r="AO56" s="19"/>
      <c r="AP56" s="19"/>
      <c r="AQ56" s="19"/>
      <c r="AR56" s="19"/>
      <c r="AS56" s="274"/>
      <c r="AT56" s="19"/>
      <c r="AU56" s="19"/>
      <c r="AV56" s="19"/>
      <c r="AW56" s="19"/>
      <c r="AX56" s="274"/>
      <c r="AY56" s="19"/>
      <c r="AZ56" s="19"/>
      <c r="BA56" s="19"/>
      <c r="BB56" s="19"/>
      <c r="BC56" s="274"/>
      <c r="BD56" s="19"/>
      <c r="BE56" s="19"/>
      <c r="BF56" s="19"/>
      <c r="BG56" s="19"/>
      <c r="BH56" s="274"/>
      <c r="BI56" s="19"/>
      <c r="BJ56" s="19"/>
      <c r="BK56" s="19"/>
      <c r="BL56" s="19"/>
      <c r="BM56" s="274"/>
      <c r="BN56" s="19"/>
      <c r="BO56" s="19"/>
      <c r="BP56" s="19"/>
      <c r="BQ56" s="19"/>
      <c r="BR56" s="274"/>
      <c r="BS56" s="19"/>
      <c r="BT56" s="19"/>
      <c r="BU56" s="19"/>
      <c r="BV56" s="19"/>
      <c r="BW56" s="274"/>
      <c r="BX56" s="19"/>
      <c r="BY56" s="19"/>
      <c r="BZ56" s="19"/>
      <c r="CA56" s="19"/>
      <c r="CB56" s="274"/>
      <c r="CC56" s="19"/>
      <c r="CD56" s="19"/>
      <c r="CE56" s="19"/>
      <c r="CF56" s="19"/>
      <c r="CG56" s="274"/>
      <c r="CH56" s="19"/>
      <c r="CI56" s="19"/>
      <c r="CJ56" s="19"/>
      <c r="CK56" s="19"/>
      <c r="CL56" s="274"/>
      <c r="CM56" s="19"/>
      <c r="CN56" s="19"/>
      <c r="CO56" s="19"/>
      <c r="CP56" s="19"/>
      <c r="CQ56" s="274"/>
      <c r="CR56" s="19"/>
      <c r="CS56" s="19"/>
      <c r="CT56" s="19"/>
      <c r="CU56" s="19"/>
      <c r="CV56" s="274"/>
      <c r="CW56" s="19"/>
      <c r="CX56" s="19"/>
      <c r="CY56" s="19"/>
      <c r="CZ56" s="19"/>
      <c r="DA56" s="274"/>
      <c r="DB56" s="19"/>
      <c r="DC56" s="19"/>
      <c r="DD56" s="19"/>
      <c r="DE56" s="19"/>
      <c r="DF56" s="274"/>
      <c r="DG56" s="19"/>
      <c r="DH56" s="19"/>
      <c r="DI56" s="19"/>
      <c r="DJ56" s="19"/>
      <c r="DK56" s="274"/>
      <c r="DL56" s="19"/>
      <c r="DM56" s="19"/>
      <c r="DN56" s="19"/>
      <c r="DO56" s="19"/>
      <c r="DP56" s="274"/>
      <c r="DQ56" s="19"/>
      <c r="DR56" s="19"/>
      <c r="DS56" s="19"/>
      <c r="DT56" s="19"/>
      <c r="DU56" s="274"/>
      <c r="DV56" s="19"/>
      <c r="DW56" s="19"/>
      <c r="DX56" s="19"/>
      <c r="DY56" s="19"/>
      <c r="DZ56" s="274"/>
      <c r="EA56" s="19"/>
      <c r="EB56" s="19"/>
      <c r="EC56" s="19"/>
      <c r="ED56" s="19"/>
      <c r="EE56" s="274"/>
      <c r="EF56" s="19"/>
      <c r="EG56" s="19"/>
      <c r="EH56" s="19"/>
      <c r="EI56" s="19"/>
      <c r="EJ56" s="274"/>
      <c r="EK56" s="19"/>
      <c r="EL56" s="19"/>
      <c r="EM56" s="19"/>
      <c r="EN56" s="19"/>
      <c r="EO56" s="244"/>
      <c r="ER56" s="451"/>
      <c r="ES56" s="451"/>
    </row>
    <row r="57" spans="4:149" x14ac:dyDescent="0.2">
      <c r="D57" s="244" t="s">
        <v>355</v>
      </c>
      <c r="E57" s="274"/>
      <c r="G57" s="19">
        <f>SUM(G58:G60)</f>
        <v>0</v>
      </c>
      <c r="H57" s="19"/>
      <c r="I57" s="19"/>
      <c r="J57" s="274"/>
      <c r="K57" s="19"/>
      <c r="L57" s="19">
        <f>SUM(L58:L60)</f>
        <v>6933000</v>
      </c>
      <c r="M57" s="19"/>
      <c r="N57" s="19"/>
      <c r="O57" s="274"/>
      <c r="P57" s="19"/>
      <c r="Q57" s="19">
        <f>SUM(Q58:Q60)</f>
        <v>9652000</v>
      </c>
      <c r="R57" s="19"/>
      <c r="S57" s="19"/>
      <c r="T57" s="274"/>
      <c r="U57" s="19"/>
      <c r="V57" s="19">
        <f>SUM(V58:V60)</f>
        <v>5365000</v>
      </c>
      <c r="W57" s="19"/>
      <c r="X57" s="19"/>
      <c r="Y57" s="274"/>
      <c r="Z57" s="19"/>
      <c r="AA57" s="19">
        <f>SUM(AA58:AA60)</f>
        <v>19611000</v>
      </c>
      <c r="AB57" s="19"/>
      <c r="AC57" s="19"/>
      <c r="AD57" s="274"/>
      <c r="AE57" s="19"/>
      <c r="AF57" s="19">
        <f>SUM(AF58:AF60)</f>
        <v>7976000</v>
      </c>
      <c r="AG57" s="19"/>
      <c r="AH57" s="19"/>
      <c r="AI57" s="274"/>
      <c r="AJ57" s="19"/>
      <c r="AK57" s="19">
        <f>SUM(AK58:AK60)</f>
        <v>4403000</v>
      </c>
      <c r="AL57" s="19"/>
      <c r="AM57" s="19"/>
      <c r="AN57" s="274"/>
      <c r="AO57" s="19"/>
      <c r="AP57" s="19">
        <f>SUM(AP58:AP60)</f>
        <v>12162000</v>
      </c>
      <c r="AQ57" s="19"/>
      <c r="AR57" s="19"/>
      <c r="AS57" s="274"/>
      <c r="AT57" s="19"/>
      <c r="AU57" s="19">
        <f>SUM(AU58:AU60)</f>
        <v>4448000</v>
      </c>
      <c r="AV57" s="19"/>
      <c r="AW57" s="19"/>
      <c r="AX57" s="274"/>
      <c r="AY57" s="19"/>
      <c r="AZ57" s="19">
        <f>SUM(AZ58:AZ60)</f>
        <v>12828000</v>
      </c>
      <c r="BA57" s="19"/>
      <c r="BB57" s="19"/>
      <c r="BC57" s="274"/>
      <c r="BD57" s="19"/>
      <c r="BE57" s="19">
        <f>SUM(BE58:BE60)</f>
        <v>6604000</v>
      </c>
      <c r="BF57" s="19"/>
      <c r="BG57" s="19"/>
      <c r="BH57" s="274"/>
      <c r="BI57" s="19"/>
      <c r="BJ57" s="19">
        <f>SUM(BJ58:BJ60)</f>
        <v>185197</v>
      </c>
      <c r="BK57" s="19"/>
      <c r="BL57" s="19"/>
      <c r="BM57" s="274"/>
      <c r="BN57" s="19"/>
      <c r="BO57" s="19">
        <f>SUM(BO58:BO60)</f>
        <v>5126000</v>
      </c>
      <c r="BP57" s="19"/>
      <c r="BQ57" s="19"/>
      <c r="BR57" s="274"/>
      <c r="BS57" s="19"/>
      <c r="BT57" s="19">
        <f>SUM(BT58:BT60)</f>
        <v>95293197</v>
      </c>
      <c r="BU57" s="19"/>
      <c r="BV57" s="19"/>
      <c r="BW57" s="274"/>
      <c r="BX57" s="19"/>
      <c r="BY57" s="19">
        <f>SUM(BY58:BY60)</f>
        <v>29989172</v>
      </c>
      <c r="BZ57" s="19"/>
      <c r="CA57" s="19"/>
      <c r="CB57" s="274"/>
      <c r="CC57" s="19"/>
      <c r="CD57" s="19">
        <f>SUM(CD58:CD60)</f>
        <v>2109000</v>
      </c>
      <c r="CE57" s="19"/>
      <c r="CF57" s="19"/>
      <c r="CG57" s="274"/>
      <c r="CH57" s="19"/>
      <c r="CI57" s="19">
        <f>SUM(CI58:CI60)</f>
        <v>2666172</v>
      </c>
      <c r="CJ57" s="19"/>
      <c r="CK57" s="19"/>
      <c r="CL57" s="274"/>
      <c r="CM57" s="19"/>
      <c r="CN57" s="19">
        <f>SUM(CN58:CN60)</f>
        <v>1555000</v>
      </c>
      <c r="CO57" s="19"/>
      <c r="CP57" s="19"/>
      <c r="CQ57" s="274"/>
      <c r="CR57" s="19"/>
      <c r="CS57" s="19">
        <f>SUM(CS58:CS60)</f>
        <v>1649000</v>
      </c>
      <c r="CT57" s="19"/>
      <c r="CU57" s="19"/>
      <c r="CV57" s="274"/>
      <c r="CW57" s="19"/>
      <c r="CX57" s="19">
        <f>SUM(CX58:CX60)</f>
        <v>4535000</v>
      </c>
      <c r="CY57" s="19"/>
      <c r="CZ57" s="19"/>
      <c r="DA57" s="274"/>
      <c r="DB57" s="19"/>
      <c r="DC57" s="19">
        <f>SUM(DC58:DC60)</f>
        <v>1532000</v>
      </c>
      <c r="DD57" s="19"/>
      <c r="DE57" s="19"/>
      <c r="DF57" s="274"/>
      <c r="DG57" s="19"/>
      <c r="DH57" s="19">
        <f>SUM(DH58:DH60)</f>
        <v>0</v>
      </c>
      <c r="DI57" s="19"/>
      <c r="DJ57" s="19"/>
      <c r="DK57" s="274"/>
      <c r="DL57" s="19"/>
      <c r="DM57" s="19">
        <f>SUM(DM58:DM60)</f>
        <v>3020000</v>
      </c>
      <c r="DN57" s="19"/>
      <c r="DO57" s="19"/>
      <c r="DP57" s="274"/>
      <c r="DQ57" s="19"/>
      <c r="DR57" s="19">
        <f>SUM(DR58:DR60)</f>
        <v>758000</v>
      </c>
      <c r="DS57" s="19"/>
      <c r="DT57" s="19"/>
      <c r="DU57" s="274"/>
      <c r="DV57" s="19"/>
      <c r="DW57" s="19">
        <f>SUM(DW58:DW60)</f>
        <v>2268000</v>
      </c>
      <c r="DX57" s="19"/>
      <c r="DY57" s="19"/>
      <c r="DZ57" s="274"/>
      <c r="EA57" s="19"/>
      <c r="EB57" s="19">
        <f>SUM(EB58:EB60)</f>
        <v>3777000</v>
      </c>
      <c r="EC57" s="19"/>
      <c r="ED57" s="19"/>
      <c r="EE57" s="274"/>
      <c r="EF57" s="19"/>
      <c r="EG57" s="19">
        <f>SUM(EG58:EG60)</f>
        <v>6120000</v>
      </c>
      <c r="EH57" s="19"/>
      <c r="EI57" s="19"/>
      <c r="EJ57" s="274"/>
      <c r="EK57" s="19"/>
      <c r="EL57" s="19">
        <f>SUM(EL58:EL60)</f>
        <v>29989172</v>
      </c>
      <c r="EM57" s="19"/>
      <c r="EN57" s="19"/>
      <c r="EO57" s="244"/>
      <c r="ER57" s="451"/>
      <c r="ES57" s="451"/>
    </row>
    <row r="58" spans="4:149" x14ac:dyDescent="0.2">
      <c r="D58" s="244" t="s">
        <v>344</v>
      </c>
      <c r="E58" s="274"/>
      <c r="F58" s="112"/>
      <c r="G58" s="374">
        <v>0</v>
      </c>
      <c r="H58" s="475"/>
      <c r="I58" s="19"/>
      <c r="J58" s="274"/>
      <c r="K58" s="173"/>
      <c r="L58" s="374">
        <f>6933000+289208</f>
        <v>7222208</v>
      </c>
      <c r="M58" s="475"/>
      <c r="N58" s="19"/>
      <c r="O58" s="274"/>
      <c r="P58" s="173"/>
      <c r="Q58" s="374">
        <f>9652000+1102248</f>
        <v>10754248</v>
      </c>
      <c r="R58" s="475"/>
      <c r="S58" s="19"/>
      <c r="T58" s="274"/>
      <c r="U58" s="173"/>
      <c r="V58" s="374">
        <f>5365000+764417</f>
        <v>6129417</v>
      </c>
      <c r="W58" s="475"/>
      <c r="X58" s="19"/>
      <c r="Y58" s="274"/>
      <c r="Z58" s="173"/>
      <c r="AA58" s="374">
        <f>19611000+2780721</f>
        <v>22391721</v>
      </c>
      <c r="AB58" s="475"/>
      <c r="AC58" s="19"/>
      <c r="AD58" s="274"/>
      <c r="AE58" s="173"/>
      <c r="AF58" s="374">
        <f>7976000+1213553</f>
        <v>9189553</v>
      </c>
      <c r="AG58" s="475"/>
      <c r="AH58" s="19"/>
      <c r="AI58" s="274"/>
      <c r="AJ58" s="173"/>
      <c r="AK58" s="374">
        <f>4403000+716835</f>
        <v>5119835</v>
      </c>
      <c r="AL58" s="475"/>
      <c r="AM58" s="19"/>
      <c r="AN58" s="274"/>
      <c r="AO58" s="173"/>
      <c r="AP58" s="374">
        <f>12162000+2010551</f>
        <v>14172551</v>
      </c>
      <c r="AQ58" s="475"/>
      <c r="AR58" s="19"/>
      <c r="AS58" s="274"/>
      <c r="AT58" s="173"/>
      <c r="AU58" s="374">
        <f>4448000+777625</f>
        <v>5225625</v>
      </c>
      <c r="AV58" s="475"/>
      <c r="AW58" s="19"/>
      <c r="AX58" s="274"/>
      <c r="AY58" s="173"/>
      <c r="AZ58" s="374">
        <f>12828000+2213621</f>
        <v>15041621</v>
      </c>
      <c r="BA58" s="475"/>
      <c r="BB58" s="19"/>
      <c r="BC58" s="274"/>
      <c r="BD58" s="173"/>
      <c r="BE58" s="374">
        <f>6604000+1216723</f>
        <v>7820723</v>
      </c>
      <c r="BF58" s="475"/>
      <c r="BG58" s="19"/>
      <c r="BH58" s="274"/>
      <c r="BI58" s="173"/>
      <c r="BJ58" s="374">
        <f>185197+33827</f>
        <v>219024</v>
      </c>
      <c r="BK58" s="475"/>
      <c r="BL58" s="19"/>
      <c r="BM58" s="274"/>
      <c r="BN58" s="173"/>
      <c r="BO58" s="374">
        <f>5126000+756787</f>
        <v>5882787</v>
      </c>
      <c r="BP58" s="475"/>
      <c r="BQ58" s="19"/>
      <c r="BR58" s="274"/>
      <c r="BS58" s="173"/>
      <c r="BT58" s="374">
        <f>SUM(L58:BO58)</f>
        <v>109169313</v>
      </c>
      <c r="BU58" s="475"/>
      <c r="BV58" s="19"/>
      <c r="BW58" s="274"/>
      <c r="BX58" s="173"/>
      <c r="BY58" s="374">
        <v>33062023</v>
      </c>
      <c r="BZ58" s="475"/>
      <c r="CA58" s="19"/>
      <c r="CB58" s="274"/>
      <c r="CC58" s="173"/>
      <c r="CD58" s="374">
        <f>2109000+225458</f>
        <v>2334458</v>
      </c>
      <c r="CE58" s="475"/>
      <c r="CF58" s="19"/>
      <c r="CG58" s="274"/>
      <c r="CH58" s="173"/>
      <c r="CI58" s="374">
        <f>2666172+300186</f>
        <v>2966358</v>
      </c>
      <c r="CJ58" s="475"/>
      <c r="CK58" s="19"/>
      <c r="CL58" s="274"/>
      <c r="CM58" s="173"/>
      <c r="CN58" s="374">
        <f>1555000+180568</f>
        <v>1735568</v>
      </c>
      <c r="CO58" s="475"/>
      <c r="CP58" s="19"/>
      <c r="CQ58" s="274"/>
      <c r="CR58" s="173"/>
      <c r="CS58" s="374">
        <f>1649000+213274</f>
        <v>1862274</v>
      </c>
      <c r="CT58" s="475"/>
      <c r="CU58" s="19"/>
      <c r="CV58" s="274"/>
      <c r="CW58" s="173"/>
      <c r="CX58" s="374">
        <f>4535000+513408</f>
        <v>5048408</v>
      </c>
      <c r="CY58" s="475"/>
      <c r="CZ58" s="19"/>
      <c r="DA58" s="274"/>
      <c r="DB58" s="173"/>
      <c r="DC58" s="374">
        <f>1532000+197239</f>
        <v>1729239</v>
      </c>
      <c r="DD58" s="475"/>
      <c r="DE58" s="19"/>
      <c r="DF58" s="274"/>
      <c r="DG58" s="173"/>
      <c r="DH58" s="374">
        <v>0</v>
      </c>
      <c r="DI58" s="475"/>
      <c r="DJ58" s="19"/>
      <c r="DK58" s="274"/>
      <c r="DL58" s="173"/>
      <c r="DM58" s="374">
        <f>3020000+347931</f>
        <v>3367931</v>
      </c>
      <c r="DN58" s="475"/>
      <c r="DO58" s="19"/>
      <c r="DP58" s="274"/>
      <c r="DQ58" s="173"/>
      <c r="DR58" s="374">
        <f>758000+79844</f>
        <v>837844</v>
      </c>
      <c r="DS58" s="475"/>
      <c r="DT58" s="19"/>
      <c r="DU58" s="274"/>
      <c r="DV58" s="173"/>
      <c r="DW58" s="374">
        <f>2268000+279324</f>
        <v>2547324</v>
      </c>
      <c r="DX58" s="475"/>
      <c r="DY58" s="19"/>
      <c r="DZ58" s="274"/>
      <c r="EA58" s="173"/>
      <c r="EB58" s="374">
        <f>3777000+508862</f>
        <v>4285862</v>
      </c>
      <c r="EC58" s="475"/>
      <c r="ED58" s="19"/>
      <c r="EE58" s="274"/>
      <c r="EF58" s="173"/>
      <c r="EG58" s="374">
        <f>6120000-155160+381917</f>
        <v>6346757</v>
      </c>
      <c r="EH58" s="475"/>
      <c r="EI58" s="19"/>
      <c r="EJ58" s="274"/>
      <c r="EK58" s="173"/>
      <c r="EL58" s="374">
        <f>SUM(CD58:EG58)</f>
        <v>33062023</v>
      </c>
      <c r="EM58" s="475"/>
      <c r="EN58" s="19"/>
      <c r="EO58" s="244"/>
      <c r="ER58" s="451"/>
      <c r="ES58" s="451"/>
    </row>
    <row r="59" spans="4:149" x14ac:dyDescent="0.2">
      <c r="D59" s="244" t="s">
        <v>346</v>
      </c>
      <c r="E59" s="274"/>
      <c r="F59" s="82"/>
      <c r="G59" s="19">
        <v>0</v>
      </c>
      <c r="H59" s="18"/>
      <c r="I59" s="19"/>
      <c r="J59" s="274"/>
      <c r="K59" s="274"/>
      <c r="L59" s="19">
        <v>0</v>
      </c>
      <c r="M59" s="18"/>
      <c r="N59" s="19"/>
      <c r="O59" s="274"/>
      <c r="P59" s="274"/>
      <c r="Q59" s="19">
        <v>0</v>
      </c>
      <c r="R59" s="18"/>
      <c r="S59" s="19"/>
      <c r="T59" s="274"/>
      <c r="U59" s="274"/>
      <c r="V59" s="19">
        <v>0</v>
      </c>
      <c r="W59" s="18"/>
      <c r="X59" s="19"/>
      <c r="Y59" s="274"/>
      <c r="Z59" s="274"/>
      <c r="AA59" s="19">
        <v>0</v>
      </c>
      <c r="AB59" s="18"/>
      <c r="AC59" s="19"/>
      <c r="AD59" s="274"/>
      <c r="AE59" s="274"/>
      <c r="AF59" s="19">
        <v>0</v>
      </c>
      <c r="AG59" s="18"/>
      <c r="AH59" s="19"/>
      <c r="AI59" s="274"/>
      <c r="AJ59" s="274"/>
      <c r="AK59" s="19">
        <v>0</v>
      </c>
      <c r="AL59" s="18"/>
      <c r="AM59" s="19"/>
      <c r="AN59" s="274"/>
      <c r="AO59" s="274"/>
      <c r="AP59" s="19">
        <v>0</v>
      </c>
      <c r="AQ59" s="18"/>
      <c r="AR59" s="19"/>
      <c r="AS59" s="274"/>
      <c r="AT59" s="274"/>
      <c r="AU59" s="19">
        <v>0</v>
      </c>
      <c r="AV59" s="18"/>
      <c r="AW59" s="19"/>
      <c r="AX59" s="274"/>
      <c r="AY59" s="274"/>
      <c r="AZ59" s="19">
        <v>0</v>
      </c>
      <c r="BA59" s="18"/>
      <c r="BB59" s="19"/>
      <c r="BC59" s="274"/>
      <c r="BD59" s="274"/>
      <c r="BE59" s="19">
        <v>0</v>
      </c>
      <c r="BF59" s="18"/>
      <c r="BG59" s="19"/>
      <c r="BH59" s="274"/>
      <c r="BI59" s="274"/>
      <c r="BJ59" s="19">
        <v>0</v>
      </c>
      <c r="BK59" s="18"/>
      <c r="BL59" s="19"/>
      <c r="BM59" s="274"/>
      <c r="BN59" s="274"/>
      <c r="BO59" s="19">
        <v>0</v>
      </c>
      <c r="BP59" s="18"/>
      <c r="BQ59" s="19"/>
      <c r="BR59" s="274"/>
      <c r="BS59" s="274"/>
      <c r="BT59" s="19">
        <f>SUM(L59:BO59)</f>
        <v>0</v>
      </c>
      <c r="BU59" s="18"/>
      <c r="BV59" s="19"/>
      <c r="BW59" s="274"/>
      <c r="BX59" s="274"/>
      <c r="BY59" s="19">
        <v>155160</v>
      </c>
      <c r="BZ59" s="18"/>
      <c r="CA59" s="19"/>
      <c r="CB59" s="274"/>
      <c r="CC59" s="274"/>
      <c r="CD59" s="19">
        <v>0</v>
      </c>
      <c r="CE59" s="18"/>
      <c r="CF59" s="19"/>
      <c r="CG59" s="274"/>
      <c r="CH59" s="274"/>
      <c r="CI59" s="19">
        <v>0</v>
      </c>
      <c r="CJ59" s="18"/>
      <c r="CK59" s="19"/>
      <c r="CL59" s="274"/>
      <c r="CM59" s="274"/>
      <c r="CN59" s="19">
        <v>0</v>
      </c>
      <c r="CO59" s="18"/>
      <c r="CP59" s="19"/>
      <c r="CQ59" s="274"/>
      <c r="CR59" s="274"/>
      <c r="CS59" s="19">
        <v>0</v>
      </c>
      <c r="CT59" s="18"/>
      <c r="CU59" s="19"/>
      <c r="CV59" s="274"/>
      <c r="CW59" s="274"/>
      <c r="CX59" s="19">
        <v>0</v>
      </c>
      <c r="CY59" s="18"/>
      <c r="CZ59" s="19"/>
      <c r="DA59" s="274"/>
      <c r="DB59" s="274"/>
      <c r="DC59" s="19">
        <v>0</v>
      </c>
      <c r="DD59" s="18"/>
      <c r="DE59" s="19"/>
      <c r="DF59" s="274"/>
      <c r="DG59" s="274"/>
      <c r="DH59" s="19">
        <v>0</v>
      </c>
      <c r="DI59" s="18"/>
      <c r="DJ59" s="19"/>
      <c r="DK59" s="274"/>
      <c r="DL59" s="274"/>
      <c r="DM59" s="19">
        <v>0</v>
      </c>
      <c r="DN59" s="18"/>
      <c r="DO59" s="19"/>
      <c r="DP59" s="274"/>
      <c r="DQ59" s="274"/>
      <c r="DR59" s="19">
        <v>0</v>
      </c>
      <c r="DS59" s="18"/>
      <c r="DT59" s="19"/>
      <c r="DU59" s="274"/>
      <c r="DV59" s="274"/>
      <c r="DW59" s="19">
        <v>0</v>
      </c>
      <c r="DX59" s="18"/>
      <c r="DY59" s="19"/>
      <c r="DZ59" s="274"/>
      <c r="EA59" s="274"/>
      <c r="EB59" s="19">
        <v>0</v>
      </c>
      <c r="EC59" s="18"/>
      <c r="ED59" s="19"/>
      <c r="EE59" s="274"/>
      <c r="EF59" s="274"/>
      <c r="EG59" s="19">
        <v>155160</v>
      </c>
      <c r="EH59" s="18"/>
      <c r="EI59" s="19"/>
      <c r="EJ59" s="274"/>
      <c r="EK59" s="274"/>
      <c r="EL59" s="19">
        <f>SUM(CD59:EG59)</f>
        <v>155160</v>
      </c>
      <c r="EM59" s="18"/>
      <c r="EN59" s="19"/>
      <c r="EO59" s="244"/>
      <c r="ER59" s="451"/>
      <c r="ES59" s="451"/>
    </row>
    <row r="60" spans="4:149" x14ac:dyDescent="0.2">
      <c r="D60" s="244" t="s">
        <v>354</v>
      </c>
      <c r="E60" s="274"/>
      <c r="F60" s="276"/>
      <c r="G60" s="37">
        <v>0</v>
      </c>
      <c r="H60" s="36"/>
      <c r="I60" s="19"/>
      <c r="J60" s="274"/>
      <c r="K60" s="231"/>
      <c r="L60" s="37">
        <v>-289208</v>
      </c>
      <c r="M60" s="36"/>
      <c r="N60" s="19"/>
      <c r="O60" s="274"/>
      <c r="P60" s="231"/>
      <c r="Q60" s="37">
        <v>-1102248</v>
      </c>
      <c r="R60" s="36"/>
      <c r="S60" s="19"/>
      <c r="T60" s="274"/>
      <c r="U60" s="231"/>
      <c r="V60" s="37">
        <v>-764417</v>
      </c>
      <c r="W60" s="36"/>
      <c r="X60" s="19"/>
      <c r="Y60" s="274"/>
      <c r="Z60" s="231"/>
      <c r="AA60" s="37">
        <v>-2780721</v>
      </c>
      <c r="AB60" s="36"/>
      <c r="AC60" s="19"/>
      <c r="AD60" s="274"/>
      <c r="AE60" s="231"/>
      <c r="AF60" s="37">
        <v>-1213553</v>
      </c>
      <c r="AG60" s="36"/>
      <c r="AH60" s="19"/>
      <c r="AI60" s="274"/>
      <c r="AJ60" s="231"/>
      <c r="AK60" s="37">
        <v>-716835</v>
      </c>
      <c r="AL60" s="36"/>
      <c r="AM60" s="19"/>
      <c r="AN60" s="274"/>
      <c r="AO60" s="231"/>
      <c r="AP60" s="37">
        <v>-2010551</v>
      </c>
      <c r="AQ60" s="36"/>
      <c r="AR60" s="19"/>
      <c r="AS60" s="274"/>
      <c r="AT60" s="231"/>
      <c r="AU60" s="37">
        <v>-777625</v>
      </c>
      <c r="AV60" s="36"/>
      <c r="AW60" s="19"/>
      <c r="AX60" s="274"/>
      <c r="AY60" s="231"/>
      <c r="AZ60" s="37">
        <v>-2213621</v>
      </c>
      <c r="BA60" s="36"/>
      <c r="BB60" s="19"/>
      <c r="BC60" s="274"/>
      <c r="BD60" s="231"/>
      <c r="BE60" s="37">
        <v>-1216723</v>
      </c>
      <c r="BF60" s="36"/>
      <c r="BG60" s="19"/>
      <c r="BH60" s="274"/>
      <c r="BI60" s="231"/>
      <c r="BJ60" s="37">
        <v>-33827</v>
      </c>
      <c r="BK60" s="36"/>
      <c r="BL60" s="19"/>
      <c r="BM60" s="274"/>
      <c r="BN60" s="231"/>
      <c r="BO60" s="37">
        <v>-756787</v>
      </c>
      <c r="BP60" s="36"/>
      <c r="BQ60" s="19"/>
      <c r="BR60" s="274"/>
      <c r="BS60" s="231"/>
      <c r="BT60" s="37">
        <f>SUM(L60:BO60)</f>
        <v>-13876116</v>
      </c>
      <c r="BU60" s="36"/>
      <c r="BV60" s="19"/>
      <c r="BW60" s="274"/>
      <c r="BX60" s="231"/>
      <c r="BY60" s="37">
        <v>-3228011</v>
      </c>
      <c r="BZ60" s="36"/>
      <c r="CA60" s="19"/>
      <c r="CB60" s="274"/>
      <c r="CC60" s="231"/>
      <c r="CD60" s="37">
        <v>-225458</v>
      </c>
      <c r="CE60" s="36"/>
      <c r="CF60" s="19"/>
      <c r="CG60" s="274"/>
      <c r="CH60" s="231"/>
      <c r="CI60" s="37">
        <v>-300186</v>
      </c>
      <c r="CJ60" s="36"/>
      <c r="CK60" s="19"/>
      <c r="CL60" s="274"/>
      <c r="CM60" s="231"/>
      <c r="CN60" s="37">
        <v>-180568</v>
      </c>
      <c r="CO60" s="36"/>
      <c r="CP60" s="19"/>
      <c r="CQ60" s="274"/>
      <c r="CR60" s="231"/>
      <c r="CS60" s="37">
        <v>-213274</v>
      </c>
      <c r="CT60" s="36"/>
      <c r="CU60" s="19"/>
      <c r="CV60" s="274"/>
      <c r="CW60" s="231"/>
      <c r="CX60" s="37">
        <v>-513408</v>
      </c>
      <c r="CY60" s="36"/>
      <c r="CZ60" s="19"/>
      <c r="DA60" s="274"/>
      <c r="DB60" s="231"/>
      <c r="DC60" s="37">
        <v>-197239</v>
      </c>
      <c r="DD60" s="36"/>
      <c r="DE60" s="19"/>
      <c r="DF60" s="274"/>
      <c r="DG60" s="231"/>
      <c r="DH60" s="37">
        <v>0</v>
      </c>
      <c r="DI60" s="36"/>
      <c r="DJ60" s="19"/>
      <c r="DK60" s="274"/>
      <c r="DL60" s="231"/>
      <c r="DM60" s="37">
        <v>-347931</v>
      </c>
      <c r="DN60" s="36"/>
      <c r="DO60" s="19"/>
      <c r="DP60" s="274"/>
      <c r="DQ60" s="231"/>
      <c r="DR60" s="37">
        <v>-79844</v>
      </c>
      <c r="DS60" s="36"/>
      <c r="DT60" s="19"/>
      <c r="DU60" s="274"/>
      <c r="DV60" s="231"/>
      <c r="DW60" s="37">
        <v>-279324</v>
      </c>
      <c r="DX60" s="36"/>
      <c r="DY60" s="19"/>
      <c r="DZ60" s="274"/>
      <c r="EA60" s="231"/>
      <c r="EB60" s="37">
        <v>-508862</v>
      </c>
      <c r="EC60" s="36"/>
      <c r="ED60" s="19"/>
      <c r="EE60" s="274"/>
      <c r="EF60" s="231"/>
      <c r="EG60" s="37">
        <v>-381917</v>
      </c>
      <c r="EH60" s="36"/>
      <c r="EI60" s="19"/>
      <c r="EJ60" s="274"/>
      <c r="EK60" s="231"/>
      <c r="EL60" s="37">
        <f>SUM(CD60:EG60)</f>
        <v>-3228011</v>
      </c>
      <c r="EM60" s="36"/>
      <c r="EN60" s="19"/>
      <c r="EO60" s="244"/>
      <c r="ER60" s="451"/>
      <c r="ES60" s="451"/>
    </row>
    <row r="61" spans="4:149" x14ac:dyDescent="0.2">
      <c r="D61" s="244"/>
      <c r="E61" s="274"/>
      <c r="G61" s="19"/>
      <c r="H61" s="19"/>
      <c r="I61" s="19"/>
      <c r="J61" s="274"/>
      <c r="K61" s="19"/>
      <c r="L61" s="19"/>
      <c r="M61" s="19"/>
      <c r="N61" s="19"/>
      <c r="O61" s="274"/>
      <c r="P61" s="19"/>
      <c r="Q61" s="19"/>
      <c r="R61" s="19"/>
      <c r="S61" s="19"/>
      <c r="T61" s="274"/>
      <c r="U61" s="19"/>
      <c r="V61" s="19"/>
      <c r="W61" s="19"/>
      <c r="X61" s="19"/>
      <c r="Y61" s="274"/>
      <c r="Z61" s="19"/>
      <c r="AA61" s="19"/>
      <c r="AB61" s="19"/>
      <c r="AC61" s="19"/>
      <c r="AD61" s="274"/>
      <c r="AE61" s="19"/>
      <c r="AF61" s="19"/>
      <c r="AG61" s="19"/>
      <c r="AH61" s="19"/>
      <c r="AI61" s="274"/>
      <c r="AJ61" s="19"/>
      <c r="AK61" s="19"/>
      <c r="AL61" s="19"/>
      <c r="AM61" s="19"/>
      <c r="AN61" s="274"/>
      <c r="AO61" s="19"/>
      <c r="AP61" s="19"/>
      <c r="AQ61" s="19"/>
      <c r="AR61" s="19"/>
      <c r="AS61" s="274"/>
      <c r="AT61" s="19"/>
      <c r="AU61" s="19"/>
      <c r="AV61" s="19"/>
      <c r="AW61" s="19"/>
      <c r="AX61" s="274"/>
      <c r="AY61" s="19"/>
      <c r="AZ61" s="19"/>
      <c r="BA61" s="19"/>
      <c r="BB61" s="19"/>
      <c r="BC61" s="274"/>
      <c r="BD61" s="19"/>
      <c r="BE61" s="19"/>
      <c r="BF61" s="19"/>
      <c r="BG61" s="19"/>
      <c r="BH61" s="274"/>
      <c r="BI61" s="19"/>
      <c r="BJ61" s="19"/>
      <c r="BK61" s="19"/>
      <c r="BL61" s="19"/>
      <c r="BM61" s="274"/>
      <c r="BN61" s="19"/>
      <c r="BO61" s="19"/>
      <c r="BP61" s="19"/>
      <c r="BQ61" s="19"/>
      <c r="BR61" s="274"/>
      <c r="BS61" s="19"/>
      <c r="BT61" s="19"/>
      <c r="BU61" s="19"/>
      <c r="BV61" s="19"/>
      <c r="BW61" s="274"/>
      <c r="BX61" s="19"/>
      <c r="BY61" s="19"/>
      <c r="BZ61" s="19"/>
      <c r="CA61" s="19"/>
      <c r="CB61" s="274"/>
      <c r="CC61" s="19"/>
      <c r="CD61" s="19"/>
      <c r="CE61" s="19"/>
      <c r="CF61" s="19"/>
      <c r="CG61" s="274"/>
      <c r="CH61" s="19"/>
      <c r="CI61" s="19"/>
      <c r="CJ61" s="19"/>
      <c r="CK61" s="19"/>
      <c r="CL61" s="274"/>
      <c r="CM61" s="19"/>
      <c r="CN61" s="19"/>
      <c r="CO61" s="19"/>
      <c r="CP61" s="19"/>
      <c r="CQ61" s="274"/>
      <c r="CR61" s="19"/>
      <c r="CS61" s="19"/>
      <c r="CT61" s="19"/>
      <c r="CU61" s="19"/>
      <c r="CV61" s="274"/>
      <c r="CW61" s="19"/>
      <c r="CX61" s="19"/>
      <c r="CY61" s="19"/>
      <c r="CZ61" s="19"/>
      <c r="DA61" s="274"/>
      <c r="DB61" s="19"/>
      <c r="DC61" s="19"/>
      <c r="DD61" s="19"/>
      <c r="DE61" s="19"/>
      <c r="DF61" s="274"/>
      <c r="DG61" s="19"/>
      <c r="DH61" s="19"/>
      <c r="DI61" s="19"/>
      <c r="DJ61" s="19"/>
      <c r="DK61" s="274"/>
      <c r="DL61" s="19"/>
      <c r="DM61" s="19"/>
      <c r="DN61" s="19"/>
      <c r="DO61" s="19"/>
      <c r="DP61" s="274"/>
      <c r="DQ61" s="19"/>
      <c r="DR61" s="19"/>
      <c r="DS61" s="19"/>
      <c r="DT61" s="19"/>
      <c r="DU61" s="274"/>
      <c r="DV61" s="19"/>
      <c r="DW61" s="19"/>
      <c r="DX61" s="19"/>
      <c r="DY61" s="19"/>
      <c r="DZ61" s="274"/>
      <c r="EA61" s="19"/>
      <c r="EB61" s="19"/>
      <c r="EC61" s="19"/>
      <c r="ED61" s="19"/>
      <c r="EE61" s="274"/>
      <c r="EF61" s="19"/>
      <c r="EG61" s="19"/>
      <c r="EH61" s="19"/>
      <c r="EI61" s="19"/>
      <c r="EJ61" s="274"/>
      <c r="EK61" s="19"/>
      <c r="EL61" s="19"/>
      <c r="EM61" s="19"/>
      <c r="EN61" s="19"/>
      <c r="EO61" s="244"/>
      <c r="ER61" s="451"/>
      <c r="ES61" s="451"/>
    </row>
    <row r="62" spans="4:149" ht="12.75" hidden="1" customHeight="1" x14ac:dyDescent="0.2">
      <c r="D62" s="244" t="s">
        <v>356</v>
      </c>
      <c r="E62" s="274"/>
      <c r="G62" s="19">
        <f>SUM(G63:G66)</f>
        <v>0</v>
      </c>
      <c r="H62" s="19"/>
      <c r="I62" s="19"/>
      <c r="J62" s="274"/>
      <c r="K62" s="19"/>
      <c r="L62" s="19">
        <f>SUM(L63:L66)</f>
        <v>0</v>
      </c>
      <c r="M62" s="19"/>
      <c r="N62" s="19"/>
      <c r="O62" s="274"/>
      <c r="P62" s="19"/>
      <c r="Q62" s="19">
        <f>SUM(Q63:Q66)</f>
        <v>0</v>
      </c>
      <c r="R62" s="19"/>
      <c r="S62" s="19"/>
      <c r="T62" s="274"/>
      <c r="U62" s="19"/>
      <c r="V62" s="19">
        <f>SUM(V63:V66)</f>
        <v>0</v>
      </c>
      <c r="W62" s="19"/>
      <c r="X62" s="19"/>
      <c r="Y62" s="274"/>
      <c r="Z62" s="19"/>
      <c r="AA62" s="19">
        <f>SUM(AA63:AA66)</f>
        <v>0</v>
      </c>
      <c r="AB62" s="19"/>
      <c r="AC62" s="19"/>
      <c r="AD62" s="274"/>
      <c r="AE62" s="19"/>
      <c r="AF62" s="19">
        <f>SUM(AF63:AF66)</f>
        <v>0</v>
      </c>
      <c r="AG62" s="19"/>
      <c r="AH62" s="19"/>
      <c r="AI62" s="274"/>
      <c r="AJ62" s="19"/>
      <c r="AK62" s="19">
        <f>SUM(AK63:AK66)</f>
        <v>0</v>
      </c>
      <c r="AL62" s="19"/>
      <c r="AM62" s="19"/>
      <c r="AN62" s="274"/>
      <c r="AO62" s="19"/>
      <c r="AP62" s="19">
        <f>SUM(AP63:AP66)</f>
        <v>0</v>
      </c>
      <c r="AQ62" s="19"/>
      <c r="AR62" s="19"/>
      <c r="AS62" s="274"/>
      <c r="AT62" s="19"/>
      <c r="AU62" s="19">
        <f>SUM(AU63:AU66)</f>
        <v>0</v>
      </c>
      <c r="AV62" s="19"/>
      <c r="AW62" s="19"/>
      <c r="AX62" s="274"/>
      <c r="AY62" s="19"/>
      <c r="AZ62" s="19">
        <f>SUM(AZ63:AZ66)</f>
        <v>0</v>
      </c>
      <c r="BA62" s="19"/>
      <c r="BB62" s="19"/>
      <c r="BC62" s="274"/>
      <c r="BD62" s="19"/>
      <c r="BE62" s="19">
        <f>SUM(BE63:BE66)</f>
        <v>0</v>
      </c>
      <c r="BF62" s="19"/>
      <c r="BG62" s="19"/>
      <c r="BH62" s="274"/>
      <c r="BI62" s="19"/>
      <c r="BJ62" s="19">
        <f>SUM(BJ63:BJ66)</f>
        <v>0</v>
      </c>
      <c r="BK62" s="19"/>
      <c r="BL62" s="19"/>
      <c r="BM62" s="274"/>
      <c r="BN62" s="19"/>
      <c r="BO62" s="19">
        <f>SUM(BO63:BO66)</f>
        <v>0</v>
      </c>
      <c r="BP62" s="19"/>
      <c r="BQ62" s="19"/>
      <c r="BR62" s="274"/>
      <c r="BS62" s="19"/>
      <c r="BT62" s="19">
        <f>SUM(BT63:BT66)</f>
        <v>0</v>
      </c>
      <c r="BU62" s="19"/>
      <c r="BV62" s="19"/>
      <c r="BW62" s="274"/>
      <c r="BX62" s="19"/>
      <c r="BY62" s="19">
        <f>SUM(BY63:BY66)</f>
        <v>0</v>
      </c>
      <c r="BZ62" s="19"/>
      <c r="CA62" s="19"/>
      <c r="CB62" s="274"/>
      <c r="CC62" s="19"/>
      <c r="CD62" s="19">
        <f>SUM(CD63:CD66)</f>
        <v>0</v>
      </c>
      <c r="CE62" s="19"/>
      <c r="CF62" s="19"/>
      <c r="CG62" s="274"/>
      <c r="CH62" s="19"/>
      <c r="CI62" s="19">
        <f>SUM(CI63:CI66)</f>
        <v>0</v>
      </c>
      <c r="CJ62" s="19"/>
      <c r="CK62" s="19"/>
      <c r="CL62" s="274"/>
      <c r="CM62" s="19"/>
      <c r="CN62" s="19">
        <f>SUM(CN63:CN66)</f>
        <v>0</v>
      </c>
      <c r="CO62" s="19"/>
      <c r="CP62" s="19"/>
      <c r="CQ62" s="274"/>
      <c r="CR62" s="19"/>
      <c r="CS62" s="19">
        <f>SUM(CS63:CS66)</f>
        <v>0</v>
      </c>
      <c r="CT62" s="19"/>
      <c r="CU62" s="19"/>
      <c r="CV62" s="274"/>
      <c r="CW62" s="19"/>
      <c r="CX62" s="19">
        <f>SUM(CX63:CX66)</f>
        <v>0</v>
      </c>
      <c r="CY62" s="19"/>
      <c r="CZ62" s="19"/>
      <c r="DA62" s="274"/>
      <c r="DB62" s="19"/>
      <c r="DC62" s="19">
        <f>SUM(DC63:DC66)</f>
        <v>0</v>
      </c>
      <c r="DD62" s="19"/>
      <c r="DE62" s="19"/>
      <c r="DF62" s="274"/>
      <c r="DG62" s="19"/>
      <c r="DH62" s="19">
        <f>SUM(DH63:DH66)</f>
        <v>0</v>
      </c>
      <c r="DI62" s="19"/>
      <c r="DJ62" s="19"/>
      <c r="DK62" s="274"/>
      <c r="DL62" s="19"/>
      <c r="DM62" s="19">
        <f>SUM(DM63:DM66)</f>
        <v>0</v>
      </c>
      <c r="DN62" s="19"/>
      <c r="DO62" s="19"/>
      <c r="DP62" s="274"/>
      <c r="DQ62" s="19"/>
      <c r="DR62" s="19">
        <f>SUM(DR63:DR66)</f>
        <v>0</v>
      </c>
      <c r="DS62" s="19"/>
      <c r="DT62" s="19"/>
      <c r="DU62" s="274"/>
      <c r="DV62" s="19"/>
      <c r="DW62" s="19">
        <f>SUM(DW63:DW66)</f>
        <v>0</v>
      </c>
      <c r="DX62" s="19"/>
      <c r="DY62" s="19"/>
      <c r="DZ62" s="274"/>
      <c r="EA62" s="19"/>
      <c r="EB62" s="19">
        <f>SUM(EB63:EB66)</f>
        <v>0</v>
      </c>
      <c r="EC62" s="19"/>
      <c r="ED62" s="19"/>
      <c r="EE62" s="274"/>
      <c r="EF62" s="19"/>
      <c r="EG62" s="19">
        <f>SUM(EG63:EG66)</f>
        <v>0</v>
      </c>
      <c r="EH62" s="19"/>
      <c r="EI62" s="19"/>
      <c r="EJ62" s="274"/>
      <c r="EK62" s="19"/>
      <c r="EL62" s="19">
        <f>SUM(EL63:EL66)</f>
        <v>0</v>
      </c>
      <c r="EM62" s="19"/>
      <c r="EN62" s="19"/>
      <c r="EO62" s="244"/>
      <c r="ER62" s="451"/>
      <c r="ES62" s="451"/>
    </row>
    <row r="63" spans="4:149" ht="12.75" hidden="1" customHeight="1" x14ac:dyDescent="0.2">
      <c r="D63" s="244" t="s">
        <v>344</v>
      </c>
      <c r="E63" s="274"/>
      <c r="F63" s="112"/>
      <c r="G63" s="374">
        <v>0</v>
      </c>
      <c r="H63" s="475"/>
      <c r="I63" s="19"/>
      <c r="J63" s="274"/>
      <c r="K63" s="173"/>
      <c r="L63" s="374">
        <v>0</v>
      </c>
      <c r="M63" s="475"/>
      <c r="N63" s="19"/>
      <c r="O63" s="274"/>
      <c r="P63" s="173"/>
      <c r="Q63" s="374">
        <v>0</v>
      </c>
      <c r="R63" s="475"/>
      <c r="S63" s="19"/>
      <c r="T63" s="274"/>
      <c r="U63" s="173"/>
      <c r="V63" s="374">
        <v>0</v>
      </c>
      <c r="W63" s="475"/>
      <c r="X63" s="19"/>
      <c r="Y63" s="274"/>
      <c r="Z63" s="173"/>
      <c r="AA63" s="374">
        <v>0</v>
      </c>
      <c r="AB63" s="475"/>
      <c r="AC63" s="19"/>
      <c r="AD63" s="274"/>
      <c r="AE63" s="173"/>
      <c r="AF63" s="374">
        <v>0</v>
      </c>
      <c r="AG63" s="475"/>
      <c r="AH63" s="19"/>
      <c r="AI63" s="274"/>
      <c r="AJ63" s="173"/>
      <c r="AK63" s="374">
        <v>0</v>
      </c>
      <c r="AL63" s="475"/>
      <c r="AM63" s="19"/>
      <c r="AN63" s="274"/>
      <c r="AO63" s="173"/>
      <c r="AP63" s="374">
        <v>0</v>
      </c>
      <c r="AQ63" s="475"/>
      <c r="AR63" s="19"/>
      <c r="AS63" s="274"/>
      <c r="AT63" s="173"/>
      <c r="AU63" s="374">
        <v>0</v>
      </c>
      <c r="AV63" s="475"/>
      <c r="AW63" s="19"/>
      <c r="AX63" s="274"/>
      <c r="AY63" s="173"/>
      <c r="AZ63" s="374">
        <v>0</v>
      </c>
      <c r="BA63" s="475"/>
      <c r="BB63" s="19"/>
      <c r="BC63" s="274"/>
      <c r="BD63" s="173"/>
      <c r="BE63" s="374">
        <v>0</v>
      </c>
      <c r="BF63" s="475"/>
      <c r="BG63" s="19"/>
      <c r="BH63" s="274"/>
      <c r="BI63" s="173"/>
      <c r="BJ63" s="374">
        <v>0</v>
      </c>
      <c r="BK63" s="475"/>
      <c r="BL63" s="19"/>
      <c r="BM63" s="274"/>
      <c r="BN63" s="173"/>
      <c r="BO63" s="374">
        <v>0</v>
      </c>
      <c r="BP63" s="475"/>
      <c r="BQ63" s="19"/>
      <c r="BR63" s="274"/>
      <c r="BS63" s="173"/>
      <c r="BT63" s="374">
        <f>SUM(L63:BO63)</f>
        <v>0</v>
      </c>
      <c r="BU63" s="475"/>
      <c r="BV63" s="19"/>
      <c r="BW63" s="274"/>
      <c r="BX63" s="173"/>
      <c r="BY63" s="374">
        <f>SUM(Q63:BT63)</f>
        <v>0</v>
      </c>
      <c r="BZ63" s="475"/>
      <c r="CA63" s="19"/>
      <c r="CB63" s="274"/>
      <c r="CC63" s="173"/>
      <c r="CD63" s="374">
        <v>0</v>
      </c>
      <c r="CE63" s="475"/>
      <c r="CF63" s="19"/>
      <c r="CG63" s="274"/>
      <c r="CH63" s="173"/>
      <c r="CI63" s="374">
        <v>0</v>
      </c>
      <c r="CJ63" s="475"/>
      <c r="CK63" s="19"/>
      <c r="CL63" s="274"/>
      <c r="CM63" s="173"/>
      <c r="CN63" s="374">
        <v>0</v>
      </c>
      <c r="CO63" s="475"/>
      <c r="CP63" s="19"/>
      <c r="CQ63" s="274"/>
      <c r="CR63" s="173"/>
      <c r="CS63" s="374">
        <v>0</v>
      </c>
      <c r="CT63" s="475"/>
      <c r="CU63" s="19"/>
      <c r="CV63" s="274"/>
      <c r="CW63" s="173"/>
      <c r="CX63" s="374">
        <v>0</v>
      </c>
      <c r="CY63" s="475"/>
      <c r="CZ63" s="19"/>
      <c r="DA63" s="274"/>
      <c r="DB63" s="173"/>
      <c r="DC63" s="374">
        <v>0</v>
      </c>
      <c r="DD63" s="475"/>
      <c r="DE63" s="19"/>
      <c r="DF63" s="274"/>
      <c r="DG63" s="173"/>
      <c r="DH63" s="374">
        <v>0</v>
      </c>
      <c r="DI63" s="475"/>
      <c r="DJ63" s="19"/>
      <c r="DK63" s="274"/>
      <c r="DL63" s="173"/>
      <c r="DM63" s="374">
        <v>0</v>
      </c>
      <c r="DN63" s="475"/>
      <c r="DO63" s="19"/>
      <c r="DP63" s="274"/>
      <c r="DQ63" s="173"/>
      <c r="DR63" s="374">
        <v>0</v>
      </c>
      <c r="DS63" s="475"/>
      <c r="DT63" s="19"/>
      <c r="DU63" s="274"/>
      <c r="DV63" s="173"/>
      <c r="DW63" s="374">
        <v>0</v>
      </c>
      <c r="DX63" s="475"/>
      <c r="DY63" s="19"/>
      <c r="DZ63" s="274"/>
      <c r="EA63" s="173"/>
      <c r="EB63" s="374">
        <v>0</v>
      </c>
      <c r="EC63" s="475"/>
      <c r="ED63" s="19"/>
      <c r="EE63" s="274"/>
      <c r="EF63" s="173"/>
      <c r="EG63" s="374">
        <v>0</v>
      </c>
      <c r="EH63" s="475"/>
      <c r="EI63" s="19"/>
      <c r="EJ63" s="274"/>
      <c r="EK63" s="173"/>
      <c r="EL63" s="374">
        <f>SUM(CD63:EG63)</f>
        <v>0</v>
      </c>
      <c r="EM63" s="475"/>
      <c r="EN63" s="19"/>
      <c r="EO63" s="244"/>
      <c r="ER63" s="451"/>
      <c r="ES63" s="451"/>
    </row>
    <row r="64" spans="4:149" ht="12.75" hidden="1" customHeight="1" x14ac:dyDescent="0.2">
      <c r="D64" s="244" t="s">
        <v>346</v>
      </c>
      <c r="E64" s="274"/>
      <c r="F64" s="82"/>
      <c r="G64" s="19">
        <v>0</v>
      </c>
      <c r="H64" s="18"/>
      <c r="I64" s="19"/>
      <c r="J64" s="274"/>
      <c r="K64" s="274"/>
      <c r="L64" s="19">
        <v>0</v>
      </c>
      <c r="M64" s="18"/>
      <c r="N64" s="19"/>
      <c r="O64" s="274"/>
      <c r="P64" s="274"/>
      <c r="Q64" s="19">
        <v>0</v>
      </c>
      <c r="R64" s="18"/>
      <c r="S64" s="19"/>
      <c r="T64" s="274"/>
      <c r="U64" s="274"/>
      <c r="V64" s="19">
        <v>0</v>
      </c>
      <c r="W64" s="18"/>
      <c r="X64" s="19"/>
      <c r="Y64" s="274"/>
      <c r="Z64" s="274"/>
      <c r="AA64" s="19">
        <v>0</v>
      </c>
      <c r="AB64" s="18"/>
      <c r="AC64" s="19"/>
      <c r="AD64" s="274"/>
      <c r="AE64" s="274"/>
      <c r="AF64" s="19">
        <v>0</v>
      </c>
      <c r="AG64" s="18"/>
      <c r="AH64" s="19"/>
      <c r="AI64" s="274"/>
      <c r="AJ64" s="274"/>
      <c r="AK64" s="19">
        <v>0</v>
      </c>
      <c r="AL64" s="18"/>
      <c r="AM64" s="19"/>
      <c r="AN64" s="274"/>
      <c r="AO64" s="274"/>
      <c r="AP64" s="19">
        <v>0</v>
      </c>
      <c r="AQ64" s="18"/>
      <c r="AR64" s="19"/>
      <c r="AS64" s="274"/>
      <c r="AT64" s="274"/>
      <c r="AU64" s="19">
        <v>0</v>
      </c>
      <c r="AV64" s="18"/>
      <c r="AW64" s="19"/>
      <c r="AX64" s="274"/>
      <c r="AY64" s="274"/>
      <c r="AZ64" s="19">
        <v>0</v>
      </c>
      <c r="BA64" s="18"/>
      <c r="BB64" s="19"/>
      <c r="BC64" s="274"/>
      <c r="BD64" s="274"/>
      <c r="BE64" s="19">
        <v>0</v>
      </c>
      <c r="BF64" s="18"/>
      <c r="BG64" s="19"/>
      <c r="BH64" s="274"/>
      <c r="BI64" s="274"/>
      <c r="BJ64" s="19">
        <v>0</v>
      </c>
      <c r="BK64" s="18"/>
      <c r="BL64" s="19"/>
      <c r="BM64" s="274"/>
      <c r="BN64" s="274"/>
      <c r="BO64" s="19">
        <v>0</v>
      </c>
      <c r="BP64" s="18"/>
      <c r="BQ64" s="19"/>
      <c r="BR64" s="274"/>
      <c r="BS64" s="274"/>
      <c r="BT64" s="19">
        <f>SUM(L64:BO64)</f>
        <v>0</v>
      </c>
      <c r="BU64" s="18"/>
      <c r="BV64" s="19"/>
      <c r="BW64" s="274"/>
      <c r="BX64" s="274"/>
      <c r="BY64" s="19">
        <f>SUM(Q64:BT64)</f>
        <v>0</v>
      </c>
      <c r="BZ64" s="18"/>
      <c r="CA64" s="19"/>
      <c r="CB64" s="274"/>
      <c r="CC64" s="274"/>
      <c r="CD64" s="19">
        <v>0</v>
      </c>
      <c r="CE64" s="18"/>
      <c r="CF64" s="19"/>
      <c r="CG64" s="274"/>
      <c r="CH64" s="274"/>
      <c r="CI64" s="19">
        <v>0</v>
      </c>
      <c r="CJ64" s="18"/>
      <c r="CK64" s="19"/>
      <c r="CL64" s="274"/>
      <c r="CM64" s="274"/>
      <c r="CN64" s="19">
        <v>0</v>
      </c>
      <c r="CO64" s="18"/>
      <c r="CP64" s="19"/>
      <c r="CQ64" s="274"/>
      <c r="CR64" s="274"/>
      <c r="CS64" s="19">
        <v>0</v>
      </c>
      <c r="CT64" s="18"/>
      <c r="CU64" s="19"/>
      <c r="CV64" s="274"/>
      <c r="CW64" s="274"/>
      <c r="CX64" s="19">
        <v>0</v>
      </c>
      <c r="CY64" s="18"/>
      <c r="CZ64" s="19"/>
      <c r="DA64" s="274"/>
      <c r="DB64" s="274"/>
      <c r="DC64" s="19">
        <v>0</v>
      </c>
      <c r="DD64" s="18"/>
      <c r="DE64" s="19"/>
      <c r="DF64" s="274"/>
      <c r="DG64" s="274"/>
      <c r="DH64" s="19">
        <v>0</v>
      </c>
      <c r="DI64" s="18"/>
      <c r="DJ64" s="19"/>
      <c r="DK64" s="274"/>
      <c r="DL64" s="274"/>
      <c r="DM64" s="19">
        <v>0</v>
      </c>
      <c r="DN64" s="18"/>
      <c r="DO64" s="19"/>
      <c r="DP64" s="274"/>
      <c r="DQ64" s="274"/>
      <c r="DR64" s="19">
        <v>0</v>
      </c>
      <c r="DS64" s="18"/>
      <c r="DT64" s="19"/>
      <c r="DU64" s="274"/>
      <c r="DV64" s="274"/>
      <c r="DW64" s="19">
        <v>0</v>
      </c>
      <c r="DX64" s="18"/>
      <c r="DY64" s="19"/>
      <c r="DZ64" s="274"/>
      <c r="EA64" s="274"/>
      <c r="EB64" s="19">
        <v>0</v>
      </c>
      <c r="EC64" s="18"/>
      <c r="ED64" s="19"/>
      <c r="EE64" s="274"/>
      <c r="EF64" s="274"/>
      <c r="EG64" s="19">
        <v>0</v>
      </c>
      <c r="EH64" s="18"/>
      <c r="EI64" s="19"/>
      <c r="EJ64" s="274"/>
      <c r="EK64" s="274"/>
      <c r="EL64" s="19">
        <f>SUM(CD64:EG64)</f>
        <v>0</v>
      </c>
      <c r="EM64" s="18"/>
      <c r="EN64" s="19"/>
      <c r="EO64" s="244"/>
      <c r="ER64" s="451"/>
      <c r="ES64" s="451"/>
    </row>
    <row r="65" spans="4:149" ht="12.75" hidden="1" customHeight="1" x14ac:dyDescent="0.2">
      <c r="D65" s="244" t="s">
        <v>347</v>
      </c>
      <c r="E65" s="274"/>
      <c r="F65" s="82"/>
      <c r="G65" s="19">
        <v>0</v>
      </c>
      <c r="H65" s="18"/>
      <c r="I65" s="19"/>
      <c r="J65" s="274"/>
      <c r="K65" s="274"/>
      <c r="L65" s="19">
        <v>0</v>
      </c>
      <c r="M65" s="18"/>
      <c r="N65" s="19"/>
      <c r="O65" s="274"/>
      <c r="P65" s="274"/>
      <c r="Q65" s="19">
        <v>0</v>
      </c>
      <c r="R65" s="18"/>
      <c r="S65" s="19"/>
      <c r="T65" s="274"/>
      <c r="U65" s="274"/>
      <c r="V65" s="19">
        <v>0</v>
      </c>
      <c r="W65" s="18"/>
      <c r="X65" s="19"/>
      <c r="Y65" s="274"/>
      <c r="Z65" s="274"/>
      <c r="AA65" s="19">
        <v>0</v>
      </c>
      <c r="AB65" s="18"/>
      <c r="AC65" s="19"/>
      <c r="AD65" s="274"/>
      <c r="AE65" s="274"/>
      <c r="AF65" s="19">
        <v>0</v>
      </c>
      <c r="AG65" s="18"/>
      <c r="AH65" s="19"/>
      <c r="AI65" s="274"/>
      <c r="AJ65" s="274"/>
      <c r="AK65" s="19">
        <v>0</v>
      </c>
      <c r="AL65" s="18"/>
      <c r="AM65" s="19"/>
      <c r="AN65" s="274"/>
      <c r="AO65" s="274"/>
      <c r="AP65" s="19">
        <v>0</v>
      </c>
      <c r="AQ65" s="18"/>
      <c r="AR65" s="19"/>
      <c r="AS65" s="274"/>
      <c r="AT65" s="274"/>
      <c r="AU65" s="19">
        <v>0</v>
      </c>
      <c r="AV65" s="18"/>
      <c r="AW65" s="19"/>
      <c r="AX65" s="274"/>
      <c r="AY65" s="274"/>
      <c r="AZ65" s="19">
        <v>0</v>
      </c>
      <c r="BA65" s="18"/>
      <c r="BB65" s="19"/>
      <c r="BC65" s="274"/>
      <c r="BD65" s="274"/>
      <c r="BE65" s="19">
        <v>0</v>
      </c>
      <c r="BF65" s="18"/>
      <c r="BG65" s="19"/>
      <c r="BH65" s="274"/>
      <c r="BI65" s="274"/>
      <c r="BJ65" s="19">
        <v>0</v>
      </c>
      <c r="BK65" s="18"/>
      <c r="BL65" s="19"/>
      <c r="BM65" s="274"/>
      <c r="BN65" s="274"/>
      <c r="BO65" s="19">
        <v>0</v>
      </c>
      <c r="BP65" s="18"/>
      <c r="BQ65" s="19"/>
      <c r="BR65" s="274"/>
      <c r="BS65" s="274"/>
      <c r="BT65" s="19">
        <f>SUM(L65:BO65)</f>
        <v>0</v>
      </c>
      <c r="BU65" s="18"/>
      <c r="BV65" s="19"/>
      <c r="BW65" s="274"/>
      <c r="BX65" s="274"/>
      <c r="BY65" s="19">
        <f>SUM(Q65:BT65)</f>
        <v>0</v>
      </c>
      <c r="BZ65" s="18"/>
      <c r="CA65" s="19"/>
      <c r="CB65" s="274"/>
      <c r="CC65" s="274"/>
      <c r="CD65" s="19">
        <v>0</v>
      </c>
      <c r="CE65" s="18"/>
      <c r="CF65" s="19"/>
      <c r="CG65" s="274"/>
      <c r="CH65" s="274"/>
      <c r="CI65" s="19">
        <v>0</v>
      </c>
      <c r="CJ65" s="18"/>
      <c r="CK65" s="19"/>
      <c r="CL65" s="274"/>
      <c r="CM65" s="274"/>
      <c r="CN65" s="19">
        <v>0</v>
      </c>
      <c r="CO65" s="18"/>
      <c r="CP65" s="19"/>
      <c r="CQ65" s="274"/>
      <c r="CR65" s="274"/>
      <c r="CS65" s="19">
        <v>0</v>
      </c>
      <c r="CT65" s="18"/>
      <c r="CU65" s="19"/>
      <c r="CV65" s="274"/>
      <c r="CW65" s="274"/>
      <c r="CX65" s="19">
        <v>0</v>
      </c>
      <c r="CY65" s="18"/>
      <c r="CZ65" s="19"/>
      <c r="DA65" s="274"/>
      <c r="DB65" s="274"/>
      <c r="DC65" s="19">
        <v>0</v>
      </c>
      <c r="DD65" s="18"/>
      <c r="DE65" s="19"/>
      <c r="DF65" s="274"/>
      <c r="DG65" s="274"/>
      <c r="DH65" s="19">
        <v>0</v>
      </c>
      <c r="DI65" s="18"/>
      <c r="DJ65" s="19"/>
      <c r="DK65" s="274"/>
      <c r="DL65" s="274"/>
      <c r="DM65" s="19">
        <v>0</v>
      </c>
      <c r="DN65" s="18"/>
      <c r="DO65" s="19"/>
      <c r="DP65" s="274"/>
      <c r="DQ65" s="274"/>
      <c r="DR65" s="19">
        <v>0</v>
      </c>
      <c r="DS65" s="18"/>
      <c r="DT65" s="19"/>
      <c r="DU65" s="274"/>
      <c r="DV65" s="274"/>
      <c r="DW65" s="19">
        <v>0</v>
      </c>
      <c r="DX65" s="18"/>
      <c r="DY65" s="19"/>
      <c r="DZ65" s="274"/>
      <c r="EA65" s="274"/>
      <c r="EB65" s="19">
        <v>0</v>
      </c>
      <c r="EC65" s="18"/>
      <c r="ED65" s="19"/>
      <c r="EE65" s="274"/>
      <c r="EF65" s="274"/>
      <c r="EG65" s="19">
        <v>0</v>
      </c>
      <c r="EH65" s="18"/>
      <c r="EI65" s="19"/>
      <c r="EJ65" s="274"/>
      <c r="EK65" s="274"/>
      <c r="EL65" s="19">
        <f>SUM(CD65:EG65)</f>
        <v>0</v>
      </c>
      <c r="EM65" s="18"/>
      <c r="EN65" s="19"/>
      <c r="EO65" s="244"/>
      <c r="ER65" s="451"/>
      <c r="ES65" s="451"/>
    </row>
    <row r="66" spans="4:149" ht="12.75" hidden="1" customHeight="1" x14ac:dyDescent="0.2">
      <c r="D66" s="244" t="s">
        <v>348</v>
      </c>
      <c r="E66" s="274"/>
      <c r="F66" s="276"/>
      <c r="G66" s="37">
        <v>0</v>
      </c>
      <c r="H66" s="36"/>
      <c r="I66" s="19"/>
      <c r="J66" s="274"/>
      <c r="K66" s="231"/>
      <c r="L66" s="37">
        <v>0</v>
      </c>
      <c r="M66" s="36"/>
      <c r="N66" s="19"/>
      <c r="O66" s="274"/>
      <c r="P66" s="231"/>
      <c r="Q66" s="37">
        <v>0</v>
      </c>
      <c r="R66" s="36"/>
      <c r="S66" s="19"/>
      <c r="T66" s="274"/>
      <c r="U66" s="231"/>
      <c r="V66" s="37">
        <v>0</v>
      </c>
      <c r="W66" s="36"/>
      <c r="X66" s="19"/>
      <c r="Y66" s="274"/>
      <c r="Z66" s="231"/>
      <c r="AA66" s="37">
        <v>0</v>
      </c>
      <c r="AB66" s="36"/>
      <c r="AC66" s="19"/>
      <c r="AD66" s="274"/>
      <c r="AE66" s="231"/>
      <c r="AF66" s="37">
        <v>0</v>
      </c>
      <c r="AG66" s="36"/>
      <c r="AH66" s="19"/>
      <c r="AI66" s="274"/>
      <c r="AJ66" s="231"/>
      <c r="AK66" s="37">
        <v>0</v>
      </c>
      <c r="AL66" s="36"/>
      <c r="AM66" s="19"/>
      <c r="AN66" s="274"/>
      <c r="AO66" s="231"/>
      <c r="AP66" s="37">
        <v>0</v>
      </c>
      <c r="AQ66" s="36"/>
      <c r="AR66" s="19"/>
      <c r="AS66" s="274"/>
      <c r="AT66" s="231"/>
      <c r="AU66" s="37">
        <v>0</v>
      </c>
      <c r="AV66" s="36"/>
      <c r="AW66" s="19"/>
      <c r="AX66" s="274"/>
      <c r="AY66" s="231"/>
      <c r="AZ66" s="37">
        <v>0</v>
      </c>
      <c r="BA66" s="36"/>
      <c r="BB66" s="19"/>
      <c r="BC66" s="274"/>
      <c r="BD66" s="231"/>
      <c r="BE66" s="37">
        <v>0</v>
      </c>
      <c r="BF66" s="36"/>
      <c r="BG66" s="19"/>
      <c r="BH66" s="274"/>
      <c r="BI66" s="231"/>
      <c r="BJ66" s="37">
        <v>0</v>
      </c>
      <c r="BK66" s="36"/>
      <c r="BL66" s="19"/>
      <c r="BM66" s="274"/>
      <c r="BN66" s="231"/>
      <c r="BO66" s="37">
        <v>0</v>
      </c>
      <c r="BP66" s="36"/>
      <c r="BQ66" s="19"/>
      <c r="BR66" s="274"/>
      <c r="BS66" s="231"/>
      <c r="BT66" s="37">
        <f>SUM(L66:BO66)</f>
        <v>0</v>
      </c>
      <c r="BU66" s="36"/>
      <c r="BV66" s="19"/>
      <c r="BW66" s="274"/>
      <c r="BX66" s="231"/>
      <c r="BY66" s="37">
        <f>SUM(Q66:BT66)</f>
        <v>0</v>
      </c>
      <c r="BZ66" s="36"/>
      <c r="CA66" s="19"/>
      <c r="CB66" s="274"/>
      <c r="CC66" s="231"/>
      <c r="CD66" s="37">
        <v>0</v>
      </c>
      <c r="CE66" s="36"/>
      <c r="CF66" s="19"/>
      <c r="CG66" s="274"/>
      <c r="CH66" s="231"/>
      <c r="CI66" s="37">
        <v>0</v>
      </c>
      <c r="CJ66" s="36"/>
      <c r="CK66" s="19"/>
      <c r="CL66" s="274"/>
      <c r="CM66" s="231"/>
      <c r="CN66" s="37">
        <v>0</v>
      </c>
      <c r="CO66" s="36"/>
      <c r="CP66" s="19"/>
      <c r="CQ66" s="274"/>
      <c r="CR66" s="231"/>
      <c r="CS66" s="37">
        <v>0</v>
      </c>
      <c r="CT66" s="36"/>
      <c r="CU66" s="19"/>
      <c r="CV66" s="274"/>
      <c r="CW66" s="231"/>
      <c r="CX66" s="37">
        <v>0</v>
      </c>
      <c r="CY66" s="36"/>
      <c r="CZ66" s="19"/>
      <c r="DA66" s="274"/>
      <c r="DB66" s="231"/>
      <c r="DC66" s="37">
        <v>0</v>
      </c>
      <c r="DD66" s="36"/>
      <c r="DE66" s="19"/>
      <c r="DF66" s="274"/>
      <c r="DG66" s="231"/>
      <c r="DH66" s="37">
        <v>0</v>
      </c>
      <c r="DI66" s="36"/>
      <c r="DJ66" s="19"/>
      <c r="DK66" s="274"/>
      <c r="DL66" s="231"/>
      <c r="DM66" s="37">
        <v>0</v>
      </c>
      <c r="DN66" s="36"/>
      <c r="DO66" s="19"/>
      <c r="DP66" s="274"/>
      <c r="DQ66" s="231"/>
      <c r="DR66" s="37">
        <v>0</v>
      </c>
      <c r="DS66" s="36"/>
      <c r="DT66" s="19"/>
      <c r="DU66" s="274"/>
      <c r="DV66" s="231"/>
      <c r="DW66" s="37">
        <v>0</v>
      </c>
      <c r="DX66" s="36"/>
      <c r="DY66" s="19"/>
      <c r="DZ66" s="274"/>
      <c r="EA66" s="231"/>
      <c r="EB66" s="37">
        <v>0</v>
      </c>
      <c r="EC66" s="36"/>
      <c r="ED66" s="19"/>
      <c r="EE66" s="274"/>
      <c r="EF66" s="231"/>
      <c r="EG66" s="37">
        <v>0</v>
      </c>
      <c r="EH66" s="36"/>
      <c r="EI66" s="19"/>
      <c r="EJ66" s="274"/>
      <c r="EK66" s="231"/>
      <c r="EL66" s="37">
        <f>SUM(CD66:EG66)</f>
        <v>0</v>
      </c>
      <c r="EM66" s="36"/>
      <c r="EN66" s="19"/>
      <c r="EO66" s="244"/>
      <c r="ER66" s="451"/>
      <c r="ES66" s="451"/>
    </row>
    <row r="67" spans="4:149" ht="12.75" hidden="1" customHeight="1" x14ac:dyDescent="0.2">
      <c r="D67" s="244"/>
      <c r="E67" s="274"/>
      <c r="G67" s="19"/>
      <c r="H67" s="19"/>
      <c r="I67" s="19"/>
      <c r="J67" s="274"/>
      <c r="K67" s="19"/>
      <c r="L67" s="19"/>
      <c r="M67" s="19"/>
      <c r="N67" s="19"/>
      <c r="O67" s="274"/>
      <c r="P67" s="19"/>
      <c r="Q67" s="19"/>
      <c r="R67" s="19"/>
      <c r="S67" s="19"/>
      <c r="T67" s="274"/>
      <c r="U67" s="19"/>
      <c r="V67" s="19"/>
      <c r="W67" s="19"/>
      <c r="X67" s="19"/>
      <c r="Y67" s="274"/>
      <c r="Z67" s="19"/>
      <c r="AA67" s="19"/>
      <c r="AB67" s="19"/>
      <c r="AC67" s="19"/>
      <c r="AD67" s="274"/>
      <c r="AE67" s="19"/>
      <c r="AF67" s="19"/>
      <c r="AG67" s="19"/>
      <c r="AH67" s="19"/>
      <c r="AI67" s="274"/>
      <c r="AJ67" s="19"/>
      <c r="AK67" s="19"/>
      <c r="AL67" s="19"/>
      <c r="AM67" s="19"/>
      <c r="AN67" s="274"/>
      <c r="AO67" s="19"/>
      <c r="AP67" s="19"/>
      <c r="AQ67" s="19"/>
      <c r="AR67" s="19"/>
      <c r="AS67" s="274"/>
      <c r="AT67" s="19"/>
      <c r="AU67" s="19"/>
      <c r="AV67" s="19"/>
      <c r="AW67" s="19"/>
      <c r="AX67" s="274"/>
      <c r="AY67" s="19"/>
      <c r="AZ67" s="19"/>
      <c r="BA67" s="19"/>
      <c r="BB67" s="19"/>
      <c r="BC67" s="274"/>
      <c r="BD67" s="19"/>
      <c r="BE67" s="19"/>
      <c r="BF67" s="19"/>
      <c r="BG67" s="19"/>
      <c r="BH67" s="274"/>
      <c r="BI67" s="19"/>
      <c r="BJ67" s="19"/>
      <c r="BK67" s="19"/>
      <c r="BL67" s="19"/>
      <c r="BM67" s="274"/>
      <c r="BN67" s="19"/>
      <c r="BO67" s="19"/>
      <c r="BP67" s="19"/>
      <c r="BQ67" s="19"/>
      <c r="BR67" s="274"/>
      <c r="BS67" s="19"/>
      <c r="BT67" s="19"/>
      <c r="BU67" s="19"/>
      <c r="BV67" s="19"/>
      <c r="BW67" s="274"/>
      <c r="BX67" s="19"/>
      <c r="BY67" s="19"/>
      <c r="BZ67" s="19"/>
      <c r="CA67" s="19"/>
      <c r="CB67" s="274"/>
      <c r="CC67" s="19"/>
      <c r="CD67" s="19"/>
      <c r="CE67" s="19"/>
      <c r="CF67" s="19"/>
      <c r="CG67" s="274"/>
      <c r="CH67" s="19"/>
      <c r="CI67" s="19"/>
      <c r="CJ67" s="19"/>
      <c r="CK67" s="19"/>
      <c r="CL67" s="274"/>
      <c r="CM67" s="19"/>
      <c r="CN67" s="19"/>
      <c r="CO67" s="19"/>
      <c r="CP67" s="19"/>
      <c r="CQ67" s="274"/>
      <c r="CR67" s="19"/>
      <c r="CS67" s="19"/>
      <c r="CT67" s="19"/>
      <c r="CU67" s="19"/>
      <c r="CV67" s="274"/>
      <c r="CW67" s="19"/>
      <c r="CX67" s="19"/>
      <c r="CY67" s="19"/>
      <c r="CZ67" s="19"/>
      <c r="DA67" s="274"/>
      <c r="DB67" s="19"/>
      <c r="DC67" s="19"/>
      <c r="DD67" s="19"/>
      <c r="DE67" s="19"/>
      <c r="DF67" s="274"/>
      <c r="DG67" s="19"/>
      <c r="DH67" s="19"/>
      <c r="DI67" s="19"/>
      <c r="DJ67" s="19"/>
      <c r="DK67" s="274"/>
      <c r="DL67" s="19"/>
      <c r="DM67" s="19"/>
      <c r="DN67" s="19"/>
      <c r="DO67" s="19"/>
      <c r="DP67" s="274"/>
      <c r="DQ67" s="19"/>
      <c r="DR67" s="19"/>
      <c r="DS67" s="19"/>
      <c r="DT67" s="19"/>
      <c r="DU67" s="274"/>
      <c r="DV67" s="19"/>
      <c r="DW67" s="19"/>
      <c r="DX67" s="19"/>
      <c r="DY67" s="19"/>
      <c r="DZ67" s="274"/>
      <c r="EA67" s="19"/>
      <c r="EB67" s="19"/>
      <c r="EC67" s="19"/>
      <c r="ED67" s="19"/>
      <c r="EE67" s="274"/>
      <c r="EF67" s="19"/>
      <c r="EG67" s="19"/>
      <c r="EH67" s="19"/>
      <c r="EI67" s="19"/>
      <c r="EJ67" s="274"/>
      <c r="EK67" s="19"/>
      <c r="EL67" s="19"/>
      <c r="EM67" s="19"/>
      <c r="EN67" s="19"/>
      <c r="EO67" s="244"/>
      <c r="ER67" s="451"/>
      <c r="ES67" s="451"/>
    </row>
    <row r="68" spans="4:149" ht="12.75" customHeight="1" x14ac:dyDescent="0.2">
      <c r="D68" s="244" t="s">
        <v>357</v>
      </c>
      <c r="E68" s="274"/>
      <c r="G68" s="19">
        <f>SUM(G69:G72)</f>
        <v>0</v>
      </c>
      <c r="H68" s="19"/>
      <c r="I68" s="19"/>
      <c r="J68" s="274"/>
      <c r="K68" s="19"/>
      <c r="L68" s="19">
        <f>SUM(L69:L72)</f>
        <v>0</v>
      </c>
      <c r="M68" s="19"/>
      <c r="N68" s="19"/>
      <c r="O68" s="274"/>
      <c r="P68" s="19"/>
      <c r="Q68" s="19">
        <f>SUM(Q69:Q72)</f>
        <v>0</v>
      </c>
      <c r="R68" s="19"/>
      <c r="S68" s="19"/>
      <c r="T68" s="274"/>
      <c r="U68" s="19"/>
      <c r="V68" s="19">
        <f>SUM(V69:V72)</f>
        <v>297021</v>
      </c>
      <c r="W68" s="19"/>
      <c r="X68" s="19"/>
      <c r="Y68" s="274"/>
      <c r="Z68" s="19"/>
      <c r="AA68" s="19">
        <f>SUM(AA69:AA72)</f>
        <v>854761</v>
      </c>
      <c r="AB68" s="19"/>
      <c r="AC68" s="19"/>
      <c r="AD68" s="274"/>
      <c r="AE68" s="19"/>
      <c r="AF68" s="19">
        <f>SUM(AF69:AF72)</f>
        <v>1016515</v>
      </c>
      <c r="AG68" s="19"/>
      <c r="AH68" s="19"/>
      <c r="AI68" s="274"/>
      <c r="AJ68" s="19"/>
      <c r="AK68" s="19">
        <f>SUM(AK69:AK72)</f>
        <v>816649</v>
      </c>
      <c r="AL68" s="19"/>
      <c r="AM68" s="19"/>
      <c r="AN68" s="274"/>
      <c r="AO68" s="19"/>
      <c r="AP68" s="19">
        <f>SUM(AP69:AP72)</f>
        <v>1476452</v>
      </c>
      <c r="AQ68" s="19"/>
      <c r="AR68" s="19"/>
      <c r="AS68" s="274"/>
      <c r="AT68" s="19"/>
      <c r="AU68" s="19">
        <f>SUM(AU69:AU72)</f>
        <v>1092190</v>
      </c>
      <c r="AV68" s="19"/>
      <c r="AW68" s="19"/>
      <c r="AX68" s="274"/>
      <c r="AY68" s="19"/>
      <c r="AZ68" s="19">
        <f>SUM(AZ69:AZ72)</f>
        <v>727090</v>
      </c>
      <c r="BA68" s="19"/>
      <c r="BB68" s="19"/>
      <c r="BC68" s="274"/>
      <c r="BD68" s="19"/>
      <c r="BE68" s="19">
        <f>SUM(BE69:BE72)</f>
        <v>1067242</v>
      </c>
      <c r="BF68" s="19"/>
      <c r="BG68" s="19"/>
      <c r="BH68" s="274"/>
      <c r="BI68" s="19"/>
      <c r="BJ68" s="19">
        <f>SUM(BJ69:BJ72)</f>
        <v>2280137</v>
      </c>
      <c r="BK68" s="19"/>
      <c r="BL68" s="19"/>
      <c r="BM68" s="274"/>
      <c r="BN68" s="19"/>
      <c r="BO68" s="19">
        <f>SUM(BO69:BO72)</f>
        <v>857343</v>
      </c>
      <c r="BP68" s="19"/>
      <c r="BQ68" s="19"/>
      <c r="BR68" s="274"/>
      <c r="BS68" s="19"/>
      <c r="BT68" s="19">
        <f>SUM(BT69:BT72)</f>
        <v>10485400</v>
      </c>
      <c r="BU68" s="19"/>
      <c r="BV68" s="19"/>
      <c r="BW68" s="274"/>
      <c r="BX68" s="19"/>
      <c r="BY68" s="19">
        <f>SUM(BY69:BY72)</f>
        <v>4471814</v>
      </c>
      <c r="BZ68" s="19"/>
      <c r="CA68" s="19"/>
      <c r="CB68" s="274"/>
      <c r="CC68" s="19"/>
      <c r="CD68" s="19">
        <f>SUM(CD69:CD72)</f>
        <v>337942</v>
      </c>
      <c r="CE68" s="19"/>
      <c r="CF68" s="19"/>
      <c r="CG68" s="274"/>
      <c r="CH68" s="19"/>
      <c r="CI68" s="19">
        <f>SUM(CI69:CI72)</f>
        <v>248482</v>
      </c>
      <c r="CJ68" s="19"/>
      <c r="CK68" s="19"/>
      <c r="CL68" s="274"/>
      <c r="CM68" s="19"/>
      <c r="CN68" s="19">
        <f>SUM(CN69:CN72)</f>
        <v>22803</v>
      </c>
      <c r="CO68" s="19"/>
      <c r="CP68" s="19"/>
      <c r="CQ68" s="274"/>
      <c r="CR68" s="19"/>
      <c r="CS68" s="19">
        <f>SUM(CS69:CS72)</f>
        <v>234919</v>
      </c>
      <c r="CT68" s="19"/>
      <c r="CU68" s="19"/>
      <c r="CV68" s="274"/>
      <c r="CW68" s="19"/>
      <c r="CX68" s="19">
        <f>SUM(CX69:CX72)</f>
        <v>201859</v>
      </c>
      <c r="CY68" s="19"/>
      <c r="CZ68" s="19"/>
      <c r="DA68" s="274"/>
      <c r="DB68" s="19"/>
      <c r="DC68" s="19">
        <f>SUM(DC69:DC72)</f>
        <v>601319</v>
      </c>
      <c r="DD68" s="19"/>
      <c r="DE68" s="19"/>
      <c r="DF68" s="274"/>
      <c r="DG68" s="19"/>
      <c r="DH68" s="19">
        <f>SUM(DH69:DH72)</f>
        <v>0</v>
      </c>
      <c r="DI68" s="19"/>
      <c r="DJ68" s="19"/>
      <c r="DK68" s="274"/>
      <c r="DL68" s="19"/>
      <c r="DM68" s="19">
        <f>SUM(DM69:DM72)</f>
        <v>820361</v>
      </c>
      <c r="DN68" s="19"/>
      <c r="DO68" s="19"/>
      <c r="DP68" s="274"/>
      <c r="DQ68" s="19"/>
      <c r="DR68" s="19">
        <f>SUM(DR69:DR72)</f>
        <v>373187</v>
      </c>
      <c r="DS68" s="19"/>
      <c r="DT68" s="19"/>
      <c r="DU68" s="274"/>
      <c r="DV68" s="19"/>
      <c r="DW68" s="19">
        <f>SUM(DW69:DW72)</f>
        <v>1016423</v>
      </c>
      <c r="DX68" s="19"/>
      <c r="DY68" s="19"/>
      <c r="DZ68" s="274"/>
      <c r="EA68" s="19"/>
      <c r="EB68" s="19">
        <f>SUM(EB69:EB72)</f>
        <v>151995</v>
      </c>
      <c r="EC68" s="19"/>
      <c r="ED68" s="19"/>
      <c r="EE68" s="274"/>
      <c r="EF68" s="19"/>
      <c r="EG68" s="19">
        <f>SUM(EG69:EG72)</f>
        <v>462524</v>
      </c>
      <c r="EH68" s="19"/>
      <c r="EI68" s="19"/>
      <c r="EJ68" s="274"/>
      <c r="EK68" s="19"/>
      <c r="EL68" s="19">
        <f>SUM(EL69:EL72)</f>
        <v>4471814</v>
      </c>
      <c r="EM68" s="19"/>
      <c r="EN68" s="19"/>
      <c r="EO68" s="244"/>
      <c r="ER68" s="451"/>
      <c r="ES68" s="451"/>
    </row>
    <row r="69" spans="4:149" ht="12.75" customHeight="1" x14ac:dyDescent="0.2">
      <c r="D69" s="244" t="s">
        <v>344</v>
      </c>
      <c r="E69" s="274"/>
      <c r="F69" s="112"/>
      <c r="G69" s="374">
        <v>0</v>
      </c>
      <c r="H69" s="475"/>
      <c r="I69" s="19"/>
      <c r="J69" s="274"/>
      <c r="K69" s="173"/>
      <c r="L69" s="374">
        <v>0</v>
      </c>
      <c r="M69" s="475"/>
      <c r="N69" s="19"/>
      <c r="O69" s="274"/>
      <c r="P69" s="173"/>
      <c r="Q69" s="374">
        <v>0</v>
      </c>
      <c r="R69" s="475"/>
      <c r="S69" s="19"/>
      <c r="T69" s="274"/>
      <c r="U69" s="173"/>
      <c r="V69" s="374">
        <f>250000-49430</f>
        <v>200570</v>
      </c>
      <c r="W69" s="475"/>
      <c r="X69" s="19"/>
      <c r="Y69" s="274"/>
      <c r="Z69" s="173"/>
      <c r="AA69" s="374">
        <f>720000-156260</f>
        <v>563740</v>
      </c>
      <c r="AB69" s="475"/>
      <c r="AC69" s="19"/>
      <c r="AD69" s="274"/>
      <c r="AE69" s="173"/>
      <c r="AF69" s="374">
        <f>860000-183365</f>
        <v>676635</v>
      </c>
      <c r="AG69" s="475"/>
      <c r="AH69" s="19"/>
      <c r="AI69" s="274"/>
      <c r="AJ69" s="173"/>
      <c r="AK69" s="374">
        <f>690000-131934</f>
        <v>558066</v>
      </c>
      <c r="AL69" s="475"/>
      <c r="AM69" s="19"/>
      <c r="AN69" s="274"/>
      <c r="AO69" s="173"/>
      <c r="AP69" s="374">
        <f>1240000-243270</f>
        <v>996730</v>
      </c>
      <c r="AQ69" s="475"/>
      <c r="AR69" s="19"/>
      <c r="AS69" s="274"/>
      <c r="AT69" s="173"/>
      <c r="AU69" s="374">
        <f>910000-176856</f>
        <v>733144</v>
      </c>
      <c r="AV69" s="475"/>
      <c r="AW69" s="19"/>
      <c r="AX69" s="274"/>
      <c r="AY69" s="173"/>
      <c r="AZ69" s="374">
        <f>605000-112019</f>
        <v>492981</v>
      </c>
      <c r="BA69" s="475"/>
      <c r="BB69" s="19"/>
      <c r="BC69" s="274"/>
      <c r="BD69" s="173"/>
      <c r="BE69" s="374">
        <f>885000-145924</f>
        <v>739076</v>
      </c>
      <c r="BF69" s="475"/>
      <c r="BG69" s="19"/>
      <c r="BH69" s="274"/>
      <c r="BI69" s="173"/>
      <c r="BJ69" s="374">
        <f>1890000-257992</f>
        <v>1632008</v>
      </c>
      <c r="BK69" s="475"/>
      <c r="BL69" s="19"/>
      <c r="BM69" s="274"/>
      <c r="BN69" s="173"/>
      <c r="BO69" s="374">
        <f>710000-99734</f>
        <v>610266</v>
      </c>
      <c r="BP69" s="475"/>
      <c r="BQ69" s="19"/>
      <c r="BR69" s="274"/>
      <c r="BS69" s="173"/>
      <c r="BT69" s="374">
        <f>SUM(L69:BO69)</f>
        <v>7203216</v>
      </c>
      <c r="BU69" s="475"/>
      <c r="BV69" s="19"/>
      <c r="BW69" s="274"/>
      <c r="BX69" s="173"/>
      <c r="BY69" s="374">
        <v>3246668</v>
      </c>
      <c r="BZ69" s="475"/>
      <c r="CA69" s="19"/>
      <c r="CB69" s="274"/>
      <c r="CC69" s="173"/>
      <c r="CD69" s="374">
        <f>300000-40111</f>
        <v>259889</v>
      </c>
      <c r="CE69" s="475"/>
      <c r="CF69" s="19"/>
      <c r="CG69" s="274"/>
      <c r="CH69" s="173"/>
      <c r="CI69" s="374">
        <f>220000-22496</f>
        <v>197504</v>
      </c>
      <c r="CJ69" s="475"/>
      <c r="CK69" s="19"/>
      <c r="CL69" s="274"/>
      <c r="CM69" s="173"/>
      <c r="CN69" s="374">
        <f>20000-2609</f>
        <v>17391</v>
      </c>
      <c r="CO69" s="475"/>
      <c r="CP69" s="19"/>
      <c r="CQ69" s="274"/>
      <c r="CR69" s="173"/>
      <c r="CS69" s="374">
        <f>205000-25715</f>
        <v>179285</v>
      </c>
      <c r="CT69" s="475"/>
      <c r="CU69" s="19"/>
      <c r="CV69" s="274"/>
      <c r="CW69" s="173"/>
      <c r="CX69" s="374">
        <f>175000-25019</f>
        <v>149981</v>
      </c>
      <c r="CY69" s="475"/>
      <c r="CZ69" s="19"/>
      <c r="DA69" s="274"/>
      <c r="DB69" s="173"/>
      <c r="DC69" s="374">
        <f>520000-76548</f>
        <v>443452</v>
      </c>
      <c r="DD69" s="475"/>
      <c r="DE69" s="19"/>
      <c r="DF69" s="274"/>
      <c r="DG69" s="173"/>
      <c r="DH69" s="374">
        <v>0</v>
      </c>
      <c r="DI69" s="475"/>
      <c r="DJ69" s="19"/>
      <c r="DK69" s="274"/>
      <c r="DL69" s="173"/>
      <c r="DM69" s="374">
        <f>705000-113837</f>
        <v>591163</v>
      </c>
      <c r="DN69" s="475"/>
      <c r="DO69" s="19"/>
      <c r="DP69" s="274"/>
      <c r="DQ69" s="173"/>
      <c r="DR69" s="374">
        <f>320000-52806</f>
        <v>267194</v>
      </c>
      <c r="DS69" s="475"/>
      <c r="DT69" s="19"/>
      <c r="DU69" s="274"/>
      <c r="DV69" s="173"/>
      <c r="DW69" s="374">
        <f>870000-146244</f>
        <v>723756</v>
      </c>
      <c r="DX69" s="475"/>
      <c r="DY69" s="19"/>
      <c r="DZ69" s="274"/>
      <c r="EA69" s="173"/>
      <c r="EB69" s="374">
        <f>130000-20883</f>
        <v>109117</v>
      </c>
      <c r="EC69" s="475"/>
      <c r="ED69" s="19"/>
      <c r="EE69" s="274"/>
      <c r="EF69" s="173"/>
      <c r="EG69" s="374">
        <f>395000-87064</f>
        <v>307936</v>
      </c>
      <c r="EH69" s="475"/>
      <c r="EI69" s="19"/>
      <c r="EJ69" s="274"/>
      <c r="EK69" s="173"/>
      <c r="EL69" s="374">
        <f>SUM(CD69:EG69)</f>
        <v>3246668</v>
      </c>
      <c r="EM69" s="475"/>
      <c r="EN69" s="19"/>
      <c r="EO69" s="244"/>
      <c r="ER69" s="451"/>
      <c r="ES69" s="451"/>
    </row>
    <row r="70" spans="4:149" ht="12.75" customHeight="1" x14ac:dyDescent="0.2">
      <c r="D70" s="244" t="s">
        <v>346</v>
      </c>
      <c r="E70" s="274"/>
      <c r="F70" s="82"/>
      <c r="G70" s="19">
        <v>0</v>
      </c>
      <c r="H70" s="18"/>
      <c r="I70" s="19"/>
      <c r="J70" s="274"/>
      <c r="K70" s="274"/>
      <c r="L70" s="19">
        <v>0</v>
      </c>
      <c r="M70" s="18"/>
      <c r="N70" s="19"/>
      <c r="O70" s="274"/>
      <c r="P70" s="274"/>
      <c r="Q70" s="19">
        <v>0</v>
      </c>
      <c r="R70" s="18"/>
      <c r="S70" s="19"/>
      <c r="T70" s="274"/>
      <c r="U70" s="274"/>
      <c r="V70" s="19">
        <v>49430</v>
      </c>
      <c r="W70" s="18"/>
      <c r="X70" s="19"/>
      <c r="Y70" s="274"/>
      <c r="Z70" s="274"/>
      <c r="AA70" s="19">
        <v>156260</v>
      </c>
      <c r="AB70" s="18"/>
      <c r="AC70" s="19"/>
      <c r="AD70" s="274"/>
      <c r="AE70" s="274"/>
      <c r="AF70" s="19">
        <v>183365</v>
      </c>
      <c r="AG70" s="18"/>
      <c r="AH70" s="19"/>
      <c r="AI70" s="274"/>
      <c r="AJ70" s="274"/>
      <c r="AK70" s="19">
        <v>131934</v>
      </c>
      <c r="AL70" s="18"/>
      <c r="AM70" s="19"/>
      <c r="AN70" s="274"/>
      <c r="AO70" s="274"/>
      <c r="AP70" s="19">
        <v>243270</v>
      </c>
      <c r="AQ70" s="18"/>
      <c r="AR70" s="19"/>
      <c r="AS70" s="274"/>
      <c r="AT70" s="274"/>
      <c r="AU70" s="19">
        <v>176856</v>
      </c>
      <c r="AV70" s="18"/>
      <c r="AW70" s="19"/>
      <c r="AX70" s="274"/>
      <c r="AY70" s="274"/>
      <c r="AZ70" s="19">
        <v>112019</v>
      </c>
      <c r="BA70" s="18"/>
      <c r="BB70" s="19"/>
      <c r="BC70" s="274"/>
      <c r="BD70" s="274"/>
      <c r="BE70" s="19">
        <v>145924</v>
      </c>
      <c r="BF70" s="18"/>
      <c r="BG70" s="19"/>
      <c r="BH70" s="274"/>
      <c r="BI70" s="274"/>
      <c r="BJ70" s="19">
        <v>257992</v>
      </c>
      <c r="BK70" s="18"/>
      <c r="BL70" s="19"/>
      <c r="BM70" s="274"/>
      <c r="BN70" s="274"/>
      <c r="BO70" s="19">
        <v>99734</v>
      </c>
      <c r="BP70" s="18"/>
      <c r="BQ70" s="19"/>
      <c r="BR70" s="274"/>
      <c r="BS70" s="274"/>
      <c r="BT70" s="19">
        <f>SUM(L70:BO70)</f>
        <v>1556784</v>
      </c>
      <c r="BU70" s="18"/>
      <c r="BV70" s="19"/>
      <c r="BW70" s="274"/>
      <c r="BX70" s="274"/>
      <c r="BY70" s="19">
        <v>613332</v>
      </c>
      <c r="BZ70" s="18"/>
      <c r="CA70" s="19"/>
      <c r="CB70" s="274"/>
      <c r="CC70" s="274"/>
      <c r="CD70" s="19">
        <v>40111</v>
      </c>
      <c r="CE70" s="18"/>
      <c r="CF70" s="19"/>
      <c r="CG70" s="274"/>
      <c r="CH70" s="274"/>
      <c r="CI70" s="19">
        <v>22496</v>
      </c>
      <c r="CJ70" s="18"/>
      <c r="CK70" s="19"/>
      <c r="CL70" s="274"/>
      <c r="CM70" s="274"/>
      <c r="CN70" s="19">
        <v>2609</v>
      </c>
      <c r="CO70" s="18"/>
      <c r="CP70" s="19"/>
      <c r="CQ70" s="274"/>
      <c r="CR70" s="274"/>
      <c r="CS70" s="19">
        <v>25715</v>
      </c>
      <c r="CT70" s="18"/>
      <c r="CU70" s="19"/>
      <c r="CV70" s="274"/>
      <c r="CW70" s="274"/>
      <c r="CX70" s="19">
        <v>25019</v>
      </c>
      <c r="CY70" s="18"/>
      <c r="CZ70" s="19"/>
      <c r="DA70" s="274"/>
      <c r="DB70" s="274"/>
      <c r="DC70" s="19">
        <v>76548</v>
      </c>
      <c r="DD70" s="18"/>
      <c r="DE70" s="19"/>
      <c r="DF70" s="274"/>
      <c r="DG70" s="274"/>
      <c r="DH70" s="19">
        <v>0</v>
      </c>
      <c r="DI70" s="18"/>
      <c r="DJ70" s="19"/>
      <c r="DK70" s="274"/>
      <c r="DL70" s="274"/>
      <c r="DM70" s="19">
        <v>113837</v>
      </c>
      <c r="DN70" s="18"/>
      <c r="DO70" s="19"/>
      <c r="DP70" s="274"/>
      <c r="DQ70" s="274"/>
      <c r="DR70" s="19">
        <v>52806</v>
      </c>
      <c r="DS70" s="18"/>
      <c r="DT70" s="19"/>
      <c r="DU70" s="274"/>
      <c r="DV70" s="274"/>
      <c r="DW70" s="19">
        <f>146244</f>
        <v>146244</v>
      </c>
      <c r="DX70" s="18"/>
      <c r="DY70" s="19"/>
      <c r="DZ70" s="274"/>
      <c r="EA70" s="274"/>
      <c r="EB70" s="19">
        <v>20883</v>
      </c>
      <c r="EC70" s="18"/>
      <c r="ED70" s="19"/>
      <c r="EE70" s="274"/>
      <c r="EF70" s="274"/>
      <c r="EG70" s="19">
        <v>87064</v>
      </c>
      <c r="EH70" s="18"/>
      <c r="EI70" s="19"/>
      <c r="EJ70" s="274"/>
      <c r="EK70" s="274"/>
      <c r="EL70" s="19">
        <f>SUM(CD70:EG70)</f>
        <v>613332</v>
      </c>
      <c r="EM70" s="18"/>
      <c r="EN70" s="19"/>
      <c r="EO70" s="244"/>
      <c r="ER70" s="451"/>
      <c r="ES70" s="451"/>
    </row>
    <row r="71" spans="4:149" ht="12.75" customHeight="1" x14ac:dyDescent="0.2">
      <c r="D71" s="244" t="s">
        <v>347</v>
      </c>
      <c r="E71" s="274"/>
      <c r="F71" s="82"/>
      <c r="G71" s="19">
        <v>0</v>
      </c>
      <c r="H71" s="18"/>
      <c r="I71" s="19"/>
      <c r="J71" s="274"/>
      <c r="K71" s="274"/>
      <c r="L71" s="19">
        <v>0</v>
      </c>
      <c r="M71" s="18"/>
      <c r="N71" s="19"/>
      <c r="O71" s="274"/>
      <c r="P71" s="274"/>
      <c r="Q71" s="19">
        <v>0</v>
      </c>
      <c r="R71" s="18"/>
      <c r="S71" s="19"/>
      <c r="T71" s="274"/>
      <c r="U71" s="274"/>
      <c r="V71" s="19">
        <v>0</v>
      </c>
      <c r="W71" s="18"/>
      <c r="X71" s="19"/>
      <c r="Y71" s="274"/>
      <c r="Z71" s="274"/>
      <c r="AA71" s="19">
        <v>0</v>
      </c>
      <c r="AB71" s="18"/>
      <c r="AC71" s="19"/>
      <c r="AD71" s="274"/>
      <c r="AE71" s="274"/>
      <c r="AF71" s="19">
        <v>0</v>
      </c>
      <c r="AG71" s="18"/>
      <c r="AH71" s="19"/>
      <c r="AI71" s="274"/>
      <c r="AJ71" s="274"/>
      <c r="AK71" s="19">
        <v>0</v>
      </c>
      <c r="AL71" s="18"/>
      <c r="AM71" s="19"/>
      <c r="AN71" s="274"/>
      <c r="AO71" s="274"/>
      <c r="AP71" s="19">
        <v>0</v>
      </c>
      <c r="AQ71" s="18"/>
      <c r="AR71" s="19"/>
      <c r="AS71" s="274"/>
      <c r="AT71" s="274"/>
      <c r="AU71" s="19">
        <v>0</v>
      </c>
      <c r="AV71" s="18"/>
      <c r="AW71" s="19"/>
      <c r="AX71" s="274"/>
      <c r="AY71" s="274"/>
      <c r="AZ71" s="19">
        <v>0</v>
      </c>
      <c r="BA71" s="18"/>
      <c r="BB71" s="19"/>
      <c r="BC71" s="274"/>
      <c r="BD71" s="274"/>
      <c r="BE71" s="19">
        <v>0</v>
      </c>
      <c r="BF71" s="18"/>
      <c r="BG71" s="19"/>
      <c r="BH71" s="274"/>
      <c r="BI71" s="274"/>
      <c r="BJ71" s="19">
        <v>0</v>
      </c>
      <c r="BK71" s="18"/>
      <c r="BL71" s="19"/>
      <c r="BM71" s="274"/>
      <c r="BN71" s="274"/>
      <c r="BO71" s="19">
        <v>0</v>
      </c>
      <c r="BP71" s="18"/>
      <c r="BQ71" s="19"/>
      <c r="BR71" s="274"/>
      <c r="BS71" s="274"/>
      <c r="BT71" s="19">
        <f>SUM(L71:BO71)</f>
        <v>0</v>
      </c>
      <c r="BU71" s="18"/>
      <c r="BV71" s="19"/>
      <c r="BW71" s="274"/>
      <c r="BX71" s="274"/>
      <c r="BY71" s="19">
        <v>0</v>
      </c>
      <c r="BZ71" s="18"/>
      <c r="CA71" s="19"/>
      <c r="CB71" s="274"/>
      <c r="CC71" s="274"/>
      <c r="CD71" s="19">
        <v>0</v>
      </c>
      <c r="CE71" s="18"/>
      <c r="CF71" s="19"/>
      <c r="CG71" s="274"/>
      <c r="CH71" s="274"/>
      <c r="CI71" s="19">
        <v>0</v>
      </c>
      <c r="CJ71" s="18"/>
      <c r="CK71" s="19"/>
      <c r="CL71" s="274"/>
      <c r="CM71" s="274"/>
      <c r="CN71" s="19">
        <v>0</v>
      </c>
      <c r="CO71" s="18"/>
      <c r="CP71" s="19"/>
      <c r="CQ71" s="274"/>
      <c r="CR71" s="274"/>
      <c r="CS71" s="19">
        <v>0</v>
      </c>
      <c r="CT71" s="18"/>
      <c r="CU71" s="19"/>
      <c r="CV71" s="274"/>
      <c r="CW71" s="274"/>
      <c r="CX71" s="19">
        <v>0</v>
      </c>
      <c r="CY71" s="18"/>
      <c r="CZ71" s="19"/>
      <c r="DA71" s="274"/>
      <c r="DB71" s="274"/>
      <c r="DC71" s="19">
        <v>0</v>
      </c>
      <c r="DD71" s="18"/>
      <c r="DE71" s="19"/>
      <c r="DF71" s="274"/>
      <c r="DG71" s="274"/>
      <c r="DH71" s="19">
        <v>0</v>
      </c>
      <c r="DI71" s="18"/>
      <c r="DJ71" s="19"/>
      <c r="DK71" s="274"/>
      <c r="DL71" s="274"/>
      <c r="DM71" s="19">
        <v>0</v>
      </c>
      <c r="DN71" s="18"/>
      <c r="DO71" s="19"/>
      <c r="DP71" s="274"/>
      <c r="DQ71" s="274"/>
      <c r="DR71" s="19">
        <v>0</v>
      </c>
      <c r="DS71" s="18"/>
      <c r="DT71" s="19"/>
      <c r="DU71" s="274"/>
      <c r="DV71" s="274"/>
      <c r="DW71" s="19">
        <v>0</v>
      </c>
      <c r="DX71" s="18"/>
      <c r="DY71" s="19"/>
      <c r="DZ71" s="274"/>
      <c r="EA71" s="274"/>
      <c r="EB71" s="19">
        <v>0</v>
      </c>
      <c r="EC71" s="18"/>
      <c r="ED71" s="19"/>
      <c r="EE71" s="274"/>
      <c r="EF71" s="274"/>
      <c r="EG71" s="19">
        <v>0</v>
      </c>
      <c r="EH71" s="18"/>
      <c r="EI71" s="19"/>
      <c r="EJ71" s="274"/>
      <c r="EK71" s="274"/>
      <c r="EL71" s="19">
        <f>SUM(CD71:EG71)</f>
        <v>0</v>
      </c>
      <c r="EM71" s="18"/>
      <c r="EN71" s="19"/>
      <c r="EO71" s="244"/>
      <c r="ER71" s="451"/>
      <c r="ES71" s="451"/>
    </row>
    <row r="72" spans="4:149" ht="12.75" customHeight="1" x14ac:dyDescent="0.2">
      <c r="D72" s="244" t="s">
        <v>348</v>
      </c>
      <c r="E72" s="274"/>
      <c r="F72" s="276"/>
      <c r="G72" s="37">
        <v>0</v>
      </c>
      <c r="H72" s="36"/>
      <c r="I72" s="19"/>
      <c r="J72" s="274"/>
      <c r="K72" s="231"/>
      <c r="L72" s="37">
        <v>0</v>
      </c>
      <c r="M72" s="36"/>
      <c r="N72" s="19"/>
      <c r="O72" s="274"/>
      <c r="P72" s="231"/>
      <c r="Q72" s="37">
        <v>0</v>
      </c>
      <c r="R72" s="36"/>
      <c r="S72" s="19"/>
      <c r="T72" s="274"/>
      <c r="U72" s="231"/>
      <c r="V72" s="37">
        <v>47021</v>
      </c>
      <c r="W72" s="36"/>
      <c r="X72" s="19"/>
      <c r="Y72" s="274"/>
      <c r="Z72" s="231"/>
      <c r="AA72" s="37">
        <v>134761</v>
      </c>
      <c r="AB72" s="36"/>
      <c r="AC72" s="19"/>
      <c r="AD72" s="274"/>
      <c r="AE72" s="231"/>
      <c r="AF72" s="37">
        <v>156515</v>
      </c>
      <c r="AG72" s="36"/>
      <c r="AH72" s="19"/>
      <c r="AI72" s="274"/>
      <c r="AJ72" s="231"/>
      <c r="AK72" s="37">
        <v>126649</v>
      </c>
      <c r="AL72" s="36"/>
      <c r="AM72" s="19"/>
      <c r="AN72" s="274"/>
      <c r="AO72" s="231"/>
      <c r="AP72" s="37">
        <v>236452</v>
      </c>
      <c r="AQ72" s="36"/>
      <c r="AR72" s="19"/>
      <c r="AS72" s="274"/>
      <c r="AT72" s="231"/>
      <c r="AU72" s="37">
        <v>182190</v>
      </c>
      <c r="AV72" s="36"/>
      <c r="AW72" s="19"/>
      <c r="AX72" s="274"/>
      <c r="AY72" s="231"/>
      <c r="AZ72" s="37">
        <v>122090</v>
      </c>
      <c r="BA72" s="36"/>
      <c r="BB72" s="19"/>
      <c r="BC72" s="274"/>
      <c r="BD72" s="231"/>
      <c r="BE72" s="37">
        <v>182242</v>
      </c>
      <c r="BF72" s="36"/>
      <c r="BG72" s="19"/>
      <c r="BH72" s="274"/>
      <c r="BI72" s="231"/>
      <c r="BJ72" s="37">
        <v>390137</v>
      </c>
      <c r="BK72" s="36"/>
      <c r="BL72" s="19"/>
      <c r="BM72" s="274"/>
      <c r="BN72" s="231"/>
      <c r="BO72" s="37">
        <v>147343</v>
      </c>
      <c r="BP72" s="36"/>
      <c r="BQ72" s="19"/>
      <c r="BR72" s="274"/>
      <c r="BS72" s="231"/>
      <c r="BT72" s="37">
        <f>SUM(L72:BO72)</f>
        <v>1725400</v>
      </c>
      <c r="BU72" s="36"/>
      <c r="BV72" s="19"/>
      <c r="BW72" s="274"/>
      <c r="BX72" s="231"/>
      <c r="BY72" s="37">
        <v>611814</v>
      </c>
      <c r="BZ72" s="36"/>
      <c r="CA72" s="19"/>
      <c r="CB72" s="274"/>
      <c r="CC72" s="231"/>
      <c r="CD72" s="37">
        <v>37942</v>
      </c>
      <c r="CE72" s="36"/>
      <c r="CF72" s="19"/>
      <c r="CG72" s="274"/>
      <c r="CH72" s="231"/>
      <c r="CI72" s="37">
        <v>28482</v>
      </c>
      <c r="CJ72" s="36"/>
      <c r="CK72" s="19"/>
      <c r="CL72" s="274"/>
      <c r="CM72" s="231"/>
      <c r="CN72" s="37">
        <v>2803</v>
      </c>
      <c r="CO72" s="36"/>
      <c r="CP72" s="19"/>
      <c r="CQ72" s="274"/>
      <c r="CR72" s="231"/>
      <c r="CS72" s="37">
        <v>29919</v>
      </c>
      <c r="CT72" s="36"/>
      <c r="CU72" s="19"/>
      <c r="CV72" s="274"/>
      <c r="CW72" s="231"/>
      <c r="CX72" s="37">
        <v>26859</v>
      </c>
      <c r="CY72" s="36"/>
      <c r="CZ72" s="19"/>
      <c r="DA72" s="274"/>
      <c r="DB72" s="231"/>
      <c r="DC72" s="37">
        <v>81319</v>
      </c>
      <c r="DD72" s="36"/>
      <c r="DE72" s="19"/>
      <c r="DF72" s="274"/>
      <c r="DG72" s="231"/>
      <c r="DH72" s="37">
        <v>0</v>
      </c>
      <c r="DI72" s="36"/>
      <c r="DJ72" s="19"/>
      <c r="DK72" s="274"/>
      <c r="DL72" s="231"/>
      <c r="DM72" s="37">
        <v>115361</v>
      </c>
      <c r="DN72" s="36"/>
      <c r="DO72" s="19"/>
      <c r="DP72" s="274"/>
      <c r="DQ72" s="231"/>
      <c r="DR72" s="37">
        <v>53187</v>
      </c>
      <c r="DS72" s="36"/>
      <c r="DT72" s="19"/>
      <c r="DU72" s="274"/>
      <c r="DV72" s="231"/>
      <c r="DW72" s="37">
        <v>146423</v>
      </c>
      <c r="DX72" s="36"/>
      <c r="DY72" s="19"/>
      <c r="DZ72" s="274"/>
      <c r="EA72" s="231"/>
      <c r="EB72" s="37">
        <v>21995</v>
      </c>
      <c r="EC72" s="36"/>
      <c r="ED72" s="19"/>
      <c r="EE72" s="274"/>
      <c r="EF72" s="231"/>
      <c r="EG72" s="37">
        <v>67524</v>
      </c>
      <c r="EH72" s="36"/>
      <c r="EI72" s="19"/>
      <c r="EJ72" s="274"/>
      <c r="EK72" s="231"/>
      <c r="EL72" s="37">
        <f>SUM(CD72:EG72)</f>
        <v>611814</v>
      </c>
      <c r="EM72" s="36"/>
      <c r="EN72" s="19"/>
      <c r="EO72" s="244"/>
      <c r="ER72" s="451"/>
      <c r="ES72" s="451"/>
    </row>
    <row r="73" spans="4:149" ht="12.75" customHeight="1" x14ac:dyDescent="0.2">
      <c r="D73" s="244"/>
      <c r="E73" s="274"/>
      <c r="G73" s="19"/>
      <c r="H73" s="19"/>
      <c r="I73" s="19"/>
      <c r="J73" s="274"/>
      <c r="K73" s="19"/>
      <c r="L73" s="19"/>
      <c r="M73" s="19"/>
      <c r="N73" s="19"/>
      <c r="O73" s="274"/>
      <c r="P73" s="19"/>
      <c r="Q73" s="19"/>
      <c r="R73" s="19"/>
      <c r="S73" s="19"/>
      <c r="T73" s="274"/>
      <c r="U73" s="19"/>
      <c r="V73" s="19"/>
      <c r="W73" s="19"/>
      <c r="X73" s="19"/>
      <c r="Y73" s="274"/>
      <c r="Z73" s="19"/>
      <c r="AA73" s="19"/>
      <c r="AB73" s="19"/>
      <c r="AC73" s="19"/>
      <c r="AD73" s="274"/>
      <c r="AE73" s="19"/>
      <c r="AF73" s="19"/>
      <c r="AG73" s="19"/>
      <c r="AH73" s="19"/>
      <c r="AI73" s="274"/>
      <c r="AJ73" s="19"/>
      <c r="AK73" s="19"/>
      <c r="AL73" s="19"/>
      <c r="AM73" s="19"/>
      <c r="AN73" s="274"/>
      <c r="AO73" s="19"/>
      <c r="AP73" s="19"/>
      <c r="AQ73" s="19"/>
      <c r="AR73" s="19"/>
      <c r="AS73" s="274"/>
      <c r="AT73" s="19"/>
      <c r="AU73" s="19"/>
      <c r="AV73" s="19"/>
      <c r="AW73" s="19"/>
      <c r="AX73" s="274"/>
      <c r="AY73" s="19"/>
      <c r="AZ73" s="19"/>
      <c r="BA73" s="19"/>
      <c r="BB73" s="19"/>
      <c r="BC73" s="274"/>
      <c r="BD73" s="19"/>
      <c r="BE73" s="19"/>
      <c r="BF73" s="19"/>
      <c r="BG73" s="19"/>
      <c r="BH73" s="274"/>
      <c r="BI73" s="19"/>
      <c r="BJ73" s="19"/>
      <c r="BK73" s="19"/>
      <c r="BL73" s="19"/>
      <c r="BM73" s="274"/>
      <c r="BN73" s="19"/>
      <c r="BO73" s="19"/>
      <c r="BP73" s="19"/>
      <c r="BQ73" s="19"/>
      <c r="BR73" s="274"/>
      <c r="BS73" s="19"/>
      <c r="BT73" s="19"/>
      <c r="BU73" s="19"/>
      <c r="BV73" s="19"/>
      <c r="BW73" s="274"/>
      <c r="BX73" s="19"/>
      <c r="BY73" s="19"/>
      <c r="BZ73" s="19"/>
      <c r="CA73" s="19"/>
      <c r="CB73" s="274"/>
      <c r="CC73" s="19"/>
      <c r="CD73" s="19"/>
      <c r="CE73" s="19"/>
      <c r="CF73" s="19"/>
      <c r="CG73" s="274"/>
      <c r="CH73" s="19"/>
      <c r="CI73" s="19"/>
      <c r="CJ73" s="19"/>
      <c r="CK73" s="19"/>
      <c r="CL73" s="274"/>
      <c r="CM73" s="19"/>
      <c r="CN73" s="19"/>
      <c r="CO73" s="19"/>
      <c r="CP73" s="19"/>
      <c r="CQ73" s="274"/>
      <c r="CR73" s="19"/>
      <c r="CS73" s="19"/>
      <c r="CT73" s="19"/>
      <c r="CU73" s="19"/>
      <c r="CV73" s="274"/>
      <c r="CW73" s="19"/>
      <c r="CX73" s="19"/>
      <c r="CY73" s="19"/>
      <c r="CZ73" s="19"/>
      <c r="DA73" s="274"/>
      <c r="DB73" s="19"/>
      <c r="DC73" s="19"/>
      <c r="DD73" s="19"/>
      <c r="DE73" s="19"/>
      <c r="DF73" s="274"/>
      <c r="DG73" s="19"/>
      <c r="DH73" s="19"/>
      <c r="DI73" s="19"/>
      <c r="DJ73" s="19"/>
      <c r="DK73" s="274"/>
      <c r="DL73" s="19"/>
      <c r="DM73" s="19"/>
      <c r="DN73" s="19"/>
      <c r="DO73" s="19"/>
      <c r="DP73" s="274"/>
      <c r="DQ73" s="19"/>
      <c r="DR73" s="19"/>
      <c r="DS73" s="19"/>
      <c r="DT73" s="19"/>
      <c r="DU73" s="274"/>
      <c r="DV73" s="19"/>
      <c r="DW73" s="19"/>
      <c r="DX73" s="19"/>
      <c r="DY73" s="19"/>
      <c r="DZ73" s="274"/>
      <c r="EA73" s="19"/>
      <c r="EB73" s="19"/>
      <c r="EC73" s="19"/>
      <c r="ED73" s="19"/>
      <c r="EE73" s="274"/>
      <c r="EF73" s="19"/>
      <c r="EG73" s="19"/>
      <c r="EH73" s="19"/>
      <c r="EI73" s="19"/>
      <c r="EJ73" s="274"/>
      <c r="EK73" s="19"/>
      <c r="EL73" s="19"/>
      <c r="EM73" s="19"/>
      <c r="EN73" s="19"/>
      <c r="EO73" s="244"/>
      <c r="ER73" s="451"/>
      <c r="ES73" s="451"/>
    </row>
    <row r="74" spans="4:149" ht="12.75" customHeight="1" x14ac:dyDescent="0.2">
      <c r="D74" s="244" t="s">
        <v>358</v>
      </c>
      <c r="E74" s="274"/>
      <c r="G74" s="19">
        <f>SUM(G75:G77)</f>
        <v>0</v>
      </c>
      <c r="H74" s="19"/>
      <c r="I74" s="19"/>
      <c r="J74" s="274"/>
      <c r="K74" s="19"/>
      <c r="L74" s="19">
        <f>SUM(L75:L77)</f>
        <v>0</v>
      </c>
      <c r="M74" s="19"/>
      <c r="N74" s="19"/>
      <c r="O74" s="274"/>
      <c r="P74" s="19"/>
      <c r="Q74" s="19">
        <f>SUM(Q75:Q77)</f>
        <v>0</v>
      </c>
      <c r="R74" s="19"/>
      <c r="S74" s="19"/>
      <c r="T74" s="274"/>
      <c r="U74" s="19"/>
      <c r="V74" s="19">
        <f>SUM(V75:V77)</f>
        <v>0</v>
      </c>
      <c r="W74" s="19"/>
      <c r="X74" s="19"/>
      <c r="Y74" s="274"/>
      <c r="Z74" s="19"/>
      <c r="AA74" s="19">
        <f>SUM(AA75:AA77)</f>
        <v>0</v>
      </c>
      <c r="AB74" s="19"/>
      <c r="AC74" s="19"/>
      <c r="AD74" s="274"/>
      <c r="AE74" s="19"/>
      <c r="AF74" s="19">
        <f>SUM(AF75:AF77)</f>
        <v>0</v>
      </c>
      <c r="AG74" s="19"/>
      <c r="AH74" s="19"/>
      <c r="AI74" s="274"/>
      <c r="AJ74" s="19"/>
      <c r="AK74" s="19">
        <f>SUM(AK75:AK77)</f>
        <v>0</v>
      </c>
      <c r="AL74" s="19"/>
      <c r="AM74" s="19"/>
      <c r="AN74" s="274"/>
      <c r="AO74" s="19"/>
      <c r="AP74" s="19">
        <f>SUM(AP75:AP77)</f>
        <v>0</v>
      </c>
      <c r="AQ74" s="19"/>
      <c r="AR74" s="19"/>
      <c r="AS74" s="274"/>
      <c r="AT74" s="19"/>
      <c r="AU74" s="19">
        <f>SUM(AU75:AU77)</f>
        <v>0</v>
      </c>
      <c r="AV74" s="19"/>
      <c r="AW74" s="19"/>
      <c r="AX74" s="274"/>
      <c r="AY74" s="19"/>
      <c r="AZ74" s="19">
        <f>SUM(AZ75:AZ77)</f>
        <v>0</v>
      </c>
      <c r="BA74" s="19"/>
      <c r="BB74" s="19"/>
      <c r="BC74" s="274"/>
      <c r="BD74" s="19"/>
      <c r="BE74" s="19">
        <f>SUM(BE75:BE77)</f>
        <v>0</v>
      </c>
      <c r="BF74" s="19"/>
      <c r="BG74" s="19"/>
      <c r="BH74" s="274"/>
      <c r="BI74" s="19"/>
      <c r="BJ74" s="19">
        <f>SUM(BJ75:BJ77)</f>
        <v>0</v>
      </c>
      <c r="BK74" s="19"/>
      <c r="BL74" s="19"/>
      <c r="BM74" s="274"/>
      <c r="BN74" s="19"/>
      <c r="BO74" s="19">
        <f>SUM(BO75:BO77)</f>
        <v>0</v>
      </c>
      <c r="BP74" s="19"/>
      <c r="BQ74" s="19"/>
      <c r="BR74" s="274"/>
      <c r="BS74" s="19"/>
      <c r="BT74" s="19">
        <f>SUM(BT75:BT77)</f>
        <v>0</v>
      </c>
      <c r="BU74" s="19"/>
      <c r="BV74" s="19"/>
      <c r="BW74" s="274"/>
      <c r="BX74" s="19"/>
      <c r="BY74" s="19">
        <f>SUM(BY75:BY77)</f>
        <v>1781</v>
      </c>
      <c r="BZ74" s="19"/>
      <c r="CA74" s="19"/>
      <c r="CB74" s="274"/>
      <c r="CC74" s="19"/>
      <c r="CD74" s="19">
        <f>SUM(CD75:CD77)</f>
        <v>0</v>
      </c>
      <c r="CE74" s="19"/>
      <c r="CF74" s="19"/>
      <c r="CG74" s="274"/>
      <c r="CH74" s="19"/>
      <c r="CI74" s="19">
        <f>SUM(CI75:CI77)</f>
        <v>1781</v>
      </c>
      <c r="CJ74" s="19"/>
      <c r="CK74" s="19"/>
      <c r="CL74" s="274"/>
      <c r="CM74" s="19"/>
      <c r="CN74" s="19">
        <f>SUM(CN75:CN77)</f>
        <v>0</v>
      </c>
      <c r="CO74" s="19"/>
      <c r="CP74" s="19"/>
      <c r="CQ74" s="274"/>
      <c r="CR74" s="19"/>
      <c r="CS74" s="19">
        <f>SUM(CS75:CS77)</f>
        <v>0</v>
      </c>
      <c r="CT74" s="19"/>
      <c r="CU74" s="19"/>
      <c r="CV74" s="274"/>
      <c r="CW74" s="19"/>
      <c r="CX74" s="19">
        <f>SUM(CX75:CX77)</f>
        <v>0</v>
      </c>
      <c r="CY74" s="19"/>
      <c r="CZ74" s="19"/>
      <c r="DA74" s="274"/>
      <c r="DB74" s="19"/>
      <c r="DC74" s="19">
        <f>SUM(DC75:DC77)</f>
        <v>0</v>
      </c>
      <c r="DD74" s="19"/>
      <c r="DE74" s="19"/>
      <c r="DF74" s="274"/>
      <c r="DG74" s="19"/>
      <c r="DH74" s="19">
        <f>SUM(DH75:DH77)</f>
        <v>0</v>
      </c>
      <c r="DI74" s="19"/>
      <c r="DJ74" s="19"/>
      <c r="DK74" s="274"/>
      <c r="DL74" s="19"/>
      <c r="DM74" s="19">
        <f>SUM(DM75:DM77)</f>
        <v>0</v>
      </c>
      <c r="DN74" s="19"/>
      <c r="DO74" s="19"/>
      <c r="DP74" s="274"/>
      <c r="DQ74" s="19"/>
      <c r="DR74" s="19">
        <f>SUM(DR75:DR77)</f>
        <v>0</v>
      </c>
      <c r="DS74" s="19"/>
      <c r="DT74" s="19"/>
      <c r="DU74" s="274"/>
      <c r="DV74" s="19"/>
      <c r="DW74" s="19">
        <f>SUM(DW75:DW77)</f>
        <v>0</v>
      </c>
      <c r="DX74" s="19"/>
      <c r="DY74" s="19"/>
      <c r="DZ74" s="274"/>
      <c r="EA74" s="19"/>
      <c r="EB74" s="19">
        <f>SUM(EB75:EB77)</f>
        <v>0</v>
      </c>
      <c r="EC74" s="19"/>
      <c r="ED74" s="19"/>
      <c r="EE74" s="274"/>
      <c r="EF74" s="19"/>
      <c r="EG74" s="19">
        <f>SUM(EG75:EG77)</f>
        <v>0</v>
      </c>
      <c r="EH74" s="19"/>
      <c r="EI74" s="19"/>
      <c r="EJ74" s="274"/>
      <c r="EK74" s="19"/>
      <c r="EL74" s="19">
        <f>SUM(EL75:EL77)</f>
        <v>1781</v>
      </c>
      <c r="EM74" s="19"/>
      <c r="EN74" s="19"/>
      <c r="EO74" s="244"/>
      <c r="ER74" s="451"/>
      <c r="ES74" s="451"/>
    </row>
    <row r="75" spans="4:149" ht="12.75" customHeight="1" x14ac:dyDescent="0.2">
      <c r="D75" s="244" t="s">
        <v>344</v>
      </c>
      <c r="E75" s="274"/>
      <c r="F75" s="112"/>
      <c r="G75" s="374">
        <v>0</v>
      </c>
      <c r="H75" s="475"/>
      <c r="I75" s="19"/>
      <c r="J75" s="274"/>
      <c r="K75" s="173"/>
      <c r="L75" s="374">
        <v>0</v>
      </c>
      <c r="M75" s="475"/>
      <c r="N75" s="19"/>
      <c r="O75" s="274"/>
      <c r="P75" s="173"/>
      <c r="Q75" s="374">
        <v>0</v>
      </c>
      <c r="R75" s="475"/>
      <c r="S75" s="19"/>
      <c r="T75" s="274"/>
      <c r="U75" s="173"/>
      <c r="V75" s="374">
        <v>0</v>
      </c>
      <c r="W75" s="475"/>
      <c r="X75" s="19"/>
      <c r="Y75" s="274"/>
      <c r="Z75" s="173"/>
      <c r="AA75" s="374">
        <v>0</v>
      </c>
      <c r="AB75" s="475"/>
      <c r="AC75" s="19"/>
      <c r="AD75" s="274"/>
      <c r="AE75" s="173"/>
      <c r="AF75" s="374">
        <v>0</v>
      </c>
      <c r="AG75" s="475"/>
      <c r="AH75" s="19"/>
      <c r="AI75" s="274"/>
      <c r="AJ75" s="173"/>
      <c r="AK75" s="374">
        <v>0</v>
      </c>
      <c r="AL75" s="475"/>
      <c r="AM75" s="19"/>
      <c r="AN75" s="274"/>
      <c r="AO75" s="173"/>
      <c r="AP75" s="374">
        <v>0</v>
      </c>
      <c r="AQ75" s="475"/>
      <c r="AR75" s="19"/>
      <c r="AS75" s="274"/>
      <c r="AT75" s="173"/>
      <c r="AU75" s="374">
        <v>0</v>
      </c>
      <c r="AV75" s="475"/>
      <c r="AW75" s="19"/>
      <c r="AX75" s="274"/>
      <c r="AY75" s="173"/>
      <c r="AZ75" s="374">
        <v>0</v>
      </c>
      <c r="BA75" s="475"/>
      <c r="BB75" s="19"/>
      <c r="BC75" s="274"/>
      <c r="BD75" s="173"/>
      <c r="BE75" s="374">
        <v>0</v>
      </c>
      <c r="BF75" s="475"/>
      <c r="BG75" s="19"/>
      <c r="BH75" s="274"/>
      <c r="BI75" s="173"/>
      <c r="BJ75" s="374">
        <v>0</v>
      </c>
      <c r="BK75" s="475"/>
      <c r="BL75" s="19"/>
      <c r="BM75" s="274"/>
      <c r="BN75" s="173"/>
      <c r="BO75" s="374">
        <v>0</v>
      </c>
      <c r="BP75" s="475"/>
      <c r="BQ75" s="19"/>
      <c r="BR75" s="274"/>
      <c r="BS75" s="173"/>
      <c r="BT75" s="374">
        <f>SUM(L75:BO75)</f>
        <v>0</v>
      </c>
      <c r="BU75" s="475"/>
      <c r="BV75" s="19"/>
      <c r="BW75" s="274"/>
      <c r="BX75" s="173"/>
      <c r="BY75" s="374">
        <v>1289</v>
      </c>
      <c r="BZ75" s="475"/>
      <c r="CA75" s="19"/>
      <c r="CB75" s="274"/>
      <c r="CC75" s="173"/>
      <c r="CD75" s="374">
        <v>0</v>
      </c>
      <c r="CE75" s="475"/>
      <c r="CF75" s="19"/>
      <c r="CG75" s="274"/>
      <c r="CH75" s="173"/>
      <c r="CI75" s="374">
        <f>1781-492</f>
        <v>1289</v>
      </c>
      <c r="CJ75" s="475"/>
      <c r="CK75" s="19"/>
      <c r="CL75" s="274"/>
      <c r="CM75" s="173"/>
      <c r="CN75" s="374">
        <v>0</v>
      </c>
      <c r="CO75" s="475"/>
      <c r="CP75" s="19"/>
      <c r="CQ75" s="274"/>
      <c r="CR75" s="173"/>
      <c r="CS75" s="374">
        <v>0</v>
      </c>
      <c r="CT75" s="475"/>
      <c r="CU75" s="19"/>
      <c r="CV75" s="274"/>
      <c r="CW75" s="173"/>
      <c r="CX75" s="374">
        <v>0</v>
      </c>
      <c r="CY75" s="475"/>
      <c r="CZ75" s="19"/>
      <c r="DA75" s="274"/>
      <c r="DB75" s="173"/>
      <c r="DC75" s="374">
        <v>0</v>
      </c>
      <c r="DD75" s="475"/>
      <c r="DE75" s="19"/>
      <c r="DF75" s="274"/>
      <c r="DG75" s="173"/>
      <c r="DH75" s="374">
        <v>0</v>
      </c>
      <c r="DI75" s="475"/>
      <c r="DJ75" s="19"/>
      <c r="DK75" s="274"/>
      <c r="DL75" s="173"/>
      <c r="DM75" s="374">
        <v>0</v>
      </c>
      <c r="DN75" s="475"/>
      <c r="DO75" s="19"/>
      <c r="DP75" s="274"/>
      <c r="DQ75" s="173"/>
      <c r="DR75" s="374">
        <v>0</v>
      </c>
      <c r="DS75" s="475"/>
      <c r="DT75" s="19"/>
      <c r="DU75" s="274"/>
      <c r="DV75" s="173"/>
      <c r="DW75" s="374">
        <v>0</v>
      </c>
      <c r="DX75" s="475"/>
      <c r="DY75" s="19"/>
      <c r="DZ75" s="274"/>
      <c r="EA75" s="173"/>
      <c r="EB75" s="374">
        <v>0</v>
      </c>
      <c r="EC75" s="475"/>
      <c r="ED75" s="19"/>
      <c r="EE75" s="274"/>
      <c r="EF75" s="173"/>
      <c r="EG75" s="374">
        <v>0</v>
      </c>
      <c r="EH75" s="475"/>
      <c r="EI75" s="19"/>
      <c r="EJ75" s="274"/>
      <c r="EK75" s="173"/>
      <c r="EL75" s="374">
        <f>SUM(CD75:EG75)</f>
        <v>1289</v>
      </c>
      <c r="EM75" s="475"/>
      <c r="EN75" s="19"/>
      <c r="EO75" s="244"/>
      <c r="ER75" s="451"/>
      <c r="ES75" s="451"/>
    </row>
    <row r="76" spans="4:149" ht="12.75" customHeight="1" x14ac:dyDescent="0.2">
      <c r="D76" s="244" t="s">
        <v>346</v>
      </c>
      <c r="E76" s="274"/>
      <c r="F76" s="82"/>
      <c r="G76" s="19">
        <v>0</v>
      </c>
      <c r="H76" s="18"/>
      <c r="I76" s="19"/>
      <c r="J76" s="274"/>
      <c r="K76" s="274"/>
      <c r="L76" s="19">
        <v>0</v>
      </c>
      <c r="M76" s="18"/>
      <c r="N76" s="19"/>
      <c r="O76" s="274"/>
      <c r="P76" s="274"/>
      <c r="Q76" s="19">
        <v>0</v>
      </c>
      <c r="R76" s="18"/>
      <c r="S76" s="19"/>
      <c r="T76" s="274"/>
      <c r="U76" s="274"/>
      <c r="V76" s="19">
        <v>0</v>
      </c>
      <c r="W76" s="18"/>
      <c r="X76" s="19"/>
      <c r="Y76" s="274"/>
      <c r="Z76" s="274"/>
      <c r="AA76" s="19">
        <v>0</v>
      </c>
      <c r="AB76" s="18"/>
      <c r="AC76" s="19"/>
      <c r="AD76" s="274"/>
      <c r="AE76" s="274"/>
      <c r="AF76" s="19">
        <v>0</v>
      </c>
      <c r="AG76" s="18"/>
      <c r="AH76" s="19"/>
      <c r="AI76" s="274"/>
      <c r="AJ76" s="274"/>
      <c r="AK76" s="19">
        <v>0</v>
      </c>
      <c r="AL76" s="18"/>
      <c r="AM76" s="19"/>
      <c r="AN76" s="274"/>
      <c r="AO76" s="274"/>
      <c r="AP76" s="19">
        <v>0</v>
      </c>
      <c r="AQ76" s="18"/>
      <c r="AR76" s="19"/>
      <c r="AS76" s="274"/>
      <c r="AT76" s="274"/>
      <c r="AU76" s="19">
        <v>0</v>
      </c>
      <c r="AV76" s="18"/>
      <c r="AW76" s="19"/>
      <c r="AX76" s="274"/>
      <c r="AY76" s="274"/>
      <c r="AZ76" s="19">
        <v>0</v>
      </c>
      <c r="BA76" s="18"/>
      <c r="BB76" s="19"/>
      <c r="BC76" s="274"/>
      <c r="BD76" s="274"/>
      <c r="BE76" s="19">
        <v>0</v>
      </c>
      <c r="BF76" s="18"/>
      <c r="BG76" s="19"/>
      <c r="BH76" s="274"/>
      <c r="BI76" s="274"/>
      <c r="BJ76" s="19">
        <v>0</v>
      </c>
      <c r="BK76" s="18"/>
      <c r="BL76" s="19"/>
      <c r="BM76" s="274"/>
      <c r="BN76" s="274"/>
      <c r="BO76" s="19">
        <v>0</v>
      </c>
      <c r="BP76" s="18"/>
      <c r="BQ76" s="19"/>
      <c r="BR76" s="274"/>
      <c r="BS76" s="274"/>
      <c r="BT76" s="19">
        <f>SUM(L76:BO76)</f>
        <v>0</v>
      </c>
      <c r="BU76" s="18"/>
      <c r="BV76" s="19"/>
      <c r="BW76" s="274"/>
      <c r="BX76" s="274"/>
      <c r="BY76" s="19">
        <v>492</v>
      </c>
      <c r="BZ76" s="18"/>
      <c r="CA76" s="19"/>
      <c r="CB76" s="274"/>
      <c r="CC76" s="274"/>
      <c r="CD76" s="19">
        <v>0</v>
      </c>
      <c r="CE76" s="18"/>
      <c r="CF76" s="19"/>
      <c r="CG76" s="274"/>
      <c r="CH76" s="274"/>
      <c r="CI76" s="19">
        <v>492</v>
      </c>
      <c r="CJ76" s="18"/>
      <c r="CK76" s="19"/>
      <c r="CL76" s="274"/>
      <c r="CM76" s="274"/>
      <c r="CN76" s="19">
        <v>0</v>
      </c>
      <c r="CO76" s="18"/>
      <c r="CP76" s="19"/>
      <c r="CQ76" s="274"/>
      <c r="CR76" s="274"/>
      <c r="CS76" s="19">
        <v>0</v>
      </c>
      <c r="CT76" s="18"/>
      <c r="CU76" s="19"/>
      <c r="CV76" s="274"/>
      <c r="CW76" s="274"/>
      <c r="CX76" s="19">
        <v>0</v>
      </c>
      <c r="CY76" s="18"/>
      <c r="CZ76" s="19"/>
      <c r="DA76" s="274"/>
      <c r="DB76" s="274"/>
      <c r="DC76" s="19">
        <v>0</v>
      </c>
      <c r="DD76" s="18"/>
      <c r="DE76" s="19"/>
      <c r="DF76" s="274"/>
      <c r="DG76" s="274"/>
      <c r="DH76" s="19">
        <v>0</v>
      </c>
      <c r="DI76" s="18"/>
      <c r="DJ76" s="19"/>
      <c r="DK76" s="274"/>
      <c r="DL76" s="274"/>
      <c r="DM76" s="19">
        <v>0</v>
      </c>
      <c r="DN76" s="18"/>
      <c r="DO76" s="19"/>
      <c r="DP76" s="274"/>
      <c r="DQ76" s="274"/>
      <c r="DR76" s="19">
        <v>0</v>
      </c>
      <c r="DS76" s="18"/>
      <c r="DT76" s="19"/>
      <c r="DU76" s="274"/>
      <c r="DV76" s="274"/>
      <c r="DW76" s="19">
        <v>0</v>
      </c>
      <c r="DX76" s="18"/>
      <c r="DY76" s="19"/>
      <c r="DZ76" s="274"/>
      <c r="EA76" s="274"/>
      <c r="EB76" s="19">
        <v>0</v>
      </c>
      <c r="EC76" s="18"/>
      <c r="ED76" s="19"/>
      <c r="EE76" s="274"/>
      <c r="EF76" s="274"/>
      <c r="EG76" s="19">
        <v>0</v>
      </c>
      <c r="EH76" s="18"/>
      <c r="EI76" s="19"/>
      <c r="EJ76" s="274"/>
      <c r="EK76" s="274"/>
      <c r="EL76" s="19">
        <f>SUM(CD76:EG76)</f>
        <v>492</v>
      </c>
      <c r="EM76" s="18"/>
      <c r="EN76" s="19"/>
      <c r="EO76" s="244"/>
      <c r="ER76" s="451"/>
      <c r="ES76" s="451"/>
    </row>
    <row r="77" spans="4:149" ht="12.75" customHeight="1" x14ac:dyDescent="0.2">
      <c r="D77" s="244" t="s">
        <v>354</v>
      </c>
      <c r="E77" s="274"/>
      <c r="F77" s="276"/>
      <c r="G77" s="37">
        <v>0</v>
      </c>
      <c r="H77" s="36"/>
      <c r="I77" s="19"/>
      <c r="J77" s="274"/>
      <c r="K77" s="231"/>
      <c r="L77" s="37">
        <v>0</v>
      </c>
      <c r="M77" s="36"/>
      <c r="N77" s="19"/>
      <c r="O77" s="274"/>
      <c r="P77" s="231"/>
      <c r="Q77" s="37">
        <v>0</v>
      </c>
      <c r="R77" s="36"/>
      <c r="S77" s="19"/>
      <c r="T77" s="274"/>
      <c r="U77" s="231"/>
      <c r="V77" s="37">
        <v>0</v>
      </c>
      <c r="W77" s="36"/>
      <c r="X77" s="19"/>
      <c r="Y77" s="274"/>
      <c r="Z77" s="231"/>
      <c r="AA77" s="37">
        <v>0</v>
      </c>
      <c r="AB77" s="36"/>
      <c r="AC77" s="19"/>
      <c r="AD77" s="274"/>
      <c r="AE77" s="231"/>
      <c r="AF77" s="37">
        <v>0</v>
      </c>
      <c r="AG77" s="36"/>
      <c r="AH77" s="19"/>
      <c r="AI77" s="274"/>
      <c r="AJ77" s="231"/>
      <c r="AK77" s="37">
        <v>0</v>
      </c>
      <c r="AL77" s="36"/>
      <c r="AM77" s="19"/>
      <c r="AN77" s="274"/>
      <c r="AO77" s="231"/>
      <c r="AP77" s="37">
        <v>0</v>
      </c>
      <c r="AQ77" s="36"/>
      <c r="AR77" s="19"/>
      <c r="AS77" s="274"/>
      <c r="AT77" s="231"/>
      <c r="AU77" s="37">
        <v>0</v>
      </c>
      <c r="AV77" s="36"/>
      <c r="AW77" s="19"/>
      <c r="AX77" s="274"/>
      <c r="AY77" s="231"/>
      <c r="AZ77" s="37">
        <v>0</v>
      </c>
      <c r="BA77" s="36"/>
      <c r="BB77" s="19"/>
      <c r="BC77" s="274"/>
      <c r="BD77" s="231"/>
      <c r="BE77" s="37">
        <v>0</v>
      </c>
      <c r="BF77" s="36"/>
      <c r="BG77" s="19"/>
      <c r="BH77" s="274"/>
      <c r="BI77" s="231"/>
      <c r="BJ77" s="37">
        <v>0</v>
      </c>
      <c r="BK77" s="36"/>
      <c r="BL77" s="19"/>
      <c r="BM77" s="274"/>
      <c r="BN77" s="231"/>
      <c r="BO77" s="37">
        <v>0</v>
      </c>
      <c r="BP77" s="36"/>
      <c r="BQ77" s="19"/>
      <c r="BR77" s="274"/>
      <c r="BS77" s="231"/>
      <c r="BT77" s="37">
        <f>SUM(L77:BO77)</f>
        <v>0</v>
      </c>
      <c r="BU77" s="36"/>
      <c r="BV77" s="19"/>
      <c r="BW77" s="274"/>
      <c r="BX77" s="231"/>
      <c r="BY77" s="37">
        <v>0</v>
      </c>
      <c r="BZ77" s="36"/>
      <c r="CA77" s="19"/>
      <c r="CB77" s="274"/>
      <c r="CC77" s="231"/>
      <c r="CD77" s="37">
        <v>0</v>
      </c>
      <c r="CE77" s="36"/>
      <c r="CF77" s="19"/>
      <c r="CG77" s="274"/>
      <c r="CH77" s="231"/>
      <c r="CI77" s="37">
        <v>0</v>
      </c>
      <c r="CJ77" s="36"/>
      <c r="CK77" s="19"/>
      <c r="CL77" s="274"/>
      <c r="CM77" s="231"/>
      <c r="CN77" s="37">
        <v>0</v>
      </c>
      <c r="CO77" s="36"/>
      <c r="CP77" s="19"/>
      <c r="CQ77" s="274"/>
      <c r="CR77" s="231"/>
      <c r="CS77" s="37">
        <v>0</v>
      </c>
      <c r="CT77" s="36"/>
      <c r="CU77" s="19"/>
      <c r="CV77" s="274"/>
      <c r="CW77" s="231"/>
      <c r="CX77" s="37">
        <v>0</v>
      </c>
      <c r="CY77" s="36"/>
      <c r="CZ77" s="19"/>
      <c r="DA77" s="274"/>
      <c r="DB77" s="231"/>
      <c r="DC77" s="37">
        <v>0</v>
      </c>
      <c r="DD77" s="36"/>
      <c r="DE77" s="19"/>
      <c r="DF77" s="274"/>
      <c r="DG77" s="231"/>
      <c r="DH77" s="37">
        <v>0</v>
      </c>
      <c r="DI77" s="36"/>
      <c r="DJ77" s="19"/>
      <c r="DK77" s="274"/>
      <c r="DL77" s="231"/>
      <c r="DM77" s="37">
        <v>0</v>
      </c>
      <c r="DN77" s="36"/>
      <c r="DO77" s="19"/>
      <c r="DP77" s="274"/>
      <c r="DQ77" s="231"/>
      <c r="DR77" s="37">
        <v>0</v>
      </c>
      <c r="DS77" s="36"/>
      <c r="DT77" s="19"/>
      <c r="DU77" s="274"/>
      <c r="DV77" s="231"/>
      <c r="DW77" s="37">
        <v>0</v>
      </c>
      <c r="DX77" s="36"/>
      <c r="DY77" s="19"/>
      <c r="DZ77" s="274"/>
      <c r="EA77" s="231"/>
      <c r="EB77" s="37">
        <v>0</v>
      </c>
      <c r="EC77" s="36"/>
      <c r="ED77" s="19"/>
      <c r="EE77" s="274"/>
      <c r="EF77" s="231"/>
      <c r="EG77" s="37">
        <v>0</v>
      </c>
      <c r="EH77" s="36"/>
      <c r="EI77" s="19"/>
      <c r="EJ77" s="274"/>
      <c r="EK77" s="231"/>
      <c r="EL77" s="37">
        <f>SUM(CD77:EG77)</f>
        <v>0</v>
      </c>
      <c r="EM77" s="36"/>
      <c r="EN77" s="19"/>
      <c r="EO77" s="244"/>
      <c r="ER77" s="451"/>
      <c r="ES77" s="451"/>
    </row>
    <row r="78" spans="4:149" ht="12.75" customHeight="1" x14ac:dyDescent="0.2">
      <c r="D78" s="410"/>
      <c r="E78" s="83"/>
      <c r="F78" s="283"/>
      <c r="G78" s="93"/>
      <c r="H78" s="93"/>
      <c r="I78" s="93"/>
      <c r="J78" s="122"/>
      <c r="K78" s="93"/>
      <c r="L78" s="93"/>
      <c r="M78" s="93"/>
      <c r="N78" s="93"/>
      <c r="O78" s="122"/>
      <c r="P78" s="93"/>
      <c r="Q78" s="93"/>
      <c r="R78" s="93"/>
      <c r="S78" s="93"/>
      <c r="T78" s="122"/>
      <c r="U78" s="93"/>
      <c r="V78" s="93"/>
      <c r="W78" s="93"/>
      <c r="X78" s="93"/>
      <c r="Y78" s="122"/>
      <c r="Z78" s="93"/>
      <c r="AA78" s="93"/>
      <c r="AB78" s="93"/>
      <c r="AC78" s="93"/>
      <c r="AD78" s="122"/>
      <c r="AE78" s="93"/>
      <c r="AF78" s="93"/>
      <c r="AG78" s="93"/>
      <c r="AH78" s="93"/>
      <c r="AI78" s="122"/>
      <c r="AJ78" s="93"/>
      <c r="AK78" s="93"/>
      <c r="AL78" s="93"/>
      <c r="AM78" s="93"/>
      <c r="AN78" s="122"/>
      <c r="AO78" s="93"/>
      <c r="AP78" s="93"/>
      <c r="AQ78" s="93"/>
      <c r="AR78" s="93"/>
      <c r="AS78" s="122"/>
      <c r="AT78" s="93"/>
      <c r="AU78" s="93"/>
      <c r="AV78" s="93"/>
      <c r="AW78" s="93"/>
      <c r="AX78" s="122"/>
      <c r="AY78" s="93"/>
      <c r="AZ78" s="93"/>
      <c r="BA78" s="93"/>
      <c r="BB78" s="93"/>
      <c r="BC78" s="122"/>
      <c r="BD78" s="93"/>
      <c r="BE78" s="93"/>
      <c r="BF78" s="93"/>
      <c r="BG78" s="93"/>
      <c r="BH78" s="122"/>
      <c r="BI78" s="93"/>
      <c r="BJ78" s="93"/>
      <c r="BK78" s="93"/>
      <c r="BL78" s="93"/>
      <c r="BM78" s="122"/>
      <c r="BN78" s="93"/>
      <c r="BO78" s="93"/>
      <c r="BP78" s="93"/>
      <c r="BQ78" s="93"/>
      <c r="BR78" s="122"/>
      <c r="BS78" s="93"/>
      <c r="BT78" s="93"/>
      <c r="BU78" s="93"/>
      <c r="BV78" s="93"/>
      <c r="BW78" s="122"/>
      <c r="BX78" s="93"/>
      <c r="BY78" s="93"/>
      <c r="BZ78" s="93"/>
      <c r="CA78" s="93"/>
      <c r="CB78" s="122"/>
      <c r="CC78" s="93"/>
      <c r="CD78" s="93"/>
      <c r="CE78" s="93"/>
      <c r="CF78" s="93"/>
      <c r="CG78" s="122"/>
      <c r="CH78" s="93"/>
      <c r="CI78" s="93"/>
      <c r="CJ78" s="93"/>
      <c r="CK78" s="93"/>
      <c r="CL78" s="122"/>
      <c r="CM78" s="93"/>
      <c r="CN78" s="93"/>
      <c r="CO78" s="93"/>
      <c r="CP78" s="93"/>
      <c r="CQ78" s="122"/>
      <c r="CR78" s="93"/>
      <c r="CS78" s="93"/>
      <c r="CT78" s="93"/>
      <c r="CU78" s="93"/>
      <c r="CV78" s="122"/>
      <c r="CW78" s="93"/>
      <c r="CX78" s="93"/>
      <c r="CY78" s="93"/>
      <c r="CZ78" s="93"/>
      <c r="DA78" s="122"/>
      <c r="DB78" s="93"/>
      <c r="DC78" s="93"/>
      <c r="DD78" s="93"/>
      <c r="DE78" s="93"/>
      <c r="DF78" s="122"/>
      <c r="DG78" s="93"/>
      <c r="DH78" s="93"/>
      <c r="DI78" s="93"/>
      <c r="DJ78" s="93"/>
      <c r="DK78" s="122"/>
      <c r="DL78" s="93"/>
      <c r="DM78" s="93"/>
      <c r="DN78" s="93"/>
      <c r="DO78" s="93"/>
      <c r="DP78" s="122"/>
      <c r="DQ78" s="93"/>
      <c r="DR78" s="93"/>
      <c r="DS78" s="93"/>
      <c r="DT78" s="93"/>
      <c r="DU78" s="122"/>
      <c r="DV78" s="93"/>
      <c r="DW78" s="93"/>
      <c r="DX78" s="93"/>
      <c r="DY78" s="93"/>
      <c r="DZ78" s="122"/>
      <c r="EA78" s="93"/>
      <c r="EB78" s="93"/>
      <c r="EC78" s="93"/>
      <c r="ED78" s="93"/>
      <c r="EE78" s="122"/>
      <c r="EF78" s="93"/>
      <c r="EG78" s="93"/>
      <c r="EH78" s="93"/>
      <c r="EI78" s="93"/>
      <c r="EJ78" s="122"/>
      <c r="EK78" s="93"/>
      <c r="EL78" s="93"/>
      <c r="EM78" s="283"/>
      <c r="EN78" s="283"/>
      <c r="EO78" s="244"/>
      <c r="ER78" s="451"/>
      <c r="ES78" s="451"/>
    </row>
    <row r="79" spans="4:149" ht="12.75" hidden="1" customHeight="1" x14ac:dyDescent="0.2">
      <c r="D79" s="244" t="s">
        <v>359</v>
      </c>
      <c r="E79" s="274"/>
      <c r="G79" s="19">
        <f>SUM(G80:G83)</f>
        <v>0</v>
      </c>
      <c r="H79" s="19"/>
      <c r="I79" s="19"/>
      <c r="J79" s="274"/>
      <c r="K79" s="19"/>
      <c r="L79" s="19">
        <f>SUM(L80:L83)</f>
        <v>0</v>
      </c>
      <c r="M79" s="19"/>
      <c r="N79" s="19"/>
      <c r="O79" s="274"/>
      <c r="P79" s="19"/>
      <c r="Q79" s="19">
        <f>SUM(Q80:Q83)</f>
        <v>0</v>
      </c>
      <c r="R79" s="19"/>
      <c r="S79" s="19"/>
      <c r="T79" s="274"/>
      <c r="U79" s="19"/>
      <c r="V79" s="19">
        <f>SUM(V80:V83)</f>
        <v>0</v>
      </c>
      <c r="W79" s="19"/>
      <c r="X79" s="19"/>
      <c r="Y79" s="274"/>
      <c r="Z79" s="19"/>
      <c r="AA79" s="19">
        <f>SUM(AA80:AA83)</f>
        <v>0</v>
      </c>
      <c r="AB79" s="19"/>
      <c r="AC79" s="19"/>
      <c r="AD79" s="274"/>
      <c r="AE79" s="19"/>
      <c r="AF79" s="19">
        <f>SUM(AF80:AF83)</f>
        <v>0</v>
      </c>
      <c r="AG79" s="19"/>
      <c r="AH79" s="19"/>
      <c r="AI79" s="274"/>
      <c r="AJ79" s="19"/>
      <c r="AK79" s="19">
        <f>SUM(AK80:AK83)</f>
        <v>0</v>
      </c>
      <c r="AL79" s="19"/>
      <c r="AM79" s="19"/>
      <c r="AN79" s="274"/>
      <c r="AO79" s="19"/>
      <c r="AP79" s="19">
        <f>SUM(AP80:AP83)</f>
        <v>0</v>
      </c>
      <c r="AQ79" s="19"/>
      <c r="AR79" s="19"/>
      <c r="AS79" s="274"/>
      <c r="AT79" s="19"/>
      <c r="AU79" s="19">
        <f>SUM(AU80:AU83)</f>
        <v>0</v>
      </c>
      <c r="AV79" s="19"/>
      <c r="AW79" s="19"/>
      <c r="AX79" s="274"/>
      <c r="AY79" s="19"/>
      <c r="AZ79" s="19">
        <f>SUM(AZ80:AZ83)</f>
        <v>0</v>
      </c>
      <c r="BA79" s="19"/>
      <c r="BB79" s="19"/>
      <c r="BC79" s="274"/>
      <c r="BD79" s="19"/>
      <c r="BE79" s="19">
        <f>SUM(BE80:BE83)</f>
        <v>0</v>
      </c>
      <c r="BF79" s="19"/>
      <c r="BG79" s="19"/>
      <c r="BH79" s="274"/>
      <c r="BI79" s="19"/>
      <c r="BJ79" s="19">
        <f>SUM(BJ80:BJ83)</f>
        <v>0</v>
      </c>
      <c r="BK79" s="19"/>
      <c r="BL79" s="19"/>
      <c r="BM79" s="274"/>
      <c r="BN79" s="19"/>
      <c r="BO79" s="19">
        <f>SUM(BO80:BO83)</f>
        <v>0</v>
      </c>
      <c r="BP79" s="19"/>
      <c r="BQ79" s="19"/>
      <c r="BR79" s="274"/>
      <c r="BS79" s="19"/>
      <c r="BT79" s="19">
        <f>SUM(BT80:BT83)</f>
        <v>0</v>
      </c>
      <c r="BU79" s="19"/>
      <c r="BV79" s="19"/>
      <c r="BW79" s="274"/>
      <c r="BX79" s="19"/>
      <c r="BY79" s="19">
        <f>SUM(BY80:BY83)</f>
        <v>0</v>
      </c>
      <c r="BZ79" s="19"/>
      <c r="CA79" s="19"/>
      <c r="CB79" s="274"/>
      <c r="CC79" s="19"/>
      <c r="CD79" s="19">
        <f>SUM(CD80:CD83)</f>
        <v>0</v>
      </c>
      <c r="CE79" s="19"/>
      <c r="CF79" s="19"/>
      <c r="CG79" s="274"/>
      <c r="CH79" s="19"/>
      <c r="CI79" s="19">
        <f>SUM(CI80:CI83)</f>
        <v>0</v>
      </c>
      <c r="CJ79" s="19"/>
      <c r="CK79" s="19"/>
      <c r="CL79" s="274"/>
      <c r="CM79" s="19"/>
      <c r="CN79" s="19">
        <f>SUM(CN80:CN83)</f>
        <v>0</v>
      </c>
      <c r="CO79" s="19"/>
      <c r="CP79" s="19"/>
      <c r="CQ79" s="274"/>
      <c r="CR79" s="19"/>
      <c r="CS79" s="19">
        <f>SUM(CS80:CS83)</f>
        <v>0</v>
      </c>
      <c r="CT79" s="19"/>
      <c r="CU79" s="19"/>
      <c r="CV79" s="274"/>
      <c r="CW79" s="19"/>
      <c r="CX79" s="19">
        <f>SUM(CX80:CX83)</f>
        <v>0</v>
      </c>
      <c r="CY79" s="19"/>
      <c r="CZ79" s="19"/>
      <c r="DA79" s="274"/>
      <c r="DB79" s="19"/>
      <c r="DC79" s="19">
        <f>SUM(DC80:DC83)</f>
        <v>0</v>
      </c>
      <c r="DD79" s="19"/>
      <c r="DE79" s="19"/>
      <c r="DF79" s="274"/>
      <c r="DG79" s="19"/>
      <c r="DH79" s="19">
        <f>SUM(DH80:DH83)</f>
        <v>0</v>
      </c>
      <c r="DI79" s="19"/>
      <c r="DJ79" s="19"/>
      <c r="DK79" s="274"/>
      <c r="DL79" s="19"/>
      <c r="DM79" s="19">
        <f>SUM(DM80:DM83)</f>
        <v>0</v>
      </c>
      <c r="DN79" s="19"/>
      <c r="DO79" s="19"/>
      <c r="DP79" s="274"/>
      <c r="DQ79" s="19"/>
      <c r="DR79" s="19">
        <f>SUM(DR80:DR83)</f>
        <v>0</v>
      </c>
      <c r="DS79" s="19"/>
      <c r="DT79" s="19"/>
      <c r="DU79" s="274"/>
      <c r="DV79" s="19"/>
      <c r="DW79" s="19">
        <f>SUM(DW80:DW83)</f>
        <v>0</v>
      </c>
      <c r="DX79" s="19"/>
      <c r="DY79" s="19"/>
      <c r="DZ79" s="274"/>
      <c r="EA79" s="19"/>
      <c r="EB79" s="19">
        <f>SUM(EB80:EB83)</f>
        <v>0</v>
      </c>
      <c r="EC79" s="19"/>
      <c r="ED79" s="19"/>
      <c r="EE79" s="274"/>
      <c r="EF79" s="19"/>
      <c r="EG79" s="19">
        <f>SUM(EG80:EG83)</f>
        <v>0</v>
      </c>
      <c r="EH79" s="19"/>
      <c r="EI79" s="19"/>
      <c r="EJ79" s="274"/>
      <c r="EK79" s="19"/>
      <c r="EL79" s="19">
        <f>SUM(EL80:EL83)</f>
        <v>0</v>
      </c>
      <c r="EM79" s="19"/>
      <c r="EN79" s="19"/>
      <c r="EO79" s="244"/>
      <c r="ER79" s="451"/>
      <c r="ES79" s="451"/>
    </row>
    <row r="80" spans="4:149" ht="12.75" hidden="1" customHeight="1" x14ac:dyDescent="0.2">
      <c r="D80" s="435" t="s">
        <v>344</v>
      </c>
      <c r="E80" s="274"/>
      <c r="F80" s="112"/>
      <c r="G80" s="374">
        <v>0</v>
      </c>
      <c r="H80" s="475"/>
      <c r="I80" s="19"/>
      <c r="J80" s="274"/>
      <c r="K80" s="173"/>
      <c r="L80" s="374">
        <v>0</v>
      </c>
      <c r="M80" s="475"/>
      <c r="N80" s="19"/>
      <c r="O80" s="274"/>
      <c r="P80" s="173"/>
      <c r="Q80" s="374">
        <v>0</v>
      </c>
      <c r="R80" s="475"/>
      <c r="S80" s="19"/>
      <c r="T80" s="274"/>
      <c r="U80" s="173"/>
      <c r="V80" s="374">
        <v>0</v>
      </c>
      <c r="W80" s="475"/>
      <c r="X80" s="19"/>
      <c r="Y80" s="274"/>
      <c r="Z80" s="173"/>
      <c r="AA80" s="374">
        <v>0</v>
      </c>
      <c r="AB80" s="475"/>
      <c r="AC80" s="19"/>
      <c r="AD80" s="274"/>
      <c r="AE80" s="173"/>
      <c r="AF80" s="374">
        <v>0</v>
      </c>
      <c r="AG80" s="475"/>
      <c r="AH80" s="19"/>
      <c r="AI80" s="274"/>
      <c r="AJ80" s="173"/>
      <c r="AK80" s="374">
        <v>0</v>
      </c>
      <c r="AL80" s="475"/>
      <c r="AM80" s="19"/>
      <c r="AN80" s="274"/>
      <c r="AO80" s="173"/>
      <c r="AP80" s="374">
        <v>0</v>
      </c>
      <c r="AQ80" s="475"/>
      <c r="AR80" s="19"/>
      <c r="AS80" s="274"/>
      <c r="AT80" s="173"/>
      <c r="AU80" s="374">
        <v>0</v>
      </c>
      <c r="AV80" s="475"/>
      <c r="AW80" s="19"/>
      <c r="AX80" s="274"/>
      <c r="AY80" s="173"/>
      <c r="AZ80" s="374">
        <v>0</v>
      </c>
      <c r="BA80" s="475"/>
      <c r="BB80" s="19"/>
      <c r="BC80" s="274"/>
      <c r="BD80" s="173"/>
      <c r="BE80" s="374">
        <v>0</v>
      </c>
      <c r="BF80" s="475"/>
      <c r="BG80" s="19"/>
      <c r="BH80" s="274"/>
      <c r="BI80" s="173"/>
      <c r="BJ80" s="374">
        <v>0</v>
      </c>
      <c r="BK80" s="475"/>
      <c r="BL80" s="19"/>
      <c r="BM80" s="274"/>
      <c r="BN80" s="173"/>
      <c r="BO80" s="374">
        <v>0</v>
      </c>
      <c r="BP80" s="475"/>
      <c r="BQ80" s="19"/>
      <c r="BR80" s="274"/>
      <c r="BS80" s="173"/>
      <c r="BT80" s="374">
        <f>SUM(L80:BO80)</f>
        <v>0</v>
      </c>
      <c r="BU80" s="475"/>
      <c r="BV80" s="19"/>
      <c r="BW80" s="274"/>
      <c r="BX80" s="173"/>
      <c r="BY80" s="374">
        <v>0</v>
      </c>
      <c r="BZ80" s="475"/>
      <c r="CA80" s="19"/>
      <c r="CB80" s="274"/>
      <c r="CC80" s="173"/>
      <c r="CD80" s="374">
        <v>0</v>
      </c>
      <c r="CE80" s="475"/>
      <c r="CF80" s="19"/>
      <c r="CG80" s="274"/>
      <c r="CH80" s="173"/>
      <c r="CI80" s="374">
        <v>0</v>
      </c>
      <c r="CJ80" s="475"/>
      <c r="CK80" s="19"/>
      <c r="CL80" s="274"/>
      <c r="CM80" s="173"/>
      <c r="CN80" s="374">
        <v>0</v>
      </c>
      <c r="CO80" s="475"/>
      <c r="CP80" s="19"/>
      <c r="CQ80" s="274"/>
      <c r="CR80" s="173"/>
      <c r="CS80" s="374">
        <v>0</v>
      </c>
      <c r="CT80" s="475"/>
      <c r="CU80" s="19"/>
      <c r="CV80" s="274"/>
      <c r="CW80" s="173"/>
      <c r="CX80" s="374">
        <v>0</v>
      </c>
      <c r="CY80" s="475"/>
      <c r="CZ80" s="19"/>
      <c r="DA80" s="274"/>
      <c r="DB80" s="173"/>
      <c r="DC80" s="374">
        <v>0</v>
      </c>
      <c r="DD80" s="475"/>
      <c r="DE80" s="19"/>
      <c r="DF80" s="274"/>
      <c r="DG80" s="173"/>
      <c r="DH80" s="374">
        <v>0</v>
      </c>
      <c r="DI80" s="475"/>
      <c r="DJ80" s="19"/>
      <c r="DK80" s="274"/>
      <c r="DL80" s="173"/>
      <c r="DM80" s="374">
        <v>0</v>
      </c>
      <c r="DN80" s="475"/>
      <c r="DO80" s="19"/>
      <c r="DP80" s="274"/>
      <c r="DQ80" s="173"/>
      <c r="DR80" s="374">
        <v>0</v>
      </c>
      <c r="DS80" s="475"/>
      <c r="DT80" s="19"/>
      <c r="DU80" s="274"/>
      <c r="DV80" s="173"/>
      <c r="DW80" s="374">
        <v>0</v>
      </c>
      <c r="DX80" s="475"/>
      <c r="DY80" s="19"/>
      <c r="DZ80" s="274"/>
      <c r="EA80" s="173"/>
      <c r="EB80" s="374">
        <v>0</v>
      </c>
      <c r="EC80" s="475"/>
      <c r="ED80" s="19"/>
      <c r="EE80" s="274"/>
      <c r="EF80" s="173"/>
      <c r="EG80" s="374">
        <v>0</v>
      </c>
      <c r="EH80" s="475"/>
      <c r="EI80" s="19"/>
      <c r="EJ80" s="274"/>
      <c r="EK80" s="173"/>
      <c r="EL80" s="374">
        <f>SUM(CD80:DM80)</f>
        <v>0</v>
      </c>
      <c r="EM80" s="475"/>
      <c r="EN80" s="19"/>
      <c r="EO80" s="244"/>
      <c r="ER80" s="451"/>
      <c r="ES80" s="451"/>
    </row>
    <row r="81" spans="3:149" ht="12.75" hidden="1" customHeight="1" x14ac:dyDescent="0.2">
      <c r="D81" s="435" t="s">
        <v>346</v>
      </c>
      <c r="E81" s="274"/>
      <c r="F81" s="82"/>
      <c r="G81" s="19">
        <v>0</v>
      </c>
      <c r="H81" s="18"/>
      <c r="I81" s="19"/>
      <c r="J81" s="274"/>
      <c r="K81" s="274"/>
      <c r="L81" s="19">
        <v>0</v>
      </c>
      <c r="M81" s="18"/>
      <c r="N81" s="19"/>
      <c r="O81" s="274"/>
      <c r="P81" s="274"/>
      <c r="Q81" s="19">
        <v>0</v>
      </c>
      <c r="R81" s="18"/>
      <c r="S81" s="19"/>
      <c r="T81" s="274"/>
      <c r="U81" s="274"/>
      <c r="V81" s="19">
        <v>0</v>
      </c>
      <c r="W81" s="18"/>
      <c r="X81" s="19"/>
      <c r="Y81" s="274"/>
      <c r="Z81" s="274"/>
      <c r="AA81" s="19">
        <v>0</v>
      </c>
      <c r="AB81" s="18"/>
      <c r="AC81" s="19"/>
      <c r="AD81" s="274"/>
      <c r="AE81" s="274"/>
      <c r="AF81" s="19">
        <v>0</v>
      </c>
      <c r="AG81" s="18"/>
      <c r="AH81" s="19"/>
      <c r="AI81" s="274"/>
      <c r="AJ81" s="274"/>
      <c r="AK81" s="19">
        <v>0</v>
      </c>
      <c r="AL81" s="18"/>
      <c r="AM81" s="19"/>
      <c r="AN81" s="274"/>
      <c r="AO81" s="274"/>
      <c r="AP81" s="19">
        <v>0</v>
      </c>
      <c r="AQ81" s="18"/>
      <c r="AR81" s="19"/>
      <c r="AS81" s="274"/>
      <c r="AT81" s="274"/>
      <c r="AU81" s="19">
        <v>0</v>
      </c>
      <c r="AV81" s="18"/>
      <c r="AW81" s="19"/>
      <c r="AX81" s="274"/>
      <c r="AY81" s="274"/>
      <c r="AZ81" s="19">
        <v>0</v>
      </c>
      <c r="BA81" s="18"/>
      <c r="BB81" s="19"/>
      <c r="BC81" s="274"/>
      <c r="BD81" s="274"/>
      <c r="BE81" s="19">
        <v>0</v>
      </c>
      <c r="BF81" s="18"/>
      <c r="BG81" s="19"/>
      <c r="BH81" s="274"/>
      <c r="BI81" s="274"/>
      <c r="BJ81" s="19">
        <v>0</v>
      </c>
      <c r="BK81" s="18"/>
      <c r="BL81" s="19"/>
      <c r="BM81" s="274"/>
      <c r="BN81" s="274"/>
      <c r="BO81" s="19">
        <v>0</v>
      </c>
      <c r="BP81" s="18"/>
      <c r="BQ81" s="19"/>
      <c r="BR81" s="274"/>
      <c r="BS81" s="274"/>
      <c r="BT81" s="19">
        <f>SUM(L81:BO81)</f>
        <v>0</v>
      </c>
      <c r="BU81" s="18"/>
      <c r="BV81" s="19"/>
      <c r="BW81" s="274"/>
      <c r="BX81" s="274"/>
      <c r="BY81" s="19">
        <v>0</v>
      </c>
      <c r="BZ81" s="18"/>
      <c r="CA81" s="19"/>
      <c r="CB81" s="274"/>
      <c r="CC81" s="274"/>
      <c r="CD81" s="19">
        <v>0</v>
      </c>
      <c r="CE81" s="18"/>
      <c r="CF81" s="19"/>
      <c r="CG81" s="274"/>
      <c r="CH81" s="274"/>
      <c r="CI81" s="19">
        <v>0</v>
      </c>
      <c r="CJ81" s="18"/>
      <c r="CK81" s="19"/>
      <c r="CL81" s="274"/>
      <c r="CM81" s="274"/>
      <c r="CN81" s="19">
        <v>0</v>
      </c>
      <c r="CO81" s="18"/>
      <c r="CP81" s="19"/>
      <c r="CQ81" s="274"/>
      <c r="CR81" s="274"/>
      <c r="CS81" s="19">
        <v>0</v>
      </c>
      <c r="CT81" s="18"/>
      <c r="CU81" s="19"/>
      <c r="CV81" s="274"/>
      <c r="CW81" s="274"/>
      <c r="CX81" s="19">
        <v>0</v>
      </c>
      <c r="CY81" s="18"/>
      <c r="CZ81" s="19"/>
      <c r="DA81" s="274"/>
      <c r="DB81" s="274"/>
      <c r="DC81" s="19">
        <v>0</v>
      </c>
      <c r="DD81" s="18"/>
      <c r="DE81" s="19"/>
      <c r="DF81" s="274"/>
      <c r="DG81" s="274"/>
      <c r="DH81" s="19">
        <v>0</v>
      </c>
      <c r="DI81" s="18"/>
      <c r="DJ81" s="19"/>
      <c r="DK81" s="274"/>
      <c r="DL81" s="274"/>
      <c r="DM81" s="19">
        <v>0</v>
      </c>
      <c r="DN81" s="18"/>
      <c r="DO81" s="19"/>
      <c r="DP81" s="274"/>
      <c r="DQ81" s="274"/>
      <c r="DR81" s="19">
        <v>0</v>
      </c>
      <c r="DS81" s="18"/>
      <c r="DT81" s="19"/>
      <c r="DU81" s="274"/>
      <c r="DV81" s="274"/>
      <c r="DW81" s="19">
        <v>0</v>
      </c>
      <c r="DX81" s="18"/>
      <c r="DY81" s="19"/>
      <c r="DZ81" s="274"/>
      <c r="EA81" s="274"/>
      <c r="EB81" s="19">
        <v>0</v>
      </c>
      <c r="EC81" s="18"/>
      <c r="ED81" s="19"/>
      <c r="EE81" s="274"/>
      <c r="EF81" s="274"/>
      <c r="EG81" s="19">
        <v>0</v>
      </c>
      <c r="EH81" s="18"/>
      <c r="EI81" s="19"/>
      <c r="EJ81" s="274"/>
      <c r="EK81" s="274"/>
      <c r="EL81" s="19">
        <f>SUM(CD81:DM81)</f>
        <v>0</v>
      </c>
      <c r="EM81" s="18"/>
      <c r="EN81" s="19"/>
      <c r="EO81" s="244"/>
      <c r="ER81" s="451"/>
      <c r="ES81" s="451"/>
    </row>
    <row r="82" spans="3:149" ht="12.75" hidden="1" customHeight="1" x14ac:dyDescent="0.2">
      <c r="D82" s="244" t="s">
        <v>347</v>
      </c>
      <c r="E82" s="274"/>
      <c r="F82" s="82"/>
      <c r="G82" s="19">
        <v>0</v>
      </c>
      <c r="H82" s="18"/>
      <c r="I82" s="19"/>
      <c r="J82" s="274"/>
      <c r="K82" s="274"/>
      <c r="L82" s="19">
        <v>0</v>
      </c>
      <c r="M82" s="18"/>
      <c r="N82" s="19"/>
      <c r="O82" s="274"/>
      <c r="P82" s="274"/>
      <c r="Q82" s="19">
        <v>0</v>
      </c>
      <c r="R82" s="18"/>
      <c r="S82" s="19"/>
      <c r="T82" s="274"/>
      <c r="U82" s="274"/>
      <c r="V82" s="19">
        <v>0</v>
      </c>
      <c r="W82" s="18"/>
      <c r="X82" s="19"/>
      <c r="Y82" s="274"/>
      <c r="Z82" s="274"/>
      <c r="AA82" s="19">
        <v>0</v>
      </c>
      <c r="AB82" s="18"/>
      <c r="AC82" s="19"/>
      <c r="AD82" s="274"/>
      <c r="AE82" s="274"/>
      <c r="AF82" s="19">
        <v>0</v>
      </c>
      <c r="AG82" s="18"/>
      <c r="AH82" s="19"/>
      <c r="AI82" s="274"/>
      <c r="AJ82" s="274"/>
      <c r="AK82" s="19">
        <v>0</v>
      </c>
      <c r="AL82" s="18"/>
      <c r="AM82" s="19"/>
      <c r="AN82" s="274"/>
      <c r="AO82" s="274"/>
      <c r="AP82" s="19">
        <v>0</v>
      </c>
      <c r="AQ82" s="18"/>
      <c r="AR82" s="19"/>
      <c r="AS82" s="274"/>
      <c r="AT82" s="274"/>
      <c r="AU82" s="19">
        <v>0</v>
      </c>
      <c r="AV82" s="18"/>
      <c r="AW82" s="19"/>
      <c r="AX82" s="274"/>
      <c r="AY82" s="274"/>
      <c r="AZ82" s="19">
        <v>0</v>
      </c>
      <c r="BA82" s="18"/>
      <c r="BB82" s="19"/>
      <c r="BC82" s="274"/>
      <c r="BD82" s="274"/>
      <c r="BE82" s="19">
        <v>0</v>
      </c>
      <c r="BF82" s="18"/>
      <c r="BG82" s="19"/>
      <c r="BH82" s="274"/>
      <c r="BI82" s="274"/>
      <c r="BJ82" s="19">
        <v>0</v>
      </c>
      <c r="BK82" s="18"/>
      <c r="BL82" s="19"/>
      <c r="BM82" s="274"/>
      <c r="BN82" s="274"/>
      <c r="BO82" s="19">
        <v>0</v>
      </c>
      <c r="BP82" s="18"/>
      <c r="BQ82" s="19"/>
      <c r="BR82" s="274"/>
      <c r="BS82" s="274"/>
      <c r="BT82" s="19">
        <f>SUM(L82:BO82)</f>
        <v>0</v>
      </c>
      <c r="BU82" s="18"/>
      <c r="BV82" s="19"/>
      <c r="BW82" s="274"/>
      <c r="BX82" s="274"/>
      <c r="BY82" s="19">
        <v>0</v>
      </c>
      <c r="BZ82" s="18"/>
      <c r="CA82" s="19"/>
      <c r="CB82" s="274"/>
      <c r="CC82" s="274"/>
      <c r="CD82" s="19">
        <v>0</v>
      </c>
      <c r="CE82" s="18"/>
      <c r="CF82" s="19"/>
      <c r="CG82" s="274"/>
      <c r="CH82" s="274"/>
      <c r="CI82" s="19">
        <v>0</v>
      </c>
      <c r="CJ82" s="18"/>
      <c r="CK82" s="19"/>
      <c r="CL82" s="274"/>
      <c r="CM82" s="274"/>
      <c r="CN82" s="19">
        <v>0</v>
      </c>
      <c r="CO82" s="18"/>
      <c r="CP82" s="19"/>
      <c r="CQ82" s="274"/>
      <c r="CR82" s="274"/>
      <c r="CS82" s="19">
        <v>0</v>
      </c>
      <c r="CT82" s="18"/>
      <c r="CU82" s="19"/>
      <c r="CV82" s="274"/>
      <c r="CW82" s="274"/>
      <c r="CX82" s="19">
        <v>0</v>
      </c>
      <c r="CY82" s="18"/>
      <c r="CZ82" s="19"/>
      <c r="DA82" s="274"/>
      <c r="DB82" s="274"/>
      <c r="DC82" s="19">
        <v>0</v>
      </c>
      <c r="DD82" s="18"/>
      <c r="DE82" s="19"/>
      <c r="DF82" s="274"/>
      <c r="DG82" s="274"/>
      <c r="DH82" s="19">
        <v>0</v>
      </c>
      <c r="DI82" s="18"/>
      <c r="DJ82" s="19"/>
      <c r="DK82" s="274"/>
      <c r="DL82" s="274"/>
      <c r="DM82" s="19">
        <v>0</v>
      </c>
      <c r="DN82" s="18"/>
      <c r="DO82" s="19"/>
      <c r="DP82" s="274"/>
      <c r="DQ82" s="274"/>
      <c r="DR82" s="19">
        <v>0</v>
      </c>
      <c r="DS82" s="18"/>
      <c r="DT82" s="19"/>
      <c r="DU82" s="274"/>
      <c r="DV82" s="274"/>
      <c r="DW82" s="19">
        <v>0</v>
      </c>
      <c r="DX82" s="18"/>
      <c r="DY82" s="19"/>
      <c r="DZ82" s="274"/>
      <c r="EA82" s="274"/>
      <c r="EB82" s="19">
        <v>0</v>
      </c>
      <c r="EC82" s="18"/>
      <c r="ED82" s="19"/>
      <c r="EE82" s="274"/>
      <c r="EF82" s="274"/>
      <c r="EG82" s="19">
        <v>0</v>
      </c>
      <c r="EH82" s="18"/>
      <c r="EI82" s="19"/>
      <c r="EJ82" s="274"/>
      <c r="EK82" s="274"/>
      <c r="EL82" s="19">
        <f>SUM(CD82:DM82)</f>
        <v>0</v>
      </c>
      <c r="EM82" s="18"/>
      <c r="EN82" s="19"/>
      <c r="EO82" s="244"/>
      <c r="ER82" s="451"/>
      <c r="ES82" s="451"/>
    </row>
    <row r="83" spans="3:149" ht="12.75" hidden="1" customHeight="1" x14ac:dyDescent="0.2">
      <c r="D83" s="244" t="s">
        <v>348</v>
      </c>
      <c r="E83" s="274"/>
      <c r="F83" s="276"/>
      <c r="G83" s="37">
        <v>0</v>
      </c>
      <c r="H83" s="36"/>
      <c r="I83" s="19"/>
      <c r="J83" s="274"/>
      <c r="K83" s="231"/>
      <c r="L83" s="37">
        <v>0</v>
      </c>
      <c r="M83" s="36"/>
      <c r="N83" s="19"/>
      <c r="O83" s="274"/>
      <c r="P83" s="231"/>
      <c r="Q83" s="37">
        <v>0</v>
      </c>
      <c r="R83" s="36"/>
      <c r="S83" s="19"/>
      <c r="T83" s="274"/>
      <c r="U83" s="231"/>
      <c r="V83" s="37">
        <v>0</v>
      </c>
      <c r="W83" s="36"/>
      <c r="X83" s="19"/>
      <c r="Y83" s="274"/>
      <c r="Z83" s="231"/>
      <c r="AA83" s="37">
        <v>0</v>
      </c>
      <c r="AB83" s="36"/>
      <c r="AC83" s="19"/>
      <c r="AD83" s="274"/>
      <c r="AE83" s="231"/>
      <c r="AF83" s="37">
        <v>0</v>
      </c>
      <c r="AG83" s="36"/>
      <c r="AH83" s="19"/>
      <c r="AI83" s="274"/>
      <c r="AJ83" s="231"/>
      <c r="AK83" s="37">
        <v>0</v>
      </c>
      <c r="AL83" s="36"/>
      <c r="AM83" s="19"/>
      <c r="AN83" s="274"/>
      <c r="AO83" s="231"/>
      <c r="AP83" s="37">
        <v>0</v>
      </c>
      <c r="AQ83" s="36"/>
      <c r="AR83" s="19"/>
      <c r="AS83" s="274"/>
      <c r="AT83" s="231"/>
      <c r="AU83" s="37">
        <v>0</v>
      </c>
      <c r="AV83" s="36"/>
      <c r="AW83" s="19"/>
      <c r="AX83" s="274"/>
      <c r="AY83" s="231"/>
      <c r="AZ83" s="37">
        <v>0</v>
      </c>
      <c r="BA83" s="36"/>
      <c r="BB83" s="19"/>
      <c r="BC83" s="274"/>
      <c r="BD83" s="231"/>
      <c r="BE83" s="37">
        <v>0</v>
      </c>
      <c r="BF83" s="36"/>
      <c r="BG83" s="19"/>
      <c r="BH83" s="274"/>
      <c r="BI83" s="231"/>
      <c r="BJ83" s="37">
        <v>0</v>
      </c>
      <c r="BK83" s="36"/>
      <c r="BL83" s="19"/>
      <c r="BM83" s="274"/>
      <c r="BN83" s="231"/>
      <c r="BO83" s="37">
        <v>0</v>
      </c>
      <c r="BP83" s="36"/>
      <c r="BQ83" s="19"/>
      <c r="BR83" s="274"/>
      <c r="BS83" s="231"/>
      <c r="BT83" s="37">
        <f>SUM(L83:BO83)</f>
        <v>0</v>
      </c>
      <c r="BU83" s="36"/>
      <c r="BV83" s="19"/>
      <c r="BW83" s="274"/>
      <c r="BX83" s="231"/>
      <c r="BY83" s="37">
        <v>0</v>
      </c>
      <c r="BZ83" s="36"/>
      <c r="CA83" s="19"/>
      <c r="CB83" s="274"/>
      <c r="CC83" s="231"/>
      <c r="CD83" s="37">
        <v>0</v>
      </c>
      <c r="CE83" s="36"/>
      <c r="CF83" s="19"/>
      <c r="CG83" s="274"/>
      <c r="CH83" s="231"/>
      <c r="CI83" s="37">
        <v>0</v>
      </c>
      <c r="CJ83" s="36"/>
      <c r="CK83" s="19"/>
      <c r="CL83" s="274"/>
      <c r="CM83" s="231"/>
      <c r="CN83" s="37">
        <v>0</v>
      </c>
      <c r="CO83" s="36"/>
      <c r="CP83" s="19"/>
      <c r="CQ83" s="274"/>
      <c r="CR83" s="231"/>
      <c r="CS83" s="37">
        <v>0</v>
      </c>
      <c r="CT83" s="36"/>
      <c r="CU83" s="19"/>
      <c r="CV83" s="274"/>
      <c r="CW83" s="231"/>
      <c r="CX83" s="37">
        <v>0</v>
      </c>
      <c r="CY83" s="36"/>
      <c r="CZ83" s="19"/>
      <c r="DA83" s="274"/>
      <c r="DB83" s="231"/>
      <c r="DC83" s="37">
        <v>0</v>
      </c>
      <c r="DD83" s="36"/>
      <c r="DE83" s="19"/>
      <c r="DF83" s="274"/>
      <c r="DG83" s="231"/>
      <c r="DH83" s="37">
        <v>0</v>
      </c>
      <c r="DI83" s="36"/>
      <c r="DJ83" s="19"/>
      <c r="DK83" s="274"/>
      <c r="DL83" s="231"/>
      <c r="DM83" s="37">
        <v>0</v>
      </c>
      <c r="DN83" s="36"/>
      <c r="DO83" s="19"/>
      <c r="DP83" s="274"/>
      <c r="DQ83" s="231"/>
      <c r="DR83" s="37">
        <v>0</v>
      </c>
      <c r="DS83" s="36"/>
      <c r="DT83" s="19"/>
      <c r="DU83" s="274"/>
      <c r="DV83" s="231"/>
      <c r="DW83" s="37">
        <v>0</v>
      </c>
      <c r="DX83" s="36"/>
      <c r="DY83" s="19"/>
      <c r="DZ83" s="274"/>
      <c r="EA83" s="231"/>
      <c r="EB83" s="37">
        <v>0</v>
      </c>
      <c r="EC83" s="36"/>
      <c r="ED83" s="19"/>
      <c r="EE83" s="274"/>
      <c r="EF83" s="231"/>
      <c r="EG83" s="37">
        <v>0</v>
      </c>
      <c r="EH83" s="36"/>
      <c r="EI83" s="19"/>
      <c r="EJ83" s="274"/>
      <c r="EK83" s="231"/>
      <c r="EL83" s="37">
        <f>SUM(CD83:DM83)</f>
        <v>0</v>
      </c>
      <c r="EM83" s="36"/>
      <c r="EN83" s="19"/>
      <c r="EO83" s="244"/>
      <c r="ER83" s="451"/>
      <c r="ES83" s="451"/>
    </row>
    <row r="84" spans="3:149" ht="12.75" hidden="1" customHeight="1" x14ac:dyDescent="0.2">
      <c r="D84" s="244"/>
      <c r="E84" s="274"/>
      <c r="G84" s="19"/>
      <c r="H84" s="19"/>
      <c r="I84" s="19"/>
      <c r="J84" s="274"/>
      <c r="K84" s="19"/>
      <c r="L84" s="19"/>
      <c r="M84" s="19"/>
      <c r="N84" s="19"/>
      <c r="O84" s="274"/>
      <c r="P84" s="19"/>
      <c r="Q84" s="19"/>
      <c r="R84" s="19"/>
      <c r="S84" s="19"/>
      <c r="T84" s="274"/>
      <c r="U84" s="19"/>
      <c r="V84" s="19"/>
      <c r="W84" s="19"/>
      <c r="X84" s="19"/>
      <c r="Y84" s="274"/>
      <c r="Z84" s="19"/>
      <c r="AA84" s="19"/>
      <c r="AB84" s="19"/>
      <c r="AC84" s="19"/>
      <c r="AD84" s="274"/>
      <c r="AE84" s="19"/>
      <c r="AF84" s="19"/>
      <c r="AG84" s="19"/>
      <c r="AH84" s="19"/>
      <c r="AI84" s="274"/>
      <c r="AJ84" s="19"/>
      <c r="AK84" s="19"/>
      <c r="AL84" s="19"/>
      <c r="AM84" s="19"/>
      <c r="AN84" s="274"/>
      <c r="AO84" s="19"/>
      <c r="AP84" s="19"/>
      <c r="AQ84" s="19"/>
      <c r="AR84" s="19"/>
      <c r="AS84" s="274"/>
      <c r="AT84" s="19"/>
      <c r="AU84" s="19"/>
      <c r="AV84" s="19"/>
      <c r="AW84" s="19"/>
      <c r="AX84" s="274"/>
      <c r="AY84" s="19"/>
      <c r="AZ84" s="19"/>
      <c r="BA84" s="19"/>
      <c r="BB84" s="19"/>
      <c r="BC84" s="274"/>
      <c r="BD84" s="19"/>
      <c r="BE84" s="19"/>
      <c r="BF84" s="19"/>
      <c r="BG84" s="19"/>
      <c r="BH84" s="274"/>
      <c r="BI84" s="19"/>
      <c r="BJ84" s="19"/>
      <c r="BK84" s="19"/>
      <c r="BL84" s="19"/>
      <c r="BM84" s="274"/>
      <c r="BN84" s="19"/>
      <c r="BO84" s="19"/>
      <c r="BP84" s="19"/>
      <c r="BQ84" s="19"/>
      <c r="BR84" s="274"/>
      <c r="BS84" s="19"/>
      <c r="BT84" s="19"/>
      <c r="BU84" s="19"/>
      <c r="BV84" s="19"/>
      <c r="BW84" s="274"/>
      <c r="BX84" s="19"/>
      <c r="BY84" s="19"/>
      <c r="BZ84" s="19"/>
      <c r="CA84" s="19"/>
      <c r="CB84" s="274"/>
      <c r="CC84" s="19"/>
      <c r="CD84" s="19"/>
      <c r="CE84" s="19"/>
      <c r="CF84" s="19"/>
      <c r="CG84" s="274"/>
      <c r="CH84" s="19"/>
      <c r="CI84" s="19"/>
      <c r="CJ84" s="19"/>
      <c r="CK84" s="19"/>
      <c r="CL84" s="274"/>
      <c r="CM84" s="19"/>
      <c r="CN84" s="19"/>
      <c r="CO84" s="19"/>
      <c r="CP84" s="19"/>
      <c r="CQ84" s="274"/>
      <c r="CR84" s="19"/>
      <c r="CS84" s="19"/>
      <c r="CT84" s="19"/>
      <c r="CU84" s="19"/>
      <c r="CV84" s="274"/>
      <c r="CW84" s="19"/>
      <c r="CX84" s="19"/>
      <c r="CY84" s="19"/>
      <c r="CZ84" s="19"/>
      <c r="DA84" s="274"/>
      <c r="DB84" s="19"/>
      <c r="DC84" s="19"/>
      <c r="DD84" s="19"/>
      <c r="DE84" s="19"/>
      <c r="DF84" s="274"/>
      <c r="DG84" s="19"/>
      <c r="DH84" s="19"/>
      <c r="DI84" s="19"/>
      <c r="DJ84" s="19"/>
      <c r="DK84" s="274"/>
      <c r="DL84" s="19"/>
      <c r="DM84" s="19"/>
      <c r="DN84" s="19"/>
      <c r="DO84" s="19"/>
      <c r="DP84" s="274"/>
      <c r="DQ84" s="19"/>
      <c r="DR84" s="19"/>
      <c r="DS84" s="19"/>
      <c r="DT84" s="19"/>
      <c r="DU84" s="274"/>
      <c r="DV84" s="19"/>
      <c r="DW84" s="19"/>
      <c r="DX84" s="19"/>
      <c r="DY84" s="19"/>
      <c r="DZ84" s="274"/>
      <c r="EA84" s="19"/>
      <c r="EB84" s="19"/>
      <c r="EC84" s="19"/>
      <c r="ED84" s="19"/>
      <c r="EE84" s="274"/>
      <c r="EF84" s="19"/>
      <c r="EG84" s="19"/>
      <c r="EH84" s="19"/>
      <c r="EI84" s="19"/>
      <c r="EJ84" s="274"/>
      <c r="EK84" s="19"/>
      <c r="EL84" s="19"/>
      <c r="EM84" s="19"/>
      <c r="EN84" s="19"/>
      <c r="EO84" s="244"/>
      <c r="ER84" s="451"/>
      <c r="ES84" s="451"/>
    </row>
    <row r="85" spans="3:149" ht="12.75" hidden="1" customHeight="1" x14ac:dyDescent="0.2">
      <c r="D85" s="244" t="s">
        <v>360</v>
      </c>
      <c r="E85" s="274"/>
      <c r="G85" s="19">
        <f>SUM(G86:G88)</f>
        <v>0</v>
      </c>
      <c r="H85" s="19"/>
      <c r="I85" s="19"/>
      <c r="J85" s="274"/>
      <c r="K85" s="19"/>
      <c r="L85" s="19">
        <f>SUM(L86:L88)</f>
        <v>0</v>
      </c>
      <c r="M85" s="19"/>
      <c r="N85" s="19"/>
      <c r="O85" s="274"/>
      <c r="P85" s="19"/>
      <c r="Q85" s="19">
        <f>SUM(Q86:Q88)</f>
        <v>0</v>
      </c>
      <c r="R85" s="19"/>
      <c r="S85" s="19"/>
      <c r="T85" s="274"/>
      <c r="U85" s="19"/>
      <c r="V85" s="19">
        <f>SUM(V86:V88)</f>
        <v>0</v>
      </c>
      <c r="W85" s="19"/>
      <c r="X85" s="19"/>
      <c r="Y85" s="274"/>
      <c r="Z85" s="19"/>
      <c r="AA85" s="19">
        <f>SUM(AA86:AA88)</f>
        <v>0</v>
      </c>
      <c r="AB85" s="19"/>
      <c r="AC85" s="19"/>
      <c r="AD85" s="274"/>
      <c r="AE85" s="19"/>
      <c r="AF85" s="19">
        <f>SUM(AF86:AF88)</f>
        <v>0</v>
      </c>
      <c r="AG85" s="19"/>
      <c r="AH85" s="19"/>
      <c r="AI85" s="274"/>
      <c r="AJ85" s="19"/>
      <c r="AK85" s="19">
        <f>SUM(AK86:AK88)</f>
        <v>0</v>
      </c>
      <c r="AL85" s="19"/>
      <c r="AM85" s="19"/>
      <c r="AN85" s="274"/>
      <c r="AO85" s="19"/>
      <c r="AP85" s="19">
        <f>SUM(AP86:AP88)</f>
        <v>0</v>
      </c>
      <c r="AQ85" s="19"/>
      <c r="AR85" s="19"/>
      <c r="AS85" s="274"/>
      <c r="AT85" s="19"/>
      <c r="AU85" s="19">
        <f>SUM(AU86:AU88)</f>
        <v>0</v>
      </c>
      <c r="AV85" s="19"/>
      <c r="AW85" s="19"/>
      <c r="AX85" s="274"/>
      <c r="AY85" s="19"/>
      <c r="AZ85" s="19">
        <f>SUM(AZ86:AZ88)</f>
        <v>0</v>
      </c>
      <c r="BA85" s="19"/>
      <c r="BB85" s="19"/>
      <c r="BC85" s="274"/>
      <c r="BD85" s="19"/>
      <c r="BE85" s="19">
        <f>SUM(BE86:BE88)</f>
        <v>0</v>
      </c>
      <c r="BF85" s="19"/>
      <c r="BG85" s="19"/>
      <c r="BH85" s="274"/>
      <c r="BI85" s="19"/>
      <c r="BJ85" s="19">
        <f>SUM(BJ86:BJ88)</f>
        <v>0</v>
      </c>
      <c r="BK85" s="19"/>
      <c r="BL85" s="19"/>
      <c r="BM85" s="274"/>
      <c r="BN85" s="19"/>
      <c r="BO85" s="19">
        <f>SUM(BO86:BO88)</f>
        <v>0</v>
      </c>
      <c r="BP85" s="19"/>
      <c r="BQ85" s="19"/>
      <c r="BR85" s="274"/>
      <c r="BS85" s="19"/>
      <c r="BT85" s="19">
        <f>SUM(BT86:BT88)</f>
        <v>0</v>
      </c>
      <c r="BU85" s="19"/>
      <c r="BV85" s="19"/>
      <c r="BW85" s="274"/>
      <c r="BX85" s="19"/>
      <c r="BY85" s="19">
        <f>SUM(BY86:BY88)</f>
        <v>0</v>
      </c>
      <c r="BZ85" s="19"/>
      <c r="CA85" s="19"/>
      <c r="CB85" s="274"/>
      <c r="CC85" s="19"/>
      <c r="CD85" s="19">
        <f>SUM(CD86:CD88)</f>
        <v>0</v>
      </c>
      <c r="CE85" s="19"/>
      <c r="CF85" s="19"/>
      <c r="CG85" s="274"/>
      <c r="CH85" s="19"/>
      <c r="CI85" s="19">
        <f>SUM(CI86:CI88)</f>
        <v>0</v>
      </c>
      <c r="CJ85" s="19"/>
      <c r="CK85" s="19"/>
      <c r="CL85" s="274"/>
      <c r="CM85" s="19"/>
      <c r="CN85" s="19">
        <f>SUM(CN86:CN88)</f>
        <v>0</v>
      </c>
      <c r="CO85" s="19"/>
      <c r="CP85" s="19"/>
      <c r="CQ85" s="274"/>
      <c r="CR85" s="19"/>
      <c r="CS85" s="19">
        <f>SUM(CS86:CS88)</f>
        <v>0</v>
      </c>
      <c r="CT85" s="19"/>
      <c r="CU85" s="19"/>
      <c r="CV85" s="274"/>
      <c r="CW85" s="19"/>
      <c r="CX85" s="19">
        <f>SUM(CX86:CX88)</f>
        <v>0</v>
      </c>
      <c r="CY85" s="19"/>
      <c r="CZ85" s="19"/>
      <c r="DA85" s="274"/>
      <c r="DB85" s="19"/>
      <c r="DC85" s="19">
        <f>SUM(DC86:DC88)</f>
        <v>0</v>
      </c>
      <c r="DD85" s="19"/>
      <c r="DE85" s="19"/>
      <c r="DF85" s="274"/>
      <c r="DG85" s="19"/>
      <c r="DH85" s="19">
        <f>SUM(DH86:DH88)</f>
        <v>0</v>
      </c>
      <c r="DI85" s="19"/>
      <c r="DJ85" s="19"/>
      <c r="DK85" s="274"/>
      <c r="DL85" s="19"/>
      <c r="DM85" s="19">
        <f>SUM(DM86:DM88)</f>
        <v>0</v>
      </c>
      <c r="DN85" s="19"/>
      <c r="DO85" s="19"/>
      <c r="DP85" s="274"/>
      <c r="DQ85" s="19"/>
      <c r="DR85" s="19">
        <f>SUM(DR86:DR88)</f>
        <v>0</v>
      </c>
      <c r="DS85" s="19"/>
      <c r="DT85" s="19"/>
      <c r="DU85" s="274"/>
      <c r="DV85" s="19"/>
      <c r="DW85" s="19">
        <f>SUM(DW86:DW88)</f>
        <v>0</v>
      </c>
      <c r="DX85" s="19"/>
      <c r="DY85" s="19"/>
      <c r="DZ85" s="274"/>
      <c r="EA85" s="19"/>
      <c r="EB85" s="19">
        <f>SUM(EB86:EB88)</f>
        <v>0</v>
      </c>
      <c r="EC85" s="19"/>
      <c r="ED85" s="19"/>
      <c r="EE85" s="274"/>
      <c r="EF85" s="19"/>
      <c r="EG85" s="19">
        <f>SUM(EG86:EG88)</f>
        <v>0</v>
      </c>
      <c r="EH85" s="19"/>
      <c r="EI85" s="19"/>
      <c r="EJ85" s="274"/>
      <c r="EK85" s="19"/>
      <c r="EL85" s="19">
        <f>SUM(EL86:EL88)</f>
        <v>0</v>
      </c>
      <c r="EM85" s="19"/>
      <c r="EN85" s="19"/>
      <c r="EO85" s="244"/>
      <c r="ER85" s="451"/>
      <c r="ES85" s="451"/>
    </row>
    <row r="86" spans="3:149" ht="12.75" hidden="1" customHeight="1" x14ac:dyDescent="0.2">
      <c r="D86" s="244" t="s">
        <v>344</v>
      </c>
      <c r="E86" s="274"/>
      <c r="F86" s="112"/>
      <c r="G86" s="374">
        <v>0</v>
      </c>
      <c r="H86" s="475"/>
      <c r="I86" s="19"/>
      <c r="J86" s="274"/>
      <c r="K86" s="173"/>
      <c r="L86" s="374">
        <v>0</v>
      </c>
      <c r="M86" s="475"/>
      <c r="N86" s="19"/>
      <c r="O86" s="274"/>
      <c r="P86" s="173"/>
      <c r="Q86" s="374">
        <v>0</v>
      </c>
      <c r="R86" s="475"/>
      <c r="S86" s="19"/>
      <c r="T86" s="274"/>
      <c r="U86" s="112"/>
      <c r="V86" s="374">
        <v>0</v>
      </c>
      <c r="W86" s="475"/>
      <c r="X86" s="19"/>
      <c r="Y86" s="274"/>
      <c r="Z86" s="173"/>
      <c r="AA86" s="374">
        <v>0</v>
      </c>
      <c r="AB86" s="475"/>
      <c r="AC86" s="19"/>
      <c r="AD86" s="274"/>
      <c r="AE86" s="173"/>
      <c r="AF86" s="374">
        <v>0</v>
      </c>
      <c r="AG86" s="475"/>
      <c r="AH86" s="19"/>
      <c r="AI86" s="274"/>
      <c r="AJ86" s="173"/>
      <c r="AK86" s="374">
        <v>0</v>
      </c>
      <c r="AL86" s="475"/>
      <c r="AM86" s="19"/>
      <c r="AN86" s="274"/>
      <c r="AO86" s="173"/>
      <c r="AP86" s="374">
        <v>0</v>
      </c>
      <c r="AQ86" s="475"/>
      <c r="AR86" s="19"/>
      <c r="AS86" s="274"/>
      <c r="AT86" s="173"/>
      <c r="AU86" s="374">
        <v>0</v>
      </c>
      <c r="AV86" s="475"/>
      <c r="AW86" s="19"/>
      <c r="AX86" s="274"/>
      <c r="AY86" s="173"/>
      <c r="AZ86" s="374">
        <v>0</v>
      </c>
      <c r="BA86" s="475"/>
      <c r="BB86" s="19"/>
      <c r="BC86" s="274"/>
      <c r="BD86" s="173"/>
      <c r="BE86" s="374">
        <v>0</v>
      </c>
      <c r="BF86" s="475"/>
      <c r="BG86" s="19"/>
      <c r="BH86" s="274"/>
      <c r="BI86" s="173"/>
      <c r="BJ86" s="374">
        <v>0</v>
      </c>
      <c r="BK86" s="475"/>
      <c r="BL86" s="19"/>
      <c r="BM86" s="274"/>
      <c r="BN86" s="173"/>
      <c r="BO86" s="374">
        <v>0</v>
      </c>
      <c r="BP86" s="475"/>
      <c r="BQ86" s="19"/>
      <c r="BR86" s="274"/>
      <c r="BS86" s="173"/>
      <c r="BT86" s="374">
        <f>SUM(L86:BO86)</f>
        <v>0</v>
      </c>
      <c r="BU86" s="475"/>
      <c r="BV86" s="19"/>
      <c r="BW86" s="274"/>
      <c r="BX86" s="173"/>
      <c r="BY86" s="374">
        <f>SUM(Q86:BT86)</f>
        <v>0</v>
      </c>
      <c r="BZ86" s="475"/>
      <c r="CA86" s="19"/>
      <c r="CB86" s="274"/>
      <c r="CC86" s="173"/>
      <c r="CD86" s="374">
        <v>0</v>
      </c>
      <c r="CE86" s="475"/>
      <c r="CF86" s="19"/>
      <c r="CG86" s="274"/>
      <c r="CH86" s="173"/>
      <c r="CI86" s="374">
        <v>0</v>
      </c>
      <c r="CJ86" s="475"/>
      <c r="CK86" s="19"/>
      <c r="CL86" s="274"/>
      <c r="CM86" s="112"/>
      <c r="CN86" s="374">
        <v>0</v>
      </c>
      <c r="CO86" s="475"/>
      <c r="CP86" s="19"/>
      <c r="CQ86" s="274"/>
      <c r="CR86" s="173"/>
      <c r="CS86" s="374">
        <v>0</v>
      </c>
      <c r="CT86" s="475"/>
      <c r="CU86" s="19"/>
      <c r="CV86" s="274"/>
      <c r="CW86" s="173"/>
      <c r="CX86" s="374">
        <v>0</v>
      </c>
      <c r="CY86" s="475"/>
      <c r="CZ86" s="19"/>
      <c r="DA86" s="274"/>
      <c r="DB86" s="173"/>
      <c r="DC86" s="374">
        <v>0</v>
      </c>
      <c r="DD86" s="475"/>
      <c r="DE86" s="19"/>
      <c r="DF86" s="274"/>
      <c r="DG86" s="173"/>
      <c r="DH86" s="374">
        <v>0</v>
      </c>
      <c r="DI86" s="475"/>
      <c r="DJ86" s="19"/>
      <c r="DK86" s="274"/>
      <c r="DL86" s="173"/>
      <c r="DM86" s="374">
        <v>0</v>
      </c>
      <c r="DN86" s="475"/>
      <c r="DO86" s="19"/>
      <c r="DP86" s="274"/>
      <c r="DQ86" s="173"/>
      <c r="DR86" s="374">
        <v>0</v>
      </c>
      <c r="DS86" s="475"/>
      <c r="DT86" s="19"/>
      <c r="DU86" s="274"/>
      <c r="DV86" s="173"/>
      <c r="DW86" s="374">
        <v>0</v>
      </c>
      <c r="DX86" s="475"/>
      <c r="DY86" s="19"/>
      <c r="DZ86" s="274"/>
      <c r="EA86" s="173"/>
      <c r="EB86" s="374">
        <v>0</v>
      </c>
      <c r="EC86" s="475"/>
      <c r="ED86" s="19"/>
      <c r="EE86" s="274"/>
      <c r="EF86" s="173"/>
      <c r="EG86" s="374">
        <v>0</v>
      </c>
      <c r="EH86" s="475"/>
      <c r="EI86" s="19"/>
      <c r="EJ86" s="274"/>
      <c r="EK86" s="173"/>
      <c r="EL86" s="374">
        <f>SUM(CD86:EG86)</f>
        <v>0</v>
      </c>
      <c r="EM86" s="475"/>
      <c r="EN86" s="19"/>
      <c r="EO86" s="244"/>
      <c r="ER86" s="451"/>
      <c r="ES86" s="451"/>
    </row>
    <row r="87" spans="3:149" ht="12.75" hidden="1" customHeight="1" x14ac:dyDescent="0.2">
      <c r="D87" s="244" t="s">
        <v>346</v>
      </c>
      <c r="E87" s="274"/>
      <c r="F87" s="82"/>
      <c r="G87" s="19">
        <v>0</v>
      </c>
      <c r="H87" s="18"/>
      <c r="I87" s="19"/>
      <c r="J87" s="274"/>
      <c r="K87" s="274"/>
      <c r="L87" s="19">
        <v>0</v>
      </c>
      <c r="M87" s="18"/>
      <c r="N87" s="19"/>
      <c r="O87" s="274"/>
      <c r="P87" s="274"/>
      <c r="Q87" s="19">
        <v>0</v>
      </c>
      <c r="R87" s="18"/>
      <c r="S87" s="19"/>
      <c r="T87" s="274"/>
      <c r="U87" s="82"/>
      <c r="V87" s="19">
        <v>0</v>
      </c>
      <c r="W87" s="18"/>
      <c r="X87" s="19"/>
      <c r="Y87" s="274"/>
      <c r="Z87" s="274"/>
      <c r="AA87" s="19">
        <v>0</v>
      </c>
      <c r="AB87" s="18"/>
      <c r="AC87" s="19"/>
      <c r="AD87" s="274"/>
      <c r="AE87" s="274"/>
      <c r="AF87" s="19">
        <v>0</v>
      </c>
      <c r="AG87" s="18"/>
      <c r="AH87" s="19"/>
      <c r="AI87" s="274"/>
      <c r="AJ87" s="274"/>
      <c r="AK87" s="19">
        <v>0</v>
      </c>
      <c r="AL87" s="18"/>
      <c r="AM87" s="19"/>
      <c r="AN87" s="274"/>
      <c r="AO87" s="274"/>
      <c r="AP87" s="19">
        <v>0</v>
      </c>
      <c r="AQ87" s="18"/>
      <c r="AR87" s="19"/>
      <c r="AS87" s="274"/>
      <c r="AT87" s="274"/>
      <c r="AU87" s="19">
        <v>0</v>
      </c>
      <c r="AV87" s="18"/>
      <c r="AW87" s="19"/>
      <c r="AX87" s="274"/>
      <c r="AY87" s="274"/>
      <c r="AZ87" s="19">
        <v>0</v>
      </c>
      <c r="BA87" s="18"/>
      <c r="BB87" s="19"/>
      <c r="BC87" s="274"/>
      <c r="BD87" s="274"/>
      <c r="BE87" s="19">
        <v>0</v>
      </c>
      <c r="BF87" s="18"/>
      <c r="BG87" s="19"/>
      <c r="BH87" s="274"/>
      <c r="BI87" s="274"/>
      <c r="BJ87" s="19">
        <v>0</v>
      </c>
      <c r="BK87" s="18"/>
      <c r="BL87" s="19"/>
      <c r="BM87" s="274"/>
      <c r="BN87" s="274"/>
      <c r="BO87" s="19">
        <v>0</v>
      </c>
      <c r="BP87" s="18"/>
      <c r="BQ87" s="19"/>
      <c r="BR87" s="274"/>
      <c r="BS87" s="274"/>
      <c r="BT87" s="19">
        <f>SUM(L87:BO87)</f>
        <v>0</v>
      </c>
      <c r="BU87" s="18"/>
      <c r="BV87" s="19"/>
      <c r="BW87" s="274"/>
      <c r="BX87" s="274"/>
      <c r="BY87" s="19">
        <f>SUM(Q87:BT87)</f>
        <v>0</v>
      </c>
      <c r="BZ87" s="18"/>
      <c r="CA87" s="19"/>
      <c r="CB87" s="274"/>
      <c r="CC87" s="274"/>
      <c r="CD87" s="19">
        <v>0</v>
      </c>
      <c r="CE87" s="18"/>
      <c r="CF87" s="19"/>
      <c r="CG87" s="274"/>
      <c r="CH87" s="274"/>
      <c r="CI87" s="19">
        <v>0</v>
      </c>
      <c r="CJ87" s="18"/>
      <c r="CK87" s="19"/>
      <c r="CL87" s="274"/>
      <c r="CM87" s="82"/>
      <c r="CN87" s="19">
        <v>0</v>
      </c>
      <c r="CO87" s="18"/>
      <c r="CP87" s="19"/>
      <c r="CQ87" s="274"/>
      <c r="CR87" s="274"/>
      <c r="CS87" s="19">
        <v>0</v>
      </c>
      <c r="CT87" s="18"/>
      <c r="CU87" s="19"/>
      <c r="CV87" s="274"/>
      <c r="CW87" s="274"/>
      <c r="CX87" s="19">
        <v>0</v>
      </c>
      <c r="CY87" s="18"/>
      <c r="CZ87" s="19"/>
      <c r="DA87" s="274"/>
      <c r="DB87" s="274"/>
      <c r="DC87" s="19">
        <v>0</v>
      </c>
      <c r="DD87" s="18"/>
      <c r="DE87" s="19"/>
      <c r="DF87" s="274"/>
      <c r="DG87" s="274"/>
      <c r="DH87" s="19">
        <v>0</v>
      </c>
      <c r="DI87" s="18"/>
      <c r="DJ87" s="19"/>
      <c r="DK87" s="274"/>
      <c r="DL87" s="274"/>
      <c r="DM87" s="19">
        <v>0</v>
      </c>
      <c r="DN87" s="18"/>
      <c r="DO87" s="19"/>
      <c r="DP87" s="274"/>
      <c r="DQ87" s="274"/>
      <c r="DR87" s="19">
        <v>0</v>
      </c>
      <c r="DS87" s="18"/>
      <c r="DT87" s="19"/>
      <c r="DU87" s="274"/>
      <c r="DV87" s="274"/>
      <c r="DW87" s="19">
        <v>0</v>
      </c>
      <c r="DX87" s="18"/>
      <c r="DY87" s="19"/>
      <c r="DZ87" s="274"/>
      <c r="EA87" s="274"/>
      <c r="EB87" s="19">
        <v>0</v>
      </c>
      <c r="EC87" s="18"/>
      <c r="ED87" s="19"/>
      <c r="EE87" s="274"/>
      <c r="EF87" s="274"/>
      <c r="EG87" s="19">
        <v>0</v>
      </c>
      <c r="EH87" s="18"/>
      <c r="EI87" s="19"/>
      <c r="EJ87" s="274"/>
      <c r="EK87" s="274"/>
      <c r="EL87" s="19">
        <f>SUM(CD87:EG87)</f>
        <v>0</v>
      </c>
      <c r="EM87" s="18"/>
      <c r="EN87" s="19"/>
      <c r="EO87" s="244"/>
      <c r="ER87" s="451"/>
      <c r="ES87" s="451"/>
    </row>
    <row r="88" spans="3:149" ht="12.75" hidden="1" customHeight="1" x14ac:dyDescent="0.2">
      <c r="D88" s="244" t="s">
        <v>354</v>
      </c>
      <c r="E88" s="274"/>
      <c r="F88" s="276"/>
      <c r="G88" s="37">
        <v>0</v>
      </c>
      <c r="H88" s="36"/>
      <c r="I88" s="19"/>
      <c r="J88" s="274"/>
      <c r="K88" s="231"/>
      <c r="L88" s="37">
        <v>0</v>
      </c>
      <c r="M88" s="36"/>
      <c r="N88" s="19"/>
      <c r="O88" s="274"/>
      <c r="P88" s="231"/>
      <c r="Q88" s="37">
        <v>0</v>
      </c>
      <c r="R88" s="36"/>
      <c r="S88" s="19"/>
      <c r="T88" s="274"/>
      <c r="U88" s="276"/>
      <c r="V88" s="37">
        <v>0</v>
      </c>
      <c r="W88" s="36"/>
      <c r="X88" s="19"/>
      <c r="Y88" s="274"/>
      <c r="Z88" s="231"/>
      <c r="AA88" s="37">
        <v>0</v>
      </c>
      <c r="AB88" s="36"/>
      <c r="AC88" s="19"/>
      <c r="AD88" s="274"/>
      <c r="AE88" s="231"/>
      <c r="AF88" s="37">
        <v>0</v>
      </c>
      <c r="AG88" s="36"/>
      <c r="AH88" s="19"/>
      <c r="AI88" s="274"/>
      <c r="AJ88" s="231"/>
      <c r="AK88" s="37">
        <v>0</v>
      </c>
      <c r="AL88" s="36"/>
      <c r="AM88" s="19"/>
      <c r="AN88" s="274"/>
      <c r="AO88" s="231"/>
      <c r="AP88" s="37">
        <v>0</v>
      </c>
      <c r="AQ88" s="36"/>
      <c r="AR88" s="19"/>
      <c r="AS88" s="274"/>
      <c r="AT88" s="231"/>
      <c r="AU88" s="37">
        <v>0</v>
      </c>
      <c r="AV88" s="36"/>
      <c r="AW88" s="19"/>
      <c r="AX88" s="274"/>
      <c r="AY88" s="231"/>
      <c r="AZ88" s="37">
        <v>0</v>
      </c>
      <c r="BA88" s="36"/>
      <c r="BB88" s="19"/>
      <c r="BC88" s="274"/>
      <c r="BD88" s="231"/>
      <c r="BE88" s="37">
        <v>0</v>
      </c>
      <c r="BF88" s="36"/>
      <c r="BG88" s="19"/>
      <c r="BH88" s="274"/>
      <c r="BI88" s="231"/>
      <c r="BJ88" s="37">
        <v>0</v>
      </c>
      <c r="BK88" s="36"/>
      <c r="BL88" s="19"/>
      <c r="BM88" s="274"/>
      <c r="BN88" s="231"/>
      <c r="BO88" s="37">
        <v>0</v>
      </c>
      <c r="BP88" s="36"/>
      <c r="BQ88" s="19"/>
      <c r="BR88" s="274"/>
      <c r="BS88" s="231"/>
      <c r="BT88" s="37">
        <f>SUM(L88:BO88)</f>
        <v>0</v>
      </c>
      <c r="BU88" s="36"/>
      <c r="BV88" s="19"/>
      <c r="BW88" s="274"/>
      <c r="BX88" s="231"/>
      <c r="BY88" s="37">
        <f>SUM(Q88:BT88)</f>
        <v>0</v>
      </c>
      <c r="BZ88" s="36"/>
      <c r="CA88" s="19"/>
      <c r="CB88" s="274"/>
      <c r="CC88" s="231"/>
      <c r="CD88" s="37">
        <v>0</v>
      </c>
      <c r="CE88" s="36"/>
      <c r="CF88" s="19"/>
      <c r="CG88" s="274"/>
      <c r="CH88" s="231"/>
      <c r="CI88" s="37">
        <v>0</v>
      </c>
      <c r="CJ88" s="36"/>
      <c r="CK88" s="19"/>
      <c r="CL88" s="274"/>
      <c r="CM88" s="276"/>
      <c r="CN88" s="37">
        <v>0</v>
      </c>
      <c r="CO88" s="36"/>
      <c r="CP88" s="19"/>
      <c r="CQ88" s="274"/>
      <c r="CR88" s="231"/>
      <c r="CS88" s="37">
        <v>0</v>
      </c>
      <c r="CT88" s="36"/>
      <c r="CU88" s="19"/>
      <c r="CV88" s="274"/>
      <c r="CW88" s="231"/>
      <c r="CX88" s="37">
        <v>0</v>
      </c>
      <c r="CY88" s="36"/>
      <c r="CZ88" s="19"/>
      <c r="DA88" s="274"/>
      <c r="DB88" s="231"/>
      <c r="DC88" s="37">
        <v>0</v>
      </c>
      <c r="DD88" s="36"/>
      <c r="DE88" s="19"/>
      <c r="DF88" s="274"/>
      <c r="DG88" s="231"/>
      <c r="DH88" s="37">
        <v>0</v>
      </c>
      <c r="DI88" s="36"/>
      <c r="DJ88" s="19"/>
      <c r="DK88" s="274"/>
      <c r="DL88" s="231"/>
      <c r="DM88" s="37">
        <v>0</v>
      </c>
      <c r="DN88" s="36"/>
      <c r="DO88" s="19"/>
      <c r="DP88" s="274"/>
      <c r="DQ88" s="231"/>
      <c r="DR88" s="37">
        <v>0</v>
      </c>
      <c r="DS88" s="36"/>
      <c r="DT88" s="19"/>
      <c r="DU88" s="274"/>
      <c r="DV88" s="231"/>
      <c r="DW88" s="37">
        <v>0</v>
      </c>
      <c r="DX88" s="36"/>
      <c r="DY88" s="19"/>
      <c r="DZ88" s="274"/>
      <c r="EA88" s="231"/>
      <c r="EB88" s="37">
        <v>0</v>
      </c>
      <c r="EC88" s="36"/>
      <c r="ED88" s="19"/>
      <c r="EE88" s="274"/>
      <c r="EF88" s="231"/>
      <c r="EG88" s="37">
        <v>0</v>
      </c>
      <c r="EH88" s="36"/>
      <c r="EI88" s="19"/>
      <c r="EJ88" s="274"/>
      <c r="EK88" s="231"/>
      <c r="EL88" s="37">
        <f>SUM(CD88:EG88)</f>
        <v>0</v>
      </c>
      <c r="EM88" s="36"/>
      <c r="EN88" s="19"/>
      <c r="EO88" s="244"/>
      <c r="ER88" s="451"/>
      <c r="ES88" s="451"/>
    </row>
    <row r="89" spans="3:149" ht="12.75" hidden="1" customHeight="1" x14ac:dyDescent="0.2">
      <c r="D89" s="244"/>
      <c r="E89" s="274"/>
      <c r="G89" s="19"/>
      <c r="H89" s="19"/>
      <c r="I89" s="19"/>
      <c r="J89" s="274"/>
      <c r="K89" s="19"/>
      <c r="L89" s="19"/>
      <c r="M89" s="19"/>
      <c r="N89" s="19"/>
      <c r="O89" s="274"/>
      <c r="P89" s="19"/>
      <c r="Q89" s="19"/>
      <c r="R89" s="19"/>
      <c r="S89" s="19"/>
      <c r="T89" s="274"/>
      <c r="U89" s="19"/>
      <c r="V89" s="19"/>
      <c r="W89" s="19"/>
      <c r="X89" s="19"/>
      <c r="Y89" s="274"/>
      <c r="Z89" s="19"/>
      <c r="AA89" s="19"/>
      <c r="AB89" s="19"/>
      <c r="AC89" s="19"/>
      <c r="AD89" s="274"/>
      <c r="AE89" s="19"/>
      <c r="AF89" s="19"/>
      <c r="AG89" s="19"/>
      <c r="AH89" s="19"/>
      <c r="AI89" s="274"/>
      <c r="AJ89" s="19"/>
      <c r="AK89" s="19"/>
      <c r="AL89" s="19"/>
      <c r="AM89" s="19"/>
      <c r="AN89" s="274"/>
      <c r="AO89" s="19"/>
      <c r="AP89" s="19"/>
      <c r="AQ89" s="19"/>
      <c r="AR89" s="19"/>
      <c r="AS89" s="274"/>
      <c r="AT89" s="19"/>
      <c r="AU89" s="19"/>
      <c r="AV89" s="19"/>
      <c r="AW89" s="19"/>
      <c r="AX89" s="274"/>
      <c r="AY89" s="19"/>
      <c r="AZ89" s="19"/>
      <c r="BA89" s="19"/>
      <c r="BB89" s="19"/>
      <c r="BC89" s="274"/>
      <c r="BD89" s="19"/>
      <c r="BE89" s="19"/>
      <c r="BF89" s="19"/>
      <c r="BG89" s="19"/>
      <c r="BH89" s="274"/>
      <c r="BI89" s="19"/>
      <c r="BJ89" s="19"/>
      <c r="BK89" s="19"/>
      <c r="BL89" s="19"/>
      <c r="BM89" s="274"/>
      <c r="BN89" s="19"/>
      <c r="BO89" s="19"/>
      <c r="BP89" s="19"/>
      <c r="BQ89" s="19"/>
      <c r="BR89" s="274"/>
      <c r="BS89" s="19"/>
      <c r="BT89" s="19"/>
      <c r="BU89" s="19"/>
      <c r="BV89" s="19"/>
      <c r="BW89" s="274"/>
      <c r="BX89" s="19"/>
      <c r="BY89" s="19"/>
      <c r="BZ89" s="19"/>
      <c r="CA89" s="19"/>
      <c r="CB89" s="274"/>
      <c r="CC89" s="19"/>
      <c r="CD89" s="19"/>
      <c r="CE89" s="19"/>
      <c r="CF89" s="19"/>
      <c r="CG89" s="274"/>
      <c r="CH89" s="19"/>
      <c r="CI89" s="19"/>
      <c r="CJ89" s="19"/>
      <c r="CK89" s="19"/>
      <c r="CL89" s="274"/>
      <c r="CM89" s="19"/>
      <c r="CN89" s="19"/>
      <c r="CO89" s="19"/>
      <c r="CP89" s="19"/>
      <c r="CQ89" s="274"/>
      <c r="CR89" s="19"/>
      <c r="CS89" s="19"/>
      <c r="CT89" s="19"/>
      <c r="CU89" s="19"/>
      <c r="CV89" s="274"/>
      <c r="CW89" s="19"/>
      <c r="CX89" s="19"/>
      <c r="CY89" s="19"/>
      <c r="CZ89" s="19"/>
      <c r="DA89" s="274"/>
      <c r="DB89" s="19"/>
      <c r="DC89" s="19"/>
      <c r="DD89" s="19"/>
      <c r="DE89" s="19"/>
      <c r="DF89" s="274"/>
      <c r="DG89" s="19"/>
      <c r="DH89" s="19"/>
      <c r="DI89" s="19"/>
      <c r="DJ89" s="19"/>
      <c r="DK89" s="274"/>
      <c r="DL89" s="19"/>
      <c r="DM89" s="19"/>
      <c r="DN89" s="19"/>
      <c r="DO89" s="19"/>
      <c r="DP89" s="274"/>
      <c r="DQ89" s="19"/>
      <c r="DR89" s="19"/>
      <c r="DS89" s="19"/>
      <c r="DT89" s="19"/>
      <c r="DU89" s="274"/>
      <c r="DV89" s="19"/>
      <c r="DW89" s="19"/>
      <c r="DX89" s="19"/>
      <c r="DY89" s="19"/>
      <c r="DZ89" s="274"/>
      <c r="EA89" s="19"/>
      <c r="EB89" s="19"/>
      <c r="EC89" s="19"/>
      <c r="ED89" s="19"/>
      <c r="EE89" s="274"/>
      <c r="EF89" s="19"/>
      <c r="EG89" s="19"/>
      <c r="EH89" s="19"/>
      <c r="EI89" s="19"/>
      <c r="EJ89" s="274"/>
      <c r="EK89" s="19"/>
      <c r="EL89" s="19"/>
      <c r="EM89" s="19"/>
      <c r="EN89" s="19"/>
      <c r="EO89" s="244"/>
      <c r="ER89" s="451"/>
      <c r="ES89" s="451"/>
    </row>
    <row r="90" spans="3:149" ht="12.75" hidden="1" customHeight="1" x14ac:dyDescent="0.2">
      <c r="C90" s="128"/>
      <c r="D90" s="375" t="s">
        <v>361</v>
      </c>
      <c r="E90" s="274"/>
      <c r="G90" s="19">
        <f>SUM(G91:G93)</f>
        <v>0</v>
      </c>
      <c r="H90" s="19"/>
      <c r="I90" s="19"/>
      <c r="J90" s="274"/>
      <c r="K90" s="19"/>
      <c r="L90" s="19">
        <f>SUM(L91:L93)</f>
        <v>0</v>
      </c>
      <c r="M90" s="19"/>
      <c r="N90" s="19"/>
      <c r="O90" s="274"/>
      <c r="P90" s="19"/>
      <c r="Q90" s="19">
        <f>SUM(Q91:Q93)</f>
        <v>0</v>
      </c>
      <c r="R90" s="19"/>
      <c r="S90" s="19"/>
      <c r="T90" s="274"/>
      <c r="U90" s="19"/>
      <c r="V90" s="19">
        <f>SUM(V91:V93)</f>
        <v>0</v>
      </c>
      <c r="W90" s="19"/>
      <c r="X90" s="19"/>
      <c r="Y90" s="274"/>
      <c r="Z90" s="19"/>
      <c r="AA90" s="19">
        <f>SUM(AA91:AA93)</f>
        <v>0</v>
      </c>
      <c r="AB90" s="19"/>
      <c r="AC90" s="19"/>
      <c r="AD90" s="274"/>
      <c r="AE90" s="19"/>
      <c r="AF90" s="19">
        <f>SUM(AF91:AF93)</f>
        <v>0</v>
      </c>
      <c r="AG90" s="19"/>
      <c r="AH90" s="19"/>
      <c r="AI90" s="274"/>
      <c r="AJ90" s="19"/>
      <c r="AK90" s="19">
        <f>SUM(AK91:AK93)</f>
        <v>0</v>
      </c>
      <c r="AL90" s="19"/>
      <c r="AM90" s="19"/>
      <c r="AN90" s="274"/>
      <c r="AO90" s="19"/>
      <c r="AP90" s="19">
        <f>SUM(AP91:AP93)</f>
        <v>0</v>
      </c>
      <c r="AQ90" s="19"/>
      <c r="AR90" s="19"/>
      <c r="AS90" s="274"/>
      <c r="AT90" s="19"/>
      <c r="AU90" s="19">
        <f>SUM(AU91:AU93)</f>
        <v>0</v>
      </c>
      <c r="AV90" s="19"/>
      <c r="AW90" s="19"/>
      <c r="AX90" s="274"/>
      <c r="AY90" s="19"/>
      <c r="AZ90" s="19">
        <f>SUM(AZ91:AZ93)</f>
        <v>0</v>
      </c>
      <c r="BA90" s="19"/>
      <c r="BB90" s="19"/>
      <c r="BC90" s="274"/>
      <c r="BD90" s="19"/>
      <c r="BE90" s="19">
        <f>SUM(BE91:BE93)</f>
        <v>0</v>
      </c>
      <c r="BF90" s="19"/>
      <c r="BG90" s="19"/>
      <c r="BH90" s="274"/>
      <c r="BI90" s="19"/>
      <c r="BJ90" s="19">
        <f>SUM(BJ91:BJ93)</f>
        <v>0</v>
      </c>
      <c r="BK90" s="19"/>
      <c r="BL90" s="19"/>
      <c r="BM90" s="274"/>
      <c r="BN90" s="19"/>
      <c r="BO90" s="19">
        <f>SUM(BO91:BO93)</f>
        <v>0</v>
      </c>
      <c r="BP90" s="19"/>
      <c r="BQ90" s="19"/>
      <c r="BR90" s="274"/>
      <c r="BS90" s="19"/>
      <c r="BT90" s="19">
        <f>SUM(BT91:BT93)</f>
        <v>0</v>
      </c>
      <c r="BU90" s="19"/>
      <c r="BV90" s="19"/>
      <c r="BW90" s="274"/>
      <c r="BX90" s="19"/>
      <c r="BY90" s="19">
        <f>SUM(BY91:BY93)</f>
        <v>0</v>
      </c>
      <c r="BZ90" s="19"/>
      <c r="CA90" s="19"/>
      <c r="CB90" s="274"/>
      <c r="CC90" s="19"/>
      <c r="CD90" s="19">
        <f>SUM(CD91:CD93)</f>
        <v>0</v>
      </c>
      <c r="CE90" s="19"/>
      <c r="CF90" s="19"/>
      <c r="CG90" s="274"/>
      <c r="CH90" s="19"/>
      <c r="CI90" s="19">
        <f>SUM(CI91:CI93)</f>
        <v>0</v>
      </c>
      <c r="CJ90" s="19"/>
      <c r="CK90" s="19"/>
      <c r="CL90" s="274"/>
      <c r="CM90" s="19"/>
      <c r="CN90" s="19">
        <f>SUM(CN91:CN93)</f>
        <v>0</v>
      </c>
      <c r="CO90" s="19"/>
      <c r="CP90" s="19"/>
      <c r="CQ90" s="274"/>
      <c r="CR90" s="19"/>
      <c r="CS90" s="19">
        <f>SUM(CS91:CS93)</f>
        <v>0</v>
      </c>
      <c r="CT90" s="19"/>
      <c r="CU90" s="19"/>
      <c r="CV90" s="274"/>
      <c r="CW90" s="19"/>
      <c r="CX90" s="19">
        <f>SUM(CX91:CX93)</f>
        <v>0</v>
      </c>
      <c r="CY90" s="19"/>
      <c r="CZ90" s="19"/>
      <c r="DA90" s="274"/>
      <c r="DB90" s="19"/>
      <c r="DC90" s="19">
        <f>SUM(DC91:DC93)</f>
        <v>0</v>
      </c>
      <c r="DD90" s="19"/>
      <c r="DE90" s="19"/>
      <c r="DF90" s="274"/>
      <c r="DG90" s="19"/>
      <c r="DH90" s="19">
        <f>SUM(DH91:DH93)</f>
        <v>0</v>
      </c>
      <c r="DI90" s="19"/>
      <c r="DJ90" s="19"/>
      <c r="DK90" s="274"/>
      <c r="DL90" s="19"/>
      <c r="DM90" s="19">
        <f>SUM(DM91:DM93)</f>
        <v>0</v>
      </c>
      <c r="DN90" s="19"/>
      <c r="DO90" s="19"/>
      <c r="DP90" s="274"/>
      <c r="DQ90" s="19"/>
      <c r="DR90" s="19">
        <f>SUM(DR91:DR93)</f>
        <v>0</v>
      </c>
      <c r="DS90" s="19"/>
      <c r="DT90" s="19"/>
      <c r="DU90" s="274"/>
      <c r="DV90" s="19"/>
      <c r="DW90" s="19">
        <f>SUM(DW91:DW93)</f>
        <v>0</v>
      </c>
      <c r="DX90" s="19"/>
      <c r="DY90" s="19"/>
      <c r="DZ90" s="274"/>
      <c r="EA90" s="19"/>
      <c r="EB90" s="19">
        <f>SUM(EB91:EB93)</f>
        <v>0</v>
      </c>
      <c r="EC90" s="19"/>
      <c r="ED90" s="19"/>
      <c r="EE90" s="274"/>
      <c r="EF90" s="19"/>
      <c r="EG90" s="19">
        <f>SUM(EG91:EG93)</f>
        <v>0</v>
      </c>
      <c r="EH90" s="19"/>
      <c r="EI90" s="19"/>
      <c r="EJ90" s="274"/>
      <c r="EK90" s="19"/>
      <c r="EL90" s="19">
        <f>SUM(EL91:EL93)</f>
        <v>0</v>
      </c>
      <c r="EM90" s="19"/>
      <c r="EN90" s="19"/>
      <c r="EO90" s="244"/>
      <c r="ER90" s="451"/>
      <c r="ES90" s="451"/>
    </row>
    <row r="91" spans="3:149" ht="12.75" hidden="1" customHeight="1" x14ac:dyDescent="0.2">
      <c r="D91" s="244" t="s">
        <v>344</v>
      </c>
      <c r="E91" s="274"/>
      <c r="F91" s="112"/>
      <c r="G91" s="374">
        <v>0</v>
      </c>
      <c r="H91" s="475"/>
      <c r="I91" s="19"/>
      <c r="J91" s="274"/>
      <c r="K91" s="173"/>
      <c r="L91" s="374">
        <v>0</v>
      </c>
      <c r="M91" s="475"/>
      <c r="N91" s="19"/>
      <c r="O91" s="274"/>
      <c r="P91" s="173"/>
      <c r="Q91" s="374">
        <v>0</v>
      </c>
      <c r="R91" s="475"/>
      <c r="S91" s="19"/>
      <c r="T91" s="274"/>
      <c r="U91" s="173"/>
      <c r="V91" s="374">
        <v>0</v>
      </c>
      <c r="W91" s="475"/>
      <c r="X91" s="19"/>
      <c r="Y91" s="274"/>
      <c r="Z91" s="173"/>
      <c r="AA91" s="374">
        <v>0</v>
      </c>
      <c r="AB91" s="475"/>
      <c r="AC91" s="19"/>
      <c r="AD91" s="274"/>
      <c r="AE91" s="173"/>
      <c r="AF91" s="374">
        <v>0</v>
      </c>
      <c r="AG91" s="475"/>
      <c r="AH91" s="19"/>
      <c r="AI91" s="274"/>
      <c r="AJ91" s="173"/>
      <c r="AK91" s="374">
        <v>0</v>
      </c>
      <c r="AL91" s="475"/>
      <c r="AM91" s="19"/>
      <c r="AN91" s="274"/>
      <c r="AO91" s="173"/>
      <c r="AP91" s="374">
        <v>0</v>
      </c>
      <c r="AQ91" s="475"/>
      <c r="AR91" s="19"/>
      <c r="AS91" s="274"/>
      <c r="AT91" s="173"/>
      <c r="AU91" s="374">
        <v>0</v>
      </c>
      <c r="AV91" s="475"/>
      <c r="AW91" s="19"/>
      <c r="AX91" s="274"/>
      <c r="AY91" s="173"/>
      <c r="AZ91" s="374">
        <v>0</v>
      </c>
      <c r="BA91" s="475"/>
      <c r="BB91" s="19"/>
      <c r="BC91" s="274"/>
      <c r="BD91" s="173"/>
      <c r="BE91" s="374">
        <v>0</v>
      </c>
      <c r="BF91" s="475"/>
      <c r="BG91" s="19"/>
      <c r="BH91" s="274"/>
      <c r="BI91" s="173"/>
      <c r="BJ91" s="374">
        <v>0</v>
      </c>
      <c r="BK91" s="475"/>
      <c r="BL91" s="19"/>
      <c r="BM91" s="274"/>
      <c r="BN91" s="173"/>
      <c r="BO91" s="374">
        <v>0</v>
      </c>
      <c r="BP91" s="475"/>
      <c r="BQ91" s="19"/>
      <c r="BR91" s="274"/>
      <c r="BS91" s="173"/>
      <c r="BT91" s="374">
        <f>SUM(L91:BO91)</f>
        <v>0</v>
      </c>
      <c r="BU91" s="475"/>
      <c r="BV91" s="19"/>
      <c r="BW91" s="274"/>
      <c r="BX91" s="173"/>
      <c r="BY91" s="374">
        <f>SUM(Q91:BT91)</f>
        <v>0</v>
      </c>
      <c r="BZ91" s="475"/>
      <c r="CA91" s="19"/>
      <c r="CB91" s="274"/>
      <c r="CC91" s="173"/>
      <c r="CD91" s="374">
        <v>0</v>
      </c>
      <c r="CE91" s="475"/>
      <c r="CF91" s="19"/>
      <c r="CG91" s="274"/>
      <c r="CH91" s="173"/>
      <c r="CI91" s="374">
        <v>0</v>
      </c>
      <c r="CJ91" s="475"/>
      <c r="CK91" s="19"/>
      <c r="CL91" s="274"/>
      <c r="CM91" s="173"/>
      <c r="CN91" s="374">
        <v>0</v>
      </c>
      <c r="CO91" s="475"/>
      <c r="CP91" s="19"/>
      <c r="CQ91" s="274"/>
      <c r="CR91" s="173"/>
      <c r="CS91" s="374">
        <v>0</v>
      </c>
      <c r="CT91" s="475"/>
      <c r="CU91" s="19"/>
      <c r="CV91" s="274"/>
      <c r="CW91" s="173"/>
      <c r="CX91" s="374">
        <v>0</v>
      </c>
      <c r="CY91" s="475"/>
      <c r="CZ91" s="19"/>
      <c r="DA91" s="274"/>
      <c r="DB91" s="173"/>
      <c r="DC91" s="374">
        <v>0</v>
      </c>
      <c r="DD91" s="475"/>
      <c r="DE91" s="19"/>
      <c r="DF91" s="274"/>
      <c r="DG91" s="173"/>
      <c r="DH91" s="374">
        <v>0</v>
      </c>
      <c r="DI91" s="475"/>
      <c r="DJ91" s="19"/>
      <c r="DK91" s="274"/>
      <c r="DL91" s="173"/>
      <c r="DM91" s="374">
        <v>0</v>
      </c>
      <c r="DN91" s="475"/>
      <c r="DO91" s="19"/>
      <c r="DP91" s="274"/>
      <c r="DQ91" s="173"/>
      <c r="DR91" s="374">
        <v>0</v>
      </c>
      <c r="DS91" s="475"/>
      <c r="DT91" s="19"/>
      <c r="DU91" s="274"/>
      <c r="DV91" s="173"/>
      <c r="DW91" s="374">
        <v>0</v>
      </c>
      <c r="DX91" s="475"/>
      <c r="DY91" s="19"/>
      <c r="DZ91" s="274"/>
      <c r="EA91" s="173"/>
      <c r="EB91" s="374">
        <v>0</v>
      </c>
      <c r="EC91" s="475"/>
      <c r="ED91" s="19"/>
      <c r="EE91" s="274"/>
      <c r="EF91" s="173"/>
      <c r="EG91" s="374">
        <v>0</v>
      </c>
      <c r="EH91" s="475"/>
      <c r="EI91" s="19"/>
      <c r="EJ91" s="274"/>
      <c r="EK91" s="173"/>
      <c r="EL91" s="374">
        <f>SUM(CD91:EG91)</f>
        <v>0</v>
      </c>
      <c r="EM91" s="475"/>
      <c r="EN91" s="19"/>
      <c r="EO91" s="244"/>
      <c r="ER91" s="451"/>
      <c r="ES91" s="451"/>
    </row>
    <row r="92" spans="3:149" ht="12.75" hidden="1" customHeight="1" x14ac:dyDescent="0.2">
      <c r="D92" s="244" t="s">
        <v>346</v>
      </c>
      <c r="E92" s="274"/>
      <c r="F92" s="82"/>
      <c r="G92" s="19">
        <v>0</v>
      </c>
      <c r="H92" s="18"/>
      <c r="I92" s="19"/>
      <c r="J92" s="274"/>
      <c r="K92" s="274"/>
      <c r="L92" s="19">
        <v>0</v>
      </c>
      <c r="M92" s="18"/>
      <c r="N92" s="19"/>
      <c r="O92" s="274"/>
      <c r="P92" s="274"/>
      <c r="Q92" s="19">
        <v>0</v>
      </c>
      <c r="R92" s="18"/>
      <c r="S92" s="19"/>
      <c r="T92" s="274"/>
      <c r="U92" s="274"/>
      <c r="V92" s="19">
        <v>0</v>
      </c>
      <c r="W92" s="18"/>
      <c r="X92" s="19"/>
      <c r="Y92" s="274"/>
      <c r="Z92" s="274"/>
      <c r="AA92" s="19">
        <v>0</v>
      </c>
      <c r="AB92" s="18"/>
      <c r="AC92" s="19"/>
      <c r="AD92" s="274"/>
      <c r="AE92" s="274"/>
      <c r="AF92" s="19">
        <v>0</v>
      </c>
      <c r="AG92" s="18"/>
      <c r="AH92" s="19"/>
      <c r="AI92" s="274"/>
      <c r="AJ92" s="274"/>
      <c r="AK92" s="19">
        <v>0</v>
      </c>
      <c r="AL92" s="18"/>
      <c r="AM92" s="19"/>
      <c r="AN92" s="274"/>
      <c r="AO92" s="274"/>
      <c r="AP92" s="19">
        <v>0</v>
      </c>
      <c r="AQ92" s="18"/>
      <c r="AR92" s="19"/>
      <c r="AS92" s="274"/>
      <c r="AT92" s="274"/>
      <c r="AU92" s="19">
        <v>0</v>
      </c>
      <c r="AV92" s="18"/>
      <c r="AW92" s="19"/>
      <c r="AX92" s="274"/>
      <c r="AY92" s="274"/>
      <c r="AZ92" s="19">
        <v>0</v>
      </c>
      <c r="BA92" s="18"/>
      <c r="BB92" s="19"/>
      <c r="BC92" s="274"/>
      <c r="BD92" s="274"/>
      <c r="BE92" s="19">
        <v>0</v>
      </c>
      <c r="BF92" s="18"/>
      <c r="BG92" s="19"/>
      <c r="BH92" s="274"/>
      <c r="BI92" s="274"/>
      <c r="BJ92" s="19">
        <v>0</v>
      </c>
      <c r="BK92" s="18"/>
      <c r="BL92" s="19"/>
      <c r="BM92" s="274"/>
      <c r="BN92" s="274"/>
      <c r="BO92" s="19">
        <v>0</v>
      </c>
      <c r="BP92" s="18"/>
      <c r="BQ92" s="19"/>
      <c r="BR92" s="274"/>
      <c r="BS92" s="274"/>
      <c r="BT92" s="19">
        <f>SUM(L92:BO92)</f>
        <v>0</v>
      </c>
      <c r="BU92" s="18"/>
      <c r="BV92" s="19"/>
      <c r="BW92" s="274"/>
      <c r="BX92" s="274"/>
      <c r="BY92" s="19">
        <f>SUM(Q92:BT92)</f>
        <v>0</v>
      </c>
      <c r="BZ92" s="18"/>
      <c r="CA92" s="19"/>
      <c r="CB92" s="274"/>
      <c r="CC92" s="274"/>
      <c r="CD92" s="19">
        <v>0</v>
      </c>
      <c r="CE92" s="18"/>
      <c r="CF92" s="19"/>
      <c r="CG92" s="274"/>
      <c r="CH92" s="274"/>
      <c r="CI92" s="19">
        <v>0</v>
      </c>
      <c r="CJ92" s="18"/>
      <c r="CK92" s="19"/>
      <c r="CL92" s="274"/>
      <c r="CM92" s="274"/>
      <c r="CN92" s="19">
        <v>0</v>
      </c>
      <c r="CO92" s="18"/>
      <c r="CP92" s="19"/>
      <c r="CQ92" s="274"/>
      <c r="CR92" s="274"/>
      <c r="CS92" s="19">
        <v>0</v>
      </c>
      <c r="CT92" s="18"/>
      <c r="CU92" s="19"/>
      <c r="CV92" s="274"/>
      <c r="CW92" s="274"/>
      <c r="CX92" s="19">
        <v>0</v>
      </c>
      <c r="CY92" s="18"/>
      <c r="CZ92" s="19"/>
      <c r="DA92" s="274"/>
      <c r="DB92" s="274"/>
      <c r="DC92" s="19">
        <v>0</v>
      </c>
      <c r="DD92" s="18"/>
      <c r="DE92" s="19"/>
      <c r="DF92" s="274"/>
      <c r="DG92" s="274"/>
      <c r="DH92" s="19">
        <v>0</v>
      </c>
      <c r="DI92" s="18"/>
      <c r="DJ92" s="19"/>
      <c r="DK92" s="274"/>
      <c r="DL92" s="274"/>
      <c r="DM92" s="19">
        <v>0</v>
      </c>
      <c r="DN92" s="18"/>
      <c r="DO92" s="19"/>
      <c r="DP92" s="274"/>
      <c r="DQ92" s="274"/>
      <c r="DR92" s="19">
        <v>0</v>
      </c>
      <c r="DS92" s="18"/>
      <c r="DT92" s="19"/>
      <c r="DU92" s="274"/>
      <c r="DV92" s="274"/>
      <c r="DW92" s="19">
        <v>0</v>
      </c>
      <c r="DX92" s="18"/>
      <c r="DY92" s="19"/>
      <c r="DZ92" s="274"/>
      <c r="EA92" s="274"/>
      <c r="EB92" s="19">
        <v>0</v>
      </c>
      <c r="EC92" s="18"/>
      <c r="ED92" s="19"/>
      <c r="EE92" s="274"/>
      <c r="EF92" s="274"/>
      <c r="EG92" s="19">
        <v>0</v>
      </c>
      <c r="EH92" s="18"/>
      <c r="EI92" s="19"/>
      <c r="EJ92" s="274"/>
      <c r="EK92" s="274"/>
      <c r="EL92" s="19">
        <f>SUM(CD92:EG92)</f>
        <v>0</v>
      </c>
      <c r="EM92" s="18"/>
      <c r="EN92" s="19"/>
      <c r="EO92" s="244"/>
      <c r="ER92" s="451"/>
      <c r="ES92" s="451"/>
    </row>
    <row r="93" spans="3:149" ht="12.75" hidden="1" customHeight="1" x14ac:dyDescent="0.2">
      <c r="D93" s="244" t="s">
        <v>354</v>
      </c>
      <c r="E93" s="274"/>
      <c r="F93" s="276"/>
      <c r="G93" s="37">
        <v>0</v>
      </c>
      <c r="H93" s="36"/>
      <c r="I93" s="19"/>
      <c r="J93" s="274"/>
      <c r="K93" s="231"/>
      <c r="L93" s="37">
        <v>0</v>
      </c>
      <c r="M93" s="36"/>
      <c r="N93" s="19"/>
      <c r="O93" s="274"/>
      <c r="P93" s="231"/>
      <c r="Q93" s="37">
        <v>0</v>
      </c>
      <c r="R93" s="36"/>
      <c r="S93" s="19"/>
      <c r="T93" s="274"/>
      <c r="U93" s="231"/>
      <c r="V93" s="37">
        <v>0</v>
      </c>
      <c r="W93" s="36"/>
      <c r="X93" s="19"/>
      <c r="Y93" s="274"/>
      <c r="Z93" s="231"/>
      <c r="AA93" s="37">
        <v>0</v>
      </c>
      <c r="AB93" s="36"/>
      <c r="AC93" s="19"/>
      <c r="AD93" s="274"/>
      <c r="AE93" s="231"/>
      <c r="AF93" s="37">
        <v>0</v>
      </c>
      <c r="AG93" s="36"/>
      <c r="AH93" s="19"/>
      <c r="AI93" s="274"/>
      <c r="AJ93" s="231"/>
      <c r="AK93" s="37">
        <v>0</v>
      </c>
      <c r="AL93" s="36"/>
      <c r="AM93" s="19"/>
      <c r="AN93" s="274"/>
      <c r="AO93" s="231"/>
      <c r="AP93" s="37">
        <v>0</v>
      </c>
      <c r="AQ93" s="36"/>
      <c r="AR93" s="19"/>
      <c r="AS93" s="274"/>
      <c r="AT93" s="231"/>
      <c r="AU93" s="37">
        <v>0</v>
      </c>
      <c r="AV93" s="36"/>
      <c r="AW93" s="19"/>
      <c r="AX93" s="274"/>
      <c r="AY93" s="231"/>
      <c r="AZ93" s="37">
        <v>0</v>
      </c>
      <c r="BA93" s="36"/>
      <c r="BB93" s="19"/>
      <c r="BC93" s="274"/>
      <c r="BD93" s="231"/>
      <c r="BE93" s="37">
        <v>0</v>
      </c>
      <c r="BF93" s="36"/>
      <c r="BG93" s="19"/>
      <c r="BH93" s="274"/>
      <c r="BI93" s="231"/>
      <c r="BJ93" s="37">
        <v>0</v>
      </c>
      <c r="BK93" s="36"/>
      <c r="BL93" s="19"/>
      <c r="BM93" s="274"/>
      <c r="BN93" s="231"/>
      <c r="BO93" s="37">
        <v>0</v>
      </c>
      <c r="BP93" s="36"/>
      <c r="BQ93" s="19"/>
      <c r="BR93" s="274"/>
      <c r="BS93" s="231"/>
      <c r="BT93" s="37">
        <f>SUM(L93:BO93)</f>
        <v>0</v>
      </c>
      <c r="BU93" s="36"/>
      <c r="BV93" s="19"/>
      <c r="BW93" s="274"/>
      <c r="BX93" s="231"/>
      <c r="BY93" s="37">
        <f>SUM(Q93:BT93)</f>
        <v>0</v>
      </c>
      <c r="BZ93" s="36"/>
      <c r="CA93" s="19"/>
      <c r="CB93" s="274"/>
      <c r="CC93" s="231"/>
      <c r="CD93" s="37">
        <v>0</v>
      </c>
      <c r="CE93" s="36"/>
      <c r="CF93" s="19"/>
      <c r="CG93" s="274"/>
      <c r="CH93" s="231"/>
      <c r="CI93" s="37">
        <v>0</v>
      </c>
      <c r="CJ93" s="36"/>
      <c r="CK93" s="19"/>
      <c r="CL93" s="274"/>
      <c r="CM93" s="231"/>
      <c r="CN93" s="37">
        <v>0</v>
      </c>
      <c r="CO93" s="36"/>
      <c r="CP93" s="19"/>
      <c r="CQ93" s="274"/>
      <c r="CR93" s="231"/>
      <c r="CS93" s="37">
        <v>0</v>
      </c>
      <c r="CT93" s="36"/>
      <c r="CU93" s="19"/>
      <c r="CV93" s="274"/>
      <c r="CW93" s="231"/>
      <c r="CX93" s="37">
        <v>0</v>
      </c>
      <c r="CY93" s="36"/>
      <c r="CZ93" s="19"/>
      <c r="DA93" s="274"/>
      <c r="DB93" s="231"/>
      <c r="DC93" s="37">
        <v>0</v>
      </c>
      <c r="DD93" s="36"/>
      <c r="DE93" s="19"/>
      <c r="DF93" s="274"/>
      <c r="DG93" s="231"/>
      <c r="DH93" s="37">
        <v>0</v>
      </c>
      <c r="DI93" s="36"/>
      <c r="DJ93" s="19"/>
      <c r="DK93" s="274"/>
      <c r="DL93" s="231"/>
      <c r="DM93" s="37">
        <v>0</v>
      </c>
      <c r="DN93" s="36"/>
      <c r="DO93" s="19"/>
      <c r="DP93" s="274"/>
      <c r="DQ93" s="231"/>
      <c r="DR93" s="37">
        <v>0</v>
      </c>
      <c r="DS93" s="36"/>
      <c r="DT93" s="19"/>
      <c r="DU93" s="274"/>
      <c r="DV93" s="231"/>
      <c r="DW93" s="37">
        <v>0</v>
      </c>
      <c r="DX93" s="36"/>
      <c r="DY93" s="19"/>
      <c r="DZ93" s="274"/>
      <c r="EA93" s="231"/>
      <c r="EB93" s="37">
        <v>0</v>
      </c>
      <c r="EC93" s="36"/>
      <c r="ED93" s="19"/>
      <c r="EE93" s="274"/>
      <c r="EF93" s="231"/>
      <c r="EG93" s="37">
        <v>0</v>
      </c>
      <c r="EH93" s="36"/>
      <c r="EI93" s="19"/>
      <c r="EJ93" s="274"/>
      <c r="EK93" s="231"/>
      <c r="EL93" s="37">
        <f>SUM(CD93:EG93)</f>
        <v>0</v>
      </c>
      <c r="EM93" s="36"/>
      <c r="EN93" s="19"/>
      <c r="EO93" s="244"/>
      <c r="ER93" s="451"/>
      <c r="ES93" s="451"/>
    </row>
    <row r="94" spans="3:149" ht="12.75" hidden="1" customHeight="1" x14ac:dyDescent="0.2">
      <c r="D94" s="244"/>
      <c r="E94" s="274"/>
      <c r="G94" s="19"/>
      <c r="H94" s="19"/>
      <c r="I94" s="19"/>
      <c r="J94" s="274"/>
      <c r="K94" s="19"/>
      <c r="L94" s="19"/>
      <c r="M94" s="19"/>
      <c r="N94" s="19"/>
      <c r="O94" s="274"/>
      <c r="P94" s="19"/>
      <c r="Q94" s="19"/>
      <c r="R94" s="19"/>
      <c r="S94" s="19"/>
      <c r="T94" s="274"/>
      <c r="U94" s="19"/>
      <c r="V94" s="19"/>
      <c r="W94" s="19"/>
      <c r="X94" s="19"/>
      <c r="Y94" s="274"/>
      <c r="Z94" s="19"/>
      <c r="AA94" s="19"/>
      <c r="AB94" s="19"/>
      <c r="AC94" s="19"/>
      <c r="AD94" s="274"/>
      <c r="AE94" s="19"/>
      <c r="AF94" s="19"/>
      <c r="AG94" s="19"/>
      <c r="AH94" s="19"/>
      <c r="AI94" s="274"/>
      <c r="AJ94" s="19"/>
      <c r="AK94" s="19"/>
      <c r="AL94" s="19"/>
      <c r="AM94" s="19"/>
      <c r="AN94" s="274"/>
      <c r="AO94" s="19"/>
      <c r="AP94" s="19"/>
      <c r="AQ94" s="19"/>
      <c r="AR94" s="19"/>
      <c r="AS94" s="274"/>
      <c r="AT94" s="19"/>
      <c r="AU94" s="19"/>
      <c r="AV94" s="19"/>
      <c r="AW94" s="19"/>
      <c r="AX94" s="274"/>
      <c r="AY94" s="19"/>
      <c r="AZ94" s="19"/>
      <c r="BA94" s="19"/>
      <c r="BB94" s="19"/>
      <c r="BC94" s="274"/>
      <c r="BD94" s="19"/>
      <c r="BE94" s="19"/>
      <c r="BF94" s="19"/>
      <c r="BG94" s="19"/>
      <c r="BH94" s="274"/>
      <c r="BI94" s="19"/>
      <c r="BJ94" s="19"/>
      <c r="BK94" s="19"/>
      <c r="BL94" s="19"/>
      <c r="BM94" s="274"/>
      <c r="BN94" s="19"/>
      <c r="BO94" s="19"/>
      <c r="BP94" s="19"/>
      <c r="BQ94" s="19"/>
      <c r="BR94" s="274"/>
      <c r="BS94" s="19"/>
      <c r="BT94" s="19"/>
      <c r="BU94" s="19"/>
      <c r="BV94" s="19"/>
      <c r="BW94" s="274"/>
      <c r="BX94" s="19"/>
      <c r="BY94" s="19"/>
      <c r="BZ94" s="19"/>
      <c r="CA94" s="19"/>
      <c r="CB94" s="274"/>
      <c r="CC94" s="19"/>
      <c r="CD94" s="19"/>
      <c r="CE94" s="19"/>
      <c r="CF94" s="19"/>
      <c r="CG94" s="274"/>
      <c r="CH94" s="19"/>
      <c r="CI94" s="19"/>
      <c r="CJ94" s="19"/>
      <c r="CK94" s="19"/>
      <c r="CL94" s="274"/>
      <c r="CM94" s="19"/>
      <c r="CN94" s="19"/>
      <c r="CO94" s="19"/>
      <c r="CP94" s="19"/>
      <c r="CQ94" s="274"/>
      <c r="CR94" s="19"/>
      <c r="CS94" s="19"/>
      <c r="CT94" s="19"/>
      <c r="CU94" s="19"/>
      <c r="CV94" s="274"/>
      <c r="CW94" s="19"/>
      <c r="CX94" s="19"/>
      <c r="CY94" s="19"/>
      <c r="CZ94" s="19"/>
      <c r="DA94" s="274"/>
      <c r="DB94" s="19"/>
      <c r="DC94" s="19"/>
      <c r="DD94" s="19"/>
      <c r="DE94" s="19"/>
      <c r="DF94" s="274"/>
      <c r="DG94" s="19"/>
      <c r="DH94" s="19"/>
      <c r="DI94" s="19"/>
      <c r="DJ94" s="19"/>
      <c r="DK94" s="274"/>
      <c r="DL94" s="19"/>
      <c r="DM94" s="19"/>
      <c r="DN94" s="19"/>
      <c r="DO94" s="19"/>
      <c r="DP94" s="274"/>
      <c r="DQ94" s="19"/>
      <c r="DR94" s="19"/>
      <c r="DS94" s="19"/>
      <c r="DT94" s="19"/>
      <c r="DU94" s="274"/>
      <c r="DV94" s="19"/>
      <c r="DW94" s="19"/>
      <c r="DX94" s="19"/>
      <c r="DY94" s="19"/>
      <c r="DZ94" s="274"/>
      <c r="EA94" s="19"/>
      <c r="EB94" s="19"/>
      <c r="EC94" s="19"/>
      <c r="ED94" s="19"/>
      <c r="EE94" s="274"/>
      <c r="EF94" s="19"/>
      <c r="EG94" s="19"/>
      <c r="EH94" s="19"/>
      <c r="EI94" s="19"/>
      <c r="EJ94" s="274"/>
      <c r="EK94" s="19"/>
      <c r="EL94" s="19"/>
      <c r="EM94" s="19"/>
      <c r="EN94" s="19"/>
      <c r="EO94" s="244"/>
      <c r="ER94" s="451"/>
      <c r="ES94" s="451"/>
    </row>
    <row r="95" spans="3:149" ht="12.75" hidden="1" customHeight="1" x14ac:dyDescent="0.2">
      <c r="D95" s="244" t="s">
        <v>362</v>
      </c>
      <c r="E95" s="274"/>
      <c r="G95" s="19">
        <f>SUM(G96:G98)</f>
        <v>0</v>
      </c>
      <c r="H95" s="19"/>
      <c r="I95" s="19"/>
      <c r="J95" s="274"/>
      <c r="K95" s="19"/>
      <c r="L95" s="19">
        <f>SUM(L96:L98)</f>
        <v>0</v>
      </c>
      <c r="M95" s="19"/>
      <c r="N95" s="19"/>
      <c r="O95" s="274"/>
      <c r="P95" s="19"/>
      <c r="Q95" s="19">
        <f>SUM(Q96:Q98)</f>
        <v>0</v>
      </c>
      <c r="R95" s="19"/>
      <c r="S95" s="19"/>
      <c r="T95" s="274"/>
      <c r="U95" s="19"/>
      <c r="V95" s="19">
        <f>SUM(V96:V98)</f>
        <v>0</v>
      </c>
      <c r="W95" s="19"/>
      <c r="X95" s="19"/>
      <c r="Y95" s="274"/>
      <c r="Z95" s="19"/>
      <c r="AA95" s="19">
        <f>SUM(AA96:AA98)</f>
        <v>0</v>
      </c>
      <c r="AB95" s="19"/>
      <c r="AC95" s="19"/>
      <c r="AD95" s="274"/>
      <c r="AE95" s="19"/>
      <c r="AF95" s="19">
        <f>SUM(AF96:AF98)</f>
        <v>0</v>
      </c>
      <c r="AG95" s="19"/>
      <c r="AH95" s="19"/>
      <c r="AI95" s="274"/>
      <c r="AJ95" s="19"/>
      <c r="AK95" s="19">
        <f>SUM(AK96:AK98)</f>
        <v>0</v>
      </c>
      <c r="AL95" s="19"/>
      <c r="AM95" s="19"/>
      <c r="AN95" s="274"/>
      <c r="AO95" s="19"/>
      <c r="AP95" s="19">
        <f>SUM(AP96:AP98)</f>
        <v>0</v>
      </c>
      <c r="AQ95" s="19"/>
      <c r="AR95" s="19"/>
      <c r="AS95" s="274"/>
      <c r="AT95" s="19"/>
      <c r="AU95" s="19">
        <f>SUM(AU96:AU98)</f>
        <v>0</v>
      </c>
      <c r="AV95" s="19"/>
      <c r="AW95" s="19"/>
      <c r="AX95" s="274"/>
      <c r="AY95" s="19"/>
      <c r="AZ95" s="19">
        <f>SUM(AZ96:AZ98)</f>
        <v>0</v>
      </c>
      <c r="BA95" s="19"/>
      <c r="BB95" s="19"/>
      <c r="BC95" s="274"/>
      <c r="BD95" s="19"/>
      <c r="BE95" s="19">
        <f>SUM(BE96:BE98)</f>
        <v>0</v>
      </c>
      <c r="BF95" s="19"/>
      <c r="BG95" s="19"/>
      <c r="BH95" s="274"/>
      <c r="BI95" s="19"/>
      <c r="BJ95" s="19">
        <f>SUM(BJ96:BJ98)</f>
        <v>0</v>
      </c>
      <c r="BK95" s="19"/>
      <c r="BL95" s="19"/>
      <c r="BM95" s="274"/>
      <c r="BN95" s="19"/>
      <c r="BO95" s="19">
        <f>SUM(BO96:BO98)</f>
        <v>0</v>
      </c>
      <c r="BP95" s="19"/>
      <c r="BQ95" s="19"/>
      <c r="BR95" s="274"/>
      <c r="BS95" s="19"/>
      <c r="BT95" s="19">
        <f>SUM(BT96:BT98)</f>
        <v>0</v>
      </c>
      <c r="BU95" s="19"/>
      <c r="BV95" s="19"/>
      <c r="BW95" s="274"/>
      <c r="BX95" s="19"/>
      <c r="BY95" s="19">
        <f>SUM(BY96:BY98)</f>
        <v>0</v>
      </c>
      <c r="BZ95" s="19"/>
      <c r="CA95" s="19"/>
      <c r="CB95" s="274"/>
      <c r="CC95" s="19"/>
      <c r="CD95" s="19">
        <f>SUM(CD96:CD98)</f>
        <v>0</v>
      </c>
      <c r="CE95" s="19"/>
      <c r="CF95" s="19"/>
      <c r="CG95" s="274"/>
      <c r="CH95" s="19"/>
      <c r="CI95" s="19">
        <f>SUM(CI96:CI98)</f>
        <v>0</v>
      </c>
      <c r="CJ95" s="19"/>
      <c r="CK95" s="19"/>
      <c r="CL95" s="274"/>
      <c r="CM95" s="19"/>
      <c r="CN95" s="19">
        <f>SUM(CN96:CN98)</f>
        <v>0</v>
      </c>
      <c r="CO95" s="19"/>
      <c r="CP95" s="19"/>
      <c r="CQ95" s="274"/>
      <c r="CR95" s="19"/>
      <c r="CS95" s="19">
        <f>SUM(CS96:CS98)</f>
        <v>0</v>
      </c>
      <c r="CT95" s="19"/>
      <c r="CU95" s="19"/>
      <c r="CV95" s="274"/>
      <c r="CW95" s="19"/>
      <c r="CX95" s="19">
        <f>SUM(CX96:CX98)</f>
        <v>0</v>
      </c>
      <c r="CY95" s="19"/>
      <c r="CZ95" s="19"/>
      <c r="DA95" s="274"/>
      <c r="DB95" s="19"/>
      <c r="DC95" s="19">
        <f>SUM(DC96:DC98)</f>
        <v>0</v>
      </c>
      <c r="DD95" s="19"/>
      <c r="DE95" s="19"/>
      <c r="DF95" s="274"/>
      <c r="DG95" s="19"/>
      <c r="DH95" s="19">
        <f>SUM(DH96:DH98)</f>
        <v>0</v>
      </c>
      <c r="DI95" s="19"/>
      <c r="DJ95" s="19"/>
      <c r="DK95" s="274"/>
      <c r="DL95" s="19"/>
      <c r="DM95" s="19">
        <f>SUM(DM96:DM98)</f>
        <v>0</v>
      </c>
      <c r="DN95" s="19"/>
      <c r="DO95" s="19"/>
      <c r="DP95" s="274"/>
      <c r="DQ95" s="19"/>
      <c r="DR95" s="19">
        <f>SUM(DR96:DR98)</f>
        <v>0</v>
      </c>
      <c r="DS95" s="19"/>
      <c r="DT95" s="19"/>
      <c r="DU95" s="274"/>
      <c r="DV95" s="19"/>
      <c r="DW95" s="19">
        <f>SUM(DW96:DW98)</f>
        <v>0</v>
      </c>
      <c r="DX95" s="19"/>
      <c r="DY95" s="19"/>
      <c r="DZ95" s="274"/>
      <c r="EA95" s="19"/>
      <c r="EB95" s="19">
        <f>SUM(EB96:EB98)</f>
        <v>0</v>
      </c>
      <c r="EC95" s="19"/>
      <c r="ED95" s="19"/>
      <c r="EE95" s="274"/>
      <c r="EF95" s="19"/>
      <c r="EG95" s="19">
        <f>SUM(EG96:EG98)</f>
        <v>0</v>
      </c>
      <c r="EH95" s="19"/>
      <c r="EI95" s="19"/>
      <c r="EJ95" s="274"/>
      <c r="EK95" s="19"/>
      <c r="EL95" s="19">
        <f>SUM(EL96:EL98)</f>
        <v>0</v>
      </c>
      <c r="EM95" s="19"/>
      <c r="EN95" s="19"/>
      <c r="EO95" s="244"/>
      <c r="ER95" s="451"/>
      <c r="ES95" s="451"/>
    </row>
    <row r="96" spans="3:149" ht="12.75" hidden="1" customHeight="1" x14ac:dyDescent="0.2">
      <c r="D96" s="244" t="s">
        <v>344</v>
      </c>
      <c r="E96" s="274"/>
      <c r="F96" s="112"/>
      <c r="G96" s="374">
        <v>0</v>
      </c>
      <c r="H96" s="475"/>
      <c r="I96" s="19"/>
      <c r="J96" s="274"/>
      <c r="K96" s="173"/>
      <c r="L96" s="374">
        <v>0</v>
      </c>
      <c r="M96" s="475"/>
      <c r="N96" s="19"/>
      <c r="O96" s="274"/>
      <c r="P96" s="173"/>
      <c r="Q96" s="374">
        <v>0</v>
      </c>
      <c r="R96" s="475"/>
      <c r="S96" s="19"/>
      <c r="T96" s="274"/>
      <c r="U96" s="173"/>
      <c r="V96" s="374">
        <v>0</v>
      </c>
      <c r="W96" s="475"/>
      <c r="X96" s="19"/>
      <c r="Y96" s="274"/>
      <c r="Z96" s="173"/>
      <c r="AA96" s="374">
        <v>0</v>
      </c>
      <c r="AB96" s="475"/>
      <c r="AC96" s="19"/>
      <c r="AD96" s="274"/>
      <c r="AE96" s="173"/>
      <c r="AF96" s="374">
        <v>0</v>
      </c>
      <c r="AG96" s="475"/>
      <c r="AH96" s="19"/>
      <c r="AI96" s="274"/>
      <c r="AJ96" s="173"/>
      <c r="AK96" s="374">
        <v>0</v>
      </c>
      <c r="AL96" s="475"/>
      <c r="AM96" s="19"/>
      <c r="AN96" s="274"/>
      <c r="AO96" s="173"/>
      <c r="AP96" s="374">
        <v>0</v>
      </c>
      <c r="AQ96" s="475"/>
      <c r="AR96" s="19"/>
      <c r="AS96" s="274"/>
      <c r="AT96" s="173"/>
      <c r="AU96" s="374">
        <v>0</v>
      </c>
      <c r="AV96" s="475"/>
      <c r="AW96" s="19"/>
      <c r="AX96" s="274"/>
      <c r="AY96" s="173"/>
      <c r="AZ96" s="374">
        <v>0</v>
      </c>
      <c r="BA96" s="475"/>
      <c r="BB96" s="19"/>
      <c r="BC96" s="274"/>
      <c r="BD96" s="173"/>
      <c r="BE96" s="374">
        <v>0</v>
      </c>
      <c r="BF96" s="475"/>
      <c r="BG96" s="19"/>
      <c r="BH96" s="274"/>
      <c r="BI96" s="173"/>
      <c r="BJ96" s="374">
        <v>0</v>
      </c>
      <c r="BK96" s="475"/>
      <c r="BL96" s="19"/>
      <c r="BM96" s="274"/>
      <c r="BN96" s="173"/>
      <c r="BO96" s="374">
        <v>0</v>
      </c>
      <c r="BP96" s="475"/>
      <c r="BQ96" s="19"/>
      <c r="BR96" s="274"/>
      <c r="BS96" s="173"/>
      <c r="BT96" s="374">
        <f>SUM(L96:BO96)</f>
        <v>0</v>
      </c>
      <c r="BU96" s="475"/>
      <c r="BV96" s="19"/>
      <c r="BW96" s="274"/>
      <c r="BX96" s="173"/>
      <c r="BY96" s="374">
        <f>SUM(Q96:BT96)</f>
        <v>0</v>
      </c>
      <c r="BZ96" s="475"/>
      <c r="CA96" s="19"/>
      <c r="CB96" s="274"/>
      <c r="CC96" s="173"/>
      <c r="CD96" s="374">
        <v>0</v>
      </c>
      <c r="CE96" s="475"/>
      <c r="CF96" s="19"/>
      <c r="CG96" s="274"/>
      <c r="CH96" s="173"/>
      <c r="CI96" s="374">
        <v>0</v>
      </c>
      <c r="CJ96" s="475"/>
      <c r="CK96" s="19"/>
      <c r="CL96" s="274"/>
      <c r="CM96" s="173"/>
      <c r="CN96" s="374">
        <v>0</v>
      </c>
      <c r="CO96" s="475"/>
      <c r="CP96" s="19"/>
      <c r="CQ96" s="274"/>
      <c r="CR96" s="173"/>
      <c r="CS96" s="374">
        <v>0</v>
      </c>
      <c r="CT96" s="475"/>
      <c r="CU96" s="19"/>
      <c r="CV96" s="274"/>
      <c r="CW96" s="173"/>
      <c r="CX96" s="374">
        <v>0</v>
      </c>
      <c r="CY96" s="475"/>
      <c r="CZ96" s="19"/>
      <c r="DA96" s="274"/>
      <c r="DB96" s="173"/>
      <c r="DC96" s="374">
        <v>0</v>
      </c>
      <c r="DD96" s="475"/>
      <c r="DE96" s="19"/>
      <c r="DF96" s="274"/>
      <c r="DG96" s="173"/>
      <c r="DH96" s="374">
        <v>0</v>
      </c>
      <c r="DI96" s="475"/>
      <c r="DJ96" s="19"/>
      <c r="DK96" s="274"/>
      <c r="DL96" s="173"/>
      <c r="DM96" s="374">
        <v>0</v>
      </c>
      <c r="DN96" s="475"/>
      <c r="DO96" s="19"/>
      <c r="DP96" s="274"/>
      <c r="DQ96" s="173"/>
      <c r="DR96" s="374">
        <v>0</v>
      </c>
      <c r="DS96" s="475"/>
      <c r="DT96" s="19"/>
      <c r="DU96" s="274"/>
      <c r="DV96" s="173"/>
      <c r="DW96" s="374">
        <v>0</v>
      </c>
      <c r="DX96" s="475"/>
      <c r="DY96" s="19"/>
      <c r="DZ96" s="274"/>
      <c r="EA96" s="173"/>
      <c r="EB96" s="374">
        <v>0</v>
      </c>
      <c r="EC96" s="475"/>
      <c r="ED96" s="19"/>
      <c r="EE96" s="274"/>
      <c r="EF96" s="173"/>
      <c r="EG96" s="374">
        <v>0</v>
      </c>
      <c r="EH96" s="475"/>
      <c r="EI96" s="19"/>
      <c r="EJ96" s="274"/>
      <c r="EK96" s="173"/>
      <c r="EL96" s="374">
        <f>SUM(CD96:EG96)</f>
        <v>0</v>
      </c>
      <c r="EM96" s="475"/>
      <c r="EN96" s="19"/>
      <c r="EO96" s="244"/>
      <c r="ER96" s="451"/>
      <c r="ES96" s="451"/>
    </row>
    <row r="97" spans="4:149" ht="12.75" hidden="1" customHeight="1" x14ac:dyDescent="0.2">
      <c r="D97" s="244" t="s">
        <v>346</v>
      </c>
      <c r="E97" s="274"/>
      <c r="F97" s="82"/>
      <c r="G97" s="19">
        <v>0</v>
      </c>
      <c r="H97" s="18"/>
      <c r="I97" s="19"/>
      <c r="J97" s="274"/>
      <c r="K97" s="274"/>
      <c r="L97" s="19">
        <v>0</v>
      </c>
      <c r="M97" s="18"/>
      <c r="N97" s="19"/>
      <c r="O97" s="274"/>
      <c r="P97" s="274"/>
      <c r="Q97" s="19">
        <v>0</v>
      </c>
      <c r="R97" s="18"/>
      <c r="S97" s="19"/>
      <c r="T97" s="274"/>
      <c r="U97" s="274"/>
      <c r="V97" s="19">
        <v>0</v>
      </c>
      <c r="W97" s="18"/>
      <c r="X97" s="19"/>
      <c r="Y97" s="274"/>
      <c r="Z97" s="274"/>
      <c r="AA97" s="19">
        <v>0</v>
      </c>
      <c r="AB97" s="18"/>
      <c r="AC97" s="19"/>
      <c r="AD97" s="274"/>
      <c r="AE97" s="274"/>
      <c r="AF97" s="19">
        <v>0</v>
      </c>
      <c r="AG97" s="18"/>
      <c r="AH97" s="19"/>
      <c r="AI97" s="274"/>
      <c r="AJ97" s="274"/>
      <c r="AK97" s="19">
        <v>0</v>
      </c>
      <c r="AL97" s="18"/>
      <c r="AM97" s="19"/>
      <c r="AN97" s="274"/>
      <c r="AO97" s="274"/>
      <c r="AP97" s="19">
        <v>0</v>
      </c>
      <c r="AQ97" s="18"/>
      <c r="AR97" s="19"/>
      <c r="AS97" s="274"/>
      <c r="AT97" s="274"/>
      <c r="AU97" s="19">
        <v>0</v>
      </c>
      <c r="AV97" s="18"/>
      <c r="AW97" s="19"/>
      <c r="AX97" s="274"/>
      <c r="AY97" s="274"/>
      <c r="AZ97" s="19">
        <v>0</v>
      </c>
      <c r="BA97" s="18"/>
      <c r="BB97" s="19"/>
      <c r="BC97" s="274"/>
      <c r="BD97" s="274"/>
      <c r="BE97" s="19">
        <v>0</v>
      </c>
      <c r="BF97" s="18"/>
      <c r="BG97" s="19"/>
      <c r="BH97" s="274"/>
      <c r="BI97" s="274"/>
      <c r="BJ97" s="19">
        <v>0</v>
      </c>
      <c r="BK97" s="18"/>
      <c r="BL97" s="19"/>
      <c r="BM97" s="274"/>
      <c r="BN97" s="274"/>
      <c r="BO97" s="19">
        <v>0</v>
      </c>
      <c r="BP97" s="18"/>
      <c r="BQ97" s="19"/>
      <c r="BR97" s="274"/>
      <c r="BS97" s="274"/>
      <c r="BT97" s="19">
        <f>SUM(L97:BO97)</f>
        <v>0</v>
      </c>
      <c r="BU97" s="18"/>
      <c r="BV97" s="19"/>
      <c r="BW97" s="274"/>
      <c r="BX97" s="274"/>
      <c r="BY97" s="19">
        <f>SUM(Q97:BT97)</f>
        <v>0</v>
      </c>
      <c r="BZ97" s="18"/>
      <c r="CA97" s="19"/>
      <c r="CB97" s="274"/>
      <c r="CC97" s="274"/>
      <c r="CD97" s="19">
        <v>0</v>
      </c>
      <c r="CE97" s="18"/>
      <c r="CF97" s="19"/>
      <c r="CG97" s="274"/>
      <c r="CH97" s="274"/>
      <c r="CI97" s="19">
        <v>0</v>
      </c>
      <c r="CJ97" s="18"/>
      <c r="CK97" s="19"/>
      <c r="CL97" s="274"/>
      <c r="CM97" s="274"/>
      <c r="CN97" s="19">
        <v>0</v>
      </c>
      <c r="CO97" s="18"/>
      <c r="CP97" s="19"/>
      <c r="CQ97" s="274"/>
      <c r="CR97" s="274"/>
      <c r="CS97" s="19">
        <v>0</v>
      </c>
      <c r="CT97" s="18"/>
      <c r="CU97" s="19"/>
      <c r="CV97" s="274"/>
      <c r="CW97" s="274"/>
      <c r="CX97" s="19">
        <v>0</v>
      </c>
      <c r="CY97" s="18"/>
      <c r="CZ97" s="19"/>
      <c r="DA97" s="274"/>
      <c r="DB97" s="274"/>
      <c r="DC97" s="19">
        <v>0</v>
      </c>
      <c r="DD97" s="18"/>
      <c r="DE97" s="19"/>
      <c r="DF97" s="274"/>
      <c r="DG97" s="274"/>
      <c r="DH97" s="19">
        <v>0</v>
      </c>
      <c r="DI97" s="18"/>
      <c r="DJ97" s="19"/>
      <c r="DK97" s="274"/>
      <c r="DL97" s="274"/>
      <c r="DM97" s="19">
        <v>0</v>
      </c>
      <c r="DN97" s="18"/>
      <c r="DO97" s="19"/>
      <c r="DP97" s="274"/>
      <c r="DQ97" s="274"/>
      <c r="DR97" s="19">
        <v>0</v>
      </c>
      <c r="DS97" s="18"/>
      <c r="DT97" s="19"/>
      <c r="DU97" s="274"/>
      <c r="DV97" s="274"/>
      <c r="DW97" s="19">
        <v>0</v>
      </c>
      <c r="DX97" s="18"/>
      <c r="DY97" s="19"/>
      <c r="DZ97" s="274"/>
      <c r="EA97" s="274"/>
      <c r="EB97" s="19">
        <v>0</v>
      </c>
      <c r="EC97" s="18"/>
      <c r="ED97" s="19"/>
      <c r="EE97" s="274"/>
      <c r="EF97" s="274"/>
      <c r="EG97" s="19">
        <v>0</v>
      </c>
      <c r="EH97" s="18"/>
      <c r="EI97" s="19"/>
      <c r="EJ97" s="274"/>
      <c r="EK97" s="274"/>
      <c r="EL97" s="19">
        <f>SUM(CD97:EG97)</f>
        <v>0</v>
      </c>
      <c r="EM97" s="18"/>
      <c r="EN97" s="19"/>
      <c r="EO97" s="244"/>
      <c r="ER97" s="451"/>
      <c r="ES97" s="451"/>
    </row>
    <row r="98" spans="4:149" ht="12.75" hidden="1" customHeight="1" x14ac:dyDescent="0.2">
      <c r="D98" s="244" t="s">
        <v>354</v>
      </c>
      <c r="E98" s="274"/>
      <c r="F98" s="276"/>
      <c r="G98" s="37">
        <v>0</v>
      </c>
      <c r="H98" s="36"/>
      <c r="I98" s="19"/>
      <c r="J98" s="274"/>
      <c r="K98" s="231"/>
      <c r="L98" s="37">
        <v>0</v>
      </c>
      <c r="M98" s="36"/>
      <c r="N98" s="19"/>
      <c r="O98" s="274"/>
      <c r="P98" s="231"/>
      <c r="Q98" s="37">
        <v>0</v>
      </c>
      <c r="R98" s="36"/>
      <c r="S98" s="19"/>
      <c r="T98" s="274"/>
      <c r="U98" s="231"/>
      <c r="V98" s="37">
        <v>0</v>
      </c>
      <c r="W98" s="36"/>
      <c r="X98" s="19"/>
      <c r="Y98" s="274"/>
      <c r="Z98" s="231"/>
      <c r="AA98" s="37">
        <v>0</v>
      </c>
      <c r="AB98" s="36"/>
      <c r="AC98" s="19"/>
      <c r="AD98" s="274"/>
      <c r="AE98" s="231"/>
      <c r="AF98" s="37">
        <v>0</v>
      </c>
      <c r="AG98" s="36"/>
      <c r="AH98" s="19"/>
      <c r="AI98" s="274"/>
      <c r="AJ98" s="231"/>
      <c r="AK98" s="37">
        <v>0</v>
      </c>
      <c r="AL98" s="36"/>
      <c r="AM98" s="19"/>
      <c r="AN98" s="274"/>
      <c r="AO98" s="231"/>
      <c r="AP98" s="37">
        <v>0</v>
      </c>
      <c r="AQ98" s="36"/>
      <c r="AR98" s="19"/>
      <c r="AS98" s="274"/>
      <c r="AT98" s="231"/>
      <c r="AU98" s="37">
        <v>0</v>
      </c>
      <c r="AV98" s="36"/>
      <c r="AW98" s="19"/>
      <c r="AX98" s="274"/>
      <c r="AY98" s="231"/>
      <c r="AZ98" s="37">
        <v>0</v>
      </c>
      <c r="BA98" s="36"/>
      <c r="BB98" s="19"/>
      <c r="BC98" s="274"/>
      <c r="BD98" s="231"/>
      <c r="BE98" s="37">
        <v>0</v>
      </c>
      <c r="BF98" s="36"/>
      <c r="BG98" s="19"/>
      <c r="BH98" s="274"/>
      <c r="BI98" s="231"/>
      <c r="BJ98" s="37">
        <v>0</v>
      </c>
      <c r="BK98" s="36"/>
      <c r="BL98" s="19"/>
      <c r="BM98" s="274"/>
      <c r="BN98" s="231"/>
      <c r="BO98" s="37">
        <v>0</v>
      </c>
      <c r="BP98" s="36"/>
      <c r="BQ98" s="19"/>
      <c r="BR98" s="274"/>
      <c r="BS98" s="231"/>
      <c r="BT98" s="37">
        <f>SUM(L98:BO98)</f>
        <v>0</v>
      </c>
      <c r="BU98" s="36"/>
      <c r="BV98" s="19"/>
      <c r="BW98" s="274"/>
      <c r="BX98" s="231"/>
      <c r="BY98" s="37">
        <f>SUM(Q98:BT98)</f>
        <v>0</v>
      </c>
      <c r="BZ98" s="36"/>
      <c r="CA98" s="19"/>
      <c r="CB98" s="274"/>
      <c r="CC98" s="231"/>
      <c r="CD98" s="37">
        <v>0</v>
      </c>
      <c r="CE98" s="36"/>
      <c r="CF98" s="19"/>
      <c r="CG98" s="274"/>
      <c r="CH98" s="231"/>
      <c r="CI98" s="37">
        <v>0</v>
      </c>
      <c r="CJ98" s="36"/>
      <c r="CK98" s="19"/>
      <c r="CL98" s="274"/>
      <c r="CM98" s="231"/>
      <c r="CN98" s="37">
        <v>0</v>
      </c>
      <c r="CO98" s="36"/>
      <c r="CP98" s="19"/>
      <c r="CQ98" s="274"/>
      <c r="CR98" s="231"/>
      <c r="CS98" s="37">
        <v>0</v>
      </c>
      <c r="CT98" s="36"/>
      <c r="CU98" s="19"/>
      <c r="CV98" s="274"/>
      <c r="CW98" s="231"/>
      <c r="CX98" s="37">
        <v>0</v>
      </c>
      <c r="CY98" s="36"/>
      <c r="CZ98" s="19"/>
      <c r="DA98" s="274"/>
      <c r="DB98" s="231"/>
      <c r="DC98" s="37">
        <v>0</v>
      </c>
      <c r="DD98" s="36"/>
      <c r="DE98" s="19"/>
      <c r="DF98" s="274"/>
      <c r="DG98" s="231"/>
      <c r="DH98" s="37">
        <v>0</v>
      </c>
      <c r="DI98" s="36"/>
      <c r="DJ98" s="19"/>
      <c r="DK98" s="274"/>
      <c r="DL98" s="231"/>
      <c r="DM98" s="37">
        <v>0</v>
      </c>
      <c r="DN98" s="36"/>
      <c r="DO98" s="19"/>
      <c r="DP98" s="274"/>
      <c r="DQ98" s="231"/>
      <c r="DR98" s="37">
        <v>0</v>
      </c>
      <c r="DS98" s="36"/>
      <c r="DT98" s="19"/>
      <c r="DU98" s="274"/>
      <c r="DV98" s="231"/>
      <c r="DW98" s="37">
        <v>0</v>
      </c>
      <c r="DX98" s="36"/>
      <c r="DY98" s="19"/>
      <c r="DZ98" s="274"/>
      <c r="EA98" s="231"/>
      <c r="EB98" s="37">
        <v>0</v>
      </c>
      <c r="EC98" s="36"/>
      <c r="ED98" s="19"/>
      <c r="EE98" s="274"/>
      <c r="EF98" s="231"/>
      <c r="EG98" s="37">
        <v>0</v>
      </c>
      <c r="EH98" s="36"/>
      <c r="EI98" s="19"/>
      <c r="EJ98" s="274"/>
      <c r="EK98" s="231"/>
      <c r="EL98" s="37">
        <f>SUM(CD98:EG98)</f>
        <v>0</v>
      </c>
      <c r="EM98" s="36"/>
      <c r="EN98" s="19"/>
      <c r="EO98" s="244"/>
      <c r="ER98" s="451"/>
      <c r="ES98" s="451"/>
    </row>
    <row r="99" spans="4:149" ht="12.75" hidden="1" customHeight="1" x14ac:dyDescent="0.2">
      <c r="D99" s="244"/>
      <c r="E99" s="274"/>
      <c r="G99" s="19"/>
      <c r="H99" s="19"/>
      <c r="I99" s="19"/>
      <c r="J99" s="274"/>
      <c r="K99" s="19"/>
      <c r="L99" s="19"/>
      <c r="M99" s="19"/>
      <c r="N99" s="19"/>
      <c r="O99" s="274"/>
      <c r="P99" s="19"/>
      <c r="Q99" s="19"/>
      <c r="R99" s="19"/>
      <c r="S99" s="19"/>
      <c r="T99" s="274"/>
      <c r="U99" s="19"/>
      <c r="V99" s="19"/>
      <c r="W99" s="19"/>
      <c r="X99" s="19"/>
      <c r="Y99" s="274"/>
      <c r="Z99" s="19"/>
      <c r="AA99" s="19"/>
      <c r="AB99" s="19"/>
      <c r="AC99" s="19"/>
      <c r="AD99" s="274"/>
      <c r="AE99" s="19"/>
      <c r="AF99" s="19"/>
      <c r="AG99" s="19"/>
      <c r="AH99" s="19"/>
      <c r="AI99" s="274"/>
      <c r="AJ99" s="19"/>
      <c r="AK99" s="19"/>
      <c r="AL99" s="19"/>
      <c r="AM99" s="19"/>
      <c r="AN99" s="274"/>
      <c r="AO99" s="19"/>
      <c r="AP99" s="19"/>
      <c r="AQ99" s="19"/>
      <c r="AR99" s="19"/>
      <c r="AS99" s="274"/>
      <c r="AT99" s="19"/>
      <c r="AU99" s="19"/>
      <c r="AV99" s="19"/>
      <c r="AW99" s="19"/>
      <c r="AX99" s="274"/>
      <c r="AY99" s="19"/>
      <c r="AZ99" s="19"/>
      <c r="BA99" s="19"/>
      <c r="BB99" s="19"/>
      <c r="BC99" s="274"/>
      <c r="BD99" s="19"/>
      <c r="BE99" s="19"/>
      <c r="BF99" s="19"/>
      <c r="BG99" s="19"/>
      <c r="BH99" s="274"/>
      <c r="BI99" s="19"/>
      <c r="BJ99" s="19"/>
      <c r="BK99" s="19"/>
      <c r="BL99" s="19"/>
      <c r="BM99" s="274"/>
      <c r="BN99" s="19"/>
      <c r="BO99" s="19"/>
      <c r="BP99" s="19"/>
      <c r="BQ99" s="19"/>
      <c r="BR99" s="274"/>
      <c r="BS99" s="37"/>
      <c r="BT99" s="19"/>
      <c r="BU99" s="19"/>
      <c r="BV99" s="19"/>
      <c r="BW99" s="274"/>
      <c r="BX99" s="19"/>
      <c r="BY99" s="19"/>
      <c r="BZ99" s="19"/>
      <c r="CA99" s="19"/>
      <c r="CB99" s="274"/>
      <c r="CC99" s="19"/>
      <c r="CD99" s="19"/>
      <c r="CE99" s="19"/>
      <c r="CF99" s="19"/>
      <c r="CG99" s="274"/>
      <c r="CH99" s="19"/>
      <c r="CI99" s="19"/>
      <c r="CJ99" s="19"/>
      <c r="CK99" s="19"/>
      <c r="CL99" s="274"/>
      <c r="CM99" s="19"/>
      <c r="CN99" s="19"/>
      <c r="CO99" s="19"/>
      <c r="CP99" s="19"/>
      <c r="CQ99" s="274"/>
      <c r="CR99" s="19"/>
      <c r="CS99" s="19"/>
      <c r="CT99" s="19"/>
      <c r="CU99" s="19"/>
      <c r="CV99" s="274"/>
      <c r="CW99" s="19"/>
      <c r="CX99" s="19"/>
      <c r="CY99" s="19"/>
      <c r="CZ99" s="19"/>
      <c r="DA99" s="274"/>
      <c r="DB99" s="19"/>
      <c r="DC99" s="19"/>
      <c r="DD99" s="19"/>
      <c r="DE99" s="19"/>
      <c r="DF99" s="274"/>
      <c r="DG99" s="19"/>
      <c r="DH99" s="19"/>
      <c r="DI99" s="19"/>
      <c r="DJ99" s="19"/>
      <c r="DK99" s="274"/>
      <c r="DL99" s="19"/>
      <c r="DM99" s="19"/>
      <c r="DN99" s="19"/>
      <c r="DO99" s="19"/>
      <c r="DP99" s="274"/>
      <c r="DQ99" s="19"/>
      <c r="DR99" s="19"/>
      <c r="DS99" s="19"/>
      <c r="DT99" s="19"/>
      <c r="DU99" s="274"/>
      <c r="DV99" s="19"/>
      <c r="DW99" s="19"/>
      <c r="DX99" s="19"/>
      <c r="DY99" s="19"/>
      <c r="DZ99" s="274"/>
      <c r="EA99" s="19"/>
      <c r="EB99" s="19"/>
      <c r="EC99" s="19"/>
      <c r="ED99" s="19"/>
      <c r="EE99" s="274"/>
      <c r="EF99" s="19"/>
      <c r="EG99" s="19"/>
      <c r="EH99" s="19"/>
      <c r="EI99" s="19"/>
      <c r="EJ99" s="274"/>
      <c r="EK99" s="19"/>
      <c r="EL99" s="19"/>
      <c r="EM99" s="19"/>
      <c r="EN99" s="19"/>
      <c r="EO99" s="244"/>
      <c r="ER99" s="451"/>
      <c r="ES99" s="451"/>
    </row>
    <row r="100" spans="4:149" ht="12.75" hidden="1" customHeight="1" x14ac:dyDescent="0.2">
      <c r="D100" s="244" t="s">
        <v>363</v>
      </c>
      <c r="E100" s="274"/>
      <c r="G100" s="19">
        <f>SUM(G101:G103)</f>
        <v>0</v>
      </c>
      <c r="H100" s="19"/>
      <c r="I100" s="19"/>
      <c r="J100" s="274"/>
      <c r="K100" s="19"/>
      <c r="L100" s="19">
        <f>SUM(L101:L103)</f>
        <v>0</v>
      </c>
      <c r="M100" s="19"/>
      <c r="N100" s="19"/>
      <c r="O100" s="274"/>
      <c r="P100" s="19"/>
      <c r="Q100" s="19">
        <f>SUM(Q101:Q103)</f>
        <v>0</v>
      </c>
      <c r="R100" s="19"/>
      <c r="S100" s="19"/>
      <c r="T100" s="274"/>
      <c r="U100" s="19"/>
      <c r="V100" s="19">
        <f>SUM(V101:V103)</f>
        <v>0</v>
      </c>
      <c r="W100" s="19"/>
      <c r="X100" s="19"/>
      <c r="Y100" s="274"/>
      <c r="Z100" s="19"/>
      <c r="AA100" s="19">
        <f>SUM(AA101:AA103)</f>
        <v>0</v>
      </c>
      <c r="AB100" s="19"/>
      <c r="AC100" s="19"/>
      <c r="AD100" s="274"/>
      <c r="AE100" s="19"/>
      <c r="AF100" s="19">
        <f>SUM(AF101:AF103)</f>
        <v>0</v>
      </c>
      <c r="AG100" s="19"/>
      <c r="AH100" s="19"/>
      <c r="AI100" s="274"/>
      <c r="AJ100" s="19"/>
      <c r="AK100" s="19">
        <f>SUM(AK101:AK103)</f>
        <v>0</v>
      </c>
      <c r="AL100" s="19"/>
      <c r="AM100" s="19"/>
      <c r="AN100" s="274"/>
      <c r="AO100" s="19"/>
      <c r="AP100" s="19">
        <f>SUM(AP101:AP103)</f>
        <v>0</v>
      </c>
      <c r="AQ100" s="19"/>
      <c r="AR100" s="19"/>
      <c r="AS100" s="274"/>
      <c r="AT100" s="19"/>
      <c r="AU100" s="19">
        <f>SUM(AU101:AU103)</f>
        <v>0</v>
      </c>
      <c r="AV100" s="19"/>
      <c r="AW100" s="19"/>
      <c r="AX100" s="274"/>
      <c r="AY100" s="19"/>
      <c r="AZ100" s="19">
        <f>SUM(AZ101:AZ103)</f>
        <v>0</v>
      </c>
      <c r="BA100" s="19"/>
      <c r="BB100" s="19"/>
      <c r="BC100" s="274"/>
      <c r="BD100" s="19"/>
      <c r="BE100" s="19">
        <f>SUM(BE101:BE103)</f>
        <v>0</v>
      </c>
      <c r="BF100" s="19"/>
      <c r="BG100" s="19"/>
      <c r="BH100" s="274"/>
      <c r="BI100" s="19"/>
      <c r="BJ100" s="19">
        <f>SUM(BJ101:BJ103)</f>
        <v>0</v>
      </c>
      <c r="BK100" s="19"/>
      <c r="BL100" s="19"/>
      <c r="BM100" s="274"/>
      <c r="BN100" s="19"/>
      <c r="BO100" s="19">
        <f>SUM(BO101:BO103)</f>
        <v>0</v>
      </c>
      <c r="BP100" s="19"/>
      <c r="BQ100" s="19"/>
      <c r="BR100" s="274"/>
      <c r="BS100" s="37"/>
      <c r="BT100" s="37">
        <f>SUM(BT101:BT103)</f>
        <v>0</v>
      </c>
      <c r="BU100" s="19"/>
      <c r="BV100" s="19"/>
      <c r="BW100" s="274"/>
      <c r="BX100" s="19"/>
      <c r="BY100" s="37">
        <f>SUM(BY101:BY103)</f>
        <v>0</v>
      </c>
      <c r="BZ100" s="19"/>
      <c r="CA100" s="19"/>
      <c r="CB100" s="274"/>
      <c r="CC100" s="19"/>
      <c r="CD100" s="19">
        <f>SUM(CD101:CD103)</f>
        <v>0</v>
      </c>
      <c r="CE100" s="19"/>
      <c r="CF100" s="19"/>
      <c r="CG100" s="274"/>
      <c r="CH100" s="19"/>
      <c r="CI100" s="19">
        <f>SUM(CI101:CI103)</f>
        <v>0</v>
      </c>
      <c r="CJ100" s="19"/>
      <c r="CK100" s="19"/>
      <c r="CL100" s="274"/>
      <c r="CM100" s="19"/>
      <c r="CN100" s="19">
        <f>SUM(CN101:CN103)</f>
        <v>0</v>
      </c>
      <c r="CO100" s="19"/>
      <c r="CP100" s="19"/>
      <c r="CQ100" s="274"/>
      <c r="CR100" s="19"/>
      <c r="CS100" s="19">
        <f>SUM(CS101:CS103)</f>
        <v>0</v>
      </c>
      <c r="CT100" s="19"/>
      <c r="CU100" s="19"/>
      <c r="CV100" s="274"/>
      <c r="CW100" s="19"/>
      <c r="CX100" s="19">
        <f>SUM(CX101:CX103)</f>
        <v>0</v>
      </c>
      <c r="CY100" s="19"/>
      <c r="CZ100" s="19"/>
      <c r="DA100" s="274"/>
      <c r="DB100" s="19"/>
      <c r="DC100" s="19">
        <f>SUM(DC101:DC103)</f>
        <v>0</v>
      </c>
      <c r="DD100" s="19"/>
      <c r="DE100" s="19"/>
      <c r="DF100" s="274"/>
      <c r="DG100" s="19"/>
      <c r="DH100" s="19">
        <f>SUM(DH101:DH103)</f>
        <v>0</v>
      </c>
      <c r="DI100" s="19"/>
      <c r="DJ100" s="19"/>
      <c r="DK100" s="274"/>
      <c r="DL100" s="19"/>
      <c r="DM100" s="19">
        <f>SUM(DM101:DM103)</f>
        <v>0</v>
      </c>
      <c r="DN100" s="19"/>
      <c r="DO100" s="19"/>
      <c r="DP100" s="274"/>
      <c r="DQ100" s="19"/>
      <c r="DR100" s="19">
        <f>SUM(DR101:DR103)</f>
        <v>0</v>
      </c>
      <c r="DS100" s="19"/>
      <c r="DT100" s="19"/>
      <c r="DU100" s="274"/>
      <c r="DV100" s="19"/>
      <c r="DW100" s="19">
        <f>SUM(DW101:DW103)</f>
        <v>0</v>
      </c>
      <c r="DX100" s="19"/>
      <c r="DY100" s="19"/>
      <c r="DZ100" s="274"/>
      <c r="EA100" s="19"/>
      <c r="EB100" s="19">
        <f>SUM(EB101:EB103)</f>
        <v>0</v>
      </c>
      <c r="EC100" s="19"/>
      <c r="ED100" s="19"/>
      <c r="EE100" s="274"/>
      <c r="EF100" s="19"/>
      <c r="EG100" s="19">
        <f>SUM(EG101:EG103)</f>
        <v>0</v>
      </c>
      <c r="EH100" s="19"/>
      <c r="EI100" s="18"/>
      <c r="EJ100" s="274"/>
      <c r="EK100" s="19"/>
      <c r="EL100" s="37">
        <f>SUM(EL101:EL103)</f>
        <v>0</v>
      </c>
      <c r="EM100" s="19"/>
      <c r="EN100" s="19"/>
      <c r="EO100" s="244"/>
      <c r="ER100" s="451"/>
      <c r="ES100" s="451"/>
    </row>
    <row r="101" spans="4:149" ht="12.75" hidden="1" customHeight="1" x14ac:dyDescent="0.2">
      <c r="D101" s="244" t="s">
        <v>344</v>
      </c>
      <c r="E101" s="274"/>
      <c r="F101" s="112"/>
      <c r="G101" s="374">
        <v>0</v>
      </c>
      <c r="H101" s="475"/>
      <c r="I101" s="19"/>
      <c r="J101" s="274"/>
      <c r="K101" s="173"/>
      <c r="L101" s="374">
        <v>0</v>
      </c>
      <c r="M101" s="475"/>
      <c r="N101" s="19"/>
      <c r="O101" s="274"/>
      <c r="P101" s="173"/>
      <c r="Q101" s="374">
        <v>0</v>
      </c>
      <c r="R101" s="475"/>
      <c r="S101" s="19"/>
      <c r="T101" s="274"/>
      <c r="U101" s="173"/>
      <c r="V101" s="374">
        <v>0</v>
      </c>
      <c r="W101" s="475"/>
      <c r="X101" s="19"/>
      <c r="Y101" s="274"/>
      <c r="Z101" s="173"/>
      <c r="AA101" s="374">
        <v>0</v>
      </c>
      <c r="AB101" s="475"/>
      <c r="AC101" s="19"/>
      <c r="AD101" s="274"/>
      <c r="AE101" s="173"/>
      <c r="AF101" s="374">
        <v>0</v>
      </c>
      <c r="AG101" s="475"/>
      <c r="AH101" s="19"/>
      <c r="AI101" s="274"/>
      <c r="AJ101" s="173"/>
      <c r="AK101" s="374">
        <v>0</v>
      </c>
      <c r="AL101" s="475"/>
      <c r="AM101" s="19"/>
      <c r="AN101" s="274"/>
      <c r="AO101" s="173"/>
      <c r="AP101" s="374">
        <v>0</v>
      </c>
      <c r="AQ101" s="475"/>
      <c r="AR101" s="19"/>
      <c r="AS101" s="274"/>
      <c r="AT101" s="173"/>
      <c r="AU101" s="374">
        <v>0</v>
      </c>
      <c r="AV101" s="475"/>
      <c r="AW101" s="19"/>
      <c r="AX101" s="274"/>
      <c r="AY101" s="173"/>
      <c r="AZ101" s="374">
        <v>0</v>
      </c>
      <c r="BA101" s="475"/>
      <c r="BB101" s="19"/>
      <c r="BC101" s="274"/>
      <c r="BD101" s="173"/>
      <c r="BE101" s="374">
        <v>0</v>
      </c>
      <c r="BF101" s="475"/>
      <c r="BG101" s="19"/>
      <c r="BH101" s="274"/>
      <c r="BI101" s="173"/>
      <c r="BJ101" s="374">
        <v>0</v>
      </c>
      <c r="BK101" s="475"/>
      <c r="BL101" s="19"/>
      <c r="BM101" s="274"/>
      <c r="BN101" s="173"/>
      <c r="BO101" s="374">
        <v>0</v>
      </c>
      <c r="BP101" s="475"/>
      <c r="BQ101" s="19"/>
      <c r="BR101" s="274"/>
      <c r="BS101" s="274"/>
      <c r="BT101" s="19">
        <f>SUM(L101:BO101)</f>
        <v>0</v>
      </c>
      <c r="BU101" s="475"/>
      <c r="BV101" s="19"/>
      <c r="BW101" s="274"/>
      <c r="BX101" s="173"/>
      <c r="BY101" s="19">
        <f>SUM(Q101:BT101)</f>
        <v>0</v>
      </c>
      <c r="BZ101" s="475"/>
      <c r="CA101" s="19"/>
      <c r="CB101" s="274"/>
      <c r="CC101" s="173"/>
      <c r="CD101" s="374">
        <v>0</v>
      </c>
      <c r="CE101" s="475"/>
      <c r="CF101" s="19"/>
      <c r="CG101" s="274"/>
      <c r="CH101" s="173"/>
      <c r="CI101" s="374">
        <v>0</v>
      </c>
      <c r="CJ101" s="475"/>
      <c r="CK101" s="19"/>
      <c r="CL101" s="274"/>
      <c r="CM101" s="173"/>
      <c r="CN101" s="374">
        <v>0</v>
      </c>
      <c r="CO101" s="475"/>
      <c r="CP101" s="19"/>
      <c r="CQ101" s="274"/>
      <c r="CR101" s="173"/>
      <c r="CS101" s="374">
        <v>0</v>
      </c>
      <c r="CT101" s="475"/>
      <c r="CU101" s="19"/>
      <c r="CV101" s="274"/>
      <c r="CW101" s="173"/>
      <c r="CX101" s="374">
        <v>0</v>
      </c>
      <c r="CY101" s="475"/>
      <c r="CZ101" s="19"/>
      <c r="DA101" s="274"/>
      <c r="DB101" s="173"/>
      <c r="DC101" s="374">
        <v>0</v>
      </c>
      <c r="DD101" s="475"/>
      <c r="DE101" s="19"/>
      <c r="DF101" s="274"/>
      <c r="DG101" s="173"/>
      <c r="DH101" s="374">
        <v>0</v>
      </c>
      <c r="DI101" s="475"/>
      <c r="DJ101" s="19"/>
      <c r="DK101" s="274"/>
      <c r="DL101" s="173"/>
      <c r="DM101" s="374">
        <v>0</v>
      </c>
      <c r="DN101" s="475"/>
      <c r="DO101" s="19"/>
      <c r="DP101" s="274"/>
      <c r="DQ101" s="173"/>
      <c r="DR101" s="374">
        <v>0</v>
      </c>
      <c r="DS101" s="475"/>
      <c r="DT101" s="19"/>
      <c r="DU101" s="274"/>
      <c r="DV101" s="173"/>
      <c r="DW101" s="374">
        <v>0</v>
      </c>
      <c r="DX101" s="475"/>
      <c r="DY101" s="19"/>
      <c r="DZ101" s="274"/>
      <c r="EA101" s="173"/>
      <c r="EB101" s="374">
        <v>0</v>
      </c>
      <c r="EC101" s="475"/>
      <c r="ED101" s="19"/>
      <c r="EE101" s="274"/>
      <c r="EF101" s="173"/>
      <c r="EG101" s="374">
        <v>0</v>
      </c>
      <c r="EH101" s="475"/>
      <c r="EI101" s="18"/>
      <c r="EJ101" s="17"/>
      <c r="EK101" s="173"/>
      <c r="EL101" s="19">
        <f>SUM(CD101:EG101)</f>
        <v>0</v>
      </c>
      <c r="EM101" s="475"/>
      <c r="EN101" s="19"/>
      <c r="EO101" s="244"/>
      <c r="ER101" s="451"/>
      <c r="ES101" s="451"/>
    </row>
    <row r="102" spans="4:149" ht="12.75" hidden="1" customHeight="1" x14ac:dyDescent="0.2">
      <c r="D102" s="244" t="s">
        <v>346</v>
      </c>
      <c r="E102" s="274"/>
      <c r="F102" s="82"/>
      <c r="G102" s="19">
        <v>0</v>
      </c>
      <c r="H102" s="18"/>
      <c r="I102" s="19"/>
      <c r="J102" s="274"/>
      <c r="K102" s="274"/>
      <c r="L102" s="19">
        <v>0</v>
      </c>
      <c r="M102" s="18"/>
      <c r="N102" s="19"/>
      <c r="O102" s="274"/>
      <c r="P102" s="274"/>
      <c r="Q102" s="19">
        <v>0</v>
      </c>
      <c r="R102" s="18"/>
      <c r="S102" s="19"/>
      <c r="T102" s="274"/>
      <c r="U102" s="274"/>
      <c r="V102" s="19">
        <v>0</v>
      </c>
      <c r="W102" s="18"/>
      <c r="X102" s="19"/>
      <c r="Y102" s="274"/>
      <c r="Z102" s="274"/>
      <c r="AA102" s="19">
        <v>0</v>
      </c>
      <c r="AB102" s="18"/>
      <c r="AC102" s="19"/>
      <c r="AD102" s="274"/>
      <c r="AE102" s="274"/>
      <c r="AF102" s="19">
        <v>0</v>
      </c>
      <c r="AG102" s="18"/>
      <c r="AH102" s="19"/>
      <c r="AI102" s="274"/>
      <c r="AJ102" s="274"/>
      <c r="AK102" s="19">
        <v>0</v>
      </c>
      <c r="AL102" s="18"/>
      <c r="AM102" s="19"/>
      <c r="AN102" s="274"/>
      <c r="AO102" s="274"/>
      <c r="AP102" s="19">
        <v>0</v>
      </c>
      <c r="AQ102" s="18"/>
      <c r="AR102" s="19"/>
      <c r="AS102" s="274"/>
      <c r="AT102" s="274"/>
      <c r="AU102" s="19">
        <v>0</v>
      </c>
      <c r="AV102" s="18"/>
      <c r="AW102" s="19"/>
      <c r="AX102" s="274"/>
      <c r="AY102" s="274"/>
      <c r="AZ102" s="19">
        <v>0</v>
      </c>
      <c r="BA102" s="18"/>
      <c r="BB102" s="19"/>
      <c r="BC102" s="274"/>
      <c r="BD102" s="274"/>
      <c r="BE102" s="19">
        <v>0</v>
      </c>
      <c r="BF102" s="18"/>
      <c r="BG102" s="19"/>
      <c r="BH102" s="274"/>
      <c r="BI102" s="274"/>
      <c r="BJ102" s="19">
        <v>0</v>
      </c>
      <c r="BK102" s="18"/>
      <c r="BL102" s="19"/>
      <c r="BM102" s="274"/>
      <c r="BN102" s="274"/>
      <c r="BO102" s="19">
        <v>0</v>
      </c>
      <c r="BP102" s="18"/>
      <c r="BQ102" s="19"/>
      <c r="BR102" s="274"/>
      <c r="BS102" s="274"/>
      <c r="BT102" s="19">
        <f>SUM(L102:BO102)</f>
        <v>0</v>
      </c>
      <c r="BU102" s="18"/>
      <c r="BV102" s="19"/>
      <c r="BW102" s="274"/>
      <c r="BX102" s="274"/>
      <c r="BY102" s="19">
        <f>SUM(Q102:BT102)</f>
        <v>0</v>
      </c>
      <c r="BZ102" s="18"/>
      <c r="CA102" s="19"/>
      <c r="CB102" s="274"/>
      <c r="CC102" s="274"/>
      <c r="CD102" s="19">
        <v>0</v>
      </c>
      <c r="CE102" s="18"/>
      <c r="CF102" s="19"/>
      <c r="CG102" s="274"/>
      <c r="CH102" s="274"/>
      <c r="CI102" s="19">
        <v>0</v>
      </c>
      <c r="CJ102" s="18"/>
      <c r="CK102" s="19"/>
      <c r="CL102" s="274"/>
      <c r="CM102" s="274"/>
      <c r="CN102" s="19">
        <v>0</v>
      </c>
      <c r="CO102" s="18"/>
      <c r="CP102" s="19"/>
      <c r="CQ102" s="274"/>
      <c r="CR102" s="274"/>
      <c r="CS102" s="19">
        <v>0</v>
      </c>
      <c r="CT102" s="18"/>
      <c r="CU102" s="19"/>
      <c r="CV102" s="274"/>
      <c r="CW102" s="274"/>
      <c r="CX102" s="19">
        <v>0</v>
      </c>
      <c r="CY102" s="18"/>
      <c r="CZ102" s="19"/>
      <c r="DA102" s="274"/>
      <c r="DB102" s="274"/>
      <c r="DC102" s="19">
        <v>0</v>
      </c>
      <c r="DD102" s="18"/>
      <c r="DE102" s="19"/>
      <c r="DF102" s="274"/>
      <c r="DG102" s="274"/>
      <c r="DH102" s="19">
        <v>0</v>
      </c>
      <c r="DI102" s="18"/>
      <c r="DJ102" s="19"/>
      <c r="DK102" s="274"/>
      <c r="DL102" s="274"/>
      <c r="DM102" s="19">
        <v>0</v>
      </c>
      <c r="DN102" s="18"/>
      <c r="DO102" s="19"/>
      <c r="DP102" s="274"/>
      <c r="DQ102" s="274"/>
      <c r="DR102" s="19">
        <v>0</v>
      </c>
      <c r="DS102" s="18"/>
      <c r="DT102" s="19"/>
      <c r="DU102" s="274"/>
      <c r="DV102" s="274"/>
      <c r="DW102" s="19">
        <v>0</v>
      </c>
      <c r="DX102" s="18"/>
      <c r="DY102" s="19"/>
      <c r="DZ102" s="274"/>
      <c r="EA102" s="274"/>
      <c r="EB102" s="19">
        <v>0</v>
      </c>
      <c r="EC102" s="18"/>
      <c r="ED102" s="19"/>
      <c r="EE102" s="274"/>
      <c r="EF102" s="274"/>
      <c r="EG102" s="19">
        <v>0</v>
      </c>
      <c r="EH102" s="18"/>
      <c r="EI102" s="19"/>
      <c r="EJ102" s="274"/>
      <c r="EK102" s="274"/>
      <c r="EL102" s="19">
        <f>SUM(CD102:EG102)</f>
        <v>0</v>
      </c>
      <c r="EM102" s="18"/>
      <c r="EN102" s="19"/>
      <c r="EO102" s="244"/>
      <c r="ER102" s="451"/>
      <c r="ES102" s="451"/>
    </row>
    <row r="103" spans="4:149" ht="12.75" hidden="1" customHeight="1" x14ac:dyDescent="0.2">
      <c r="D103" s="244" t="s">
        <v>354</v>
      </c>
      <c r="E103" s="274"/>
      <c r="F103" s="276"/>
      <c r="G103" s="37">
        <v>0</v>
      </c>
      <c r="H103" s="36"/>
      <c r="I103" s="19"/>
      <c r="J103" s="274"/>
      <c r="K103" s="231"/>
      <c r="L103" s="37">
        <v>0</v>
      </c>
      <c r="M103" s="36"/>
      <c r="N103" s="19"/>
      <c r="O103" s="274"/>
      <c r="P103" s="231"/>
      <c r="Q103" s="37">
        <v>0</v>
      </c>
      <c r="R103" s="36"/>
      <c r="S103" s="19"/>
      <c r="T103" s="274"/>
      <c r="U103" s="231"/>
      <c r="V103" s="37">
        <v>0</v>
      </c>
      <c r="W103" s="36"/>
      <c r="X103" s="19"/>
      <c r="Y103" s="274"/>
      <c r="Z103" s="231"/>
      <c r="AA103" s="37">
        <v>0</v>
      </c>
      <c r="AB103" s="36"/>
      <c r="AC103" s="19"/>
      <c r="AD103" s="274"/>
      <c r="AE103" s="231"/>
      <c r="AF103" s="37">
        <v>0</v>
      </c>
      <c r="AG103" s="36"/>
      <c r="AH103" s="19"/>
      <c r="AI103" s="274"/>
      <c r="AJ103" s="231"/>
      <c r="AK103" s="37">
        <v>0</v>
      </c>
      <c r="AL103" s="36"/>
      <c r="AM103" s="19"/>
      <c r="AN103" s="274"/>
      <c r="AO103" s="231"/>
      <c r="AP103" s="37">
        <v>0</v>
      </c>
      <c r="AQ103" s="36"/>
      <c r="AR103" s="19"/>
      <c r="AS103" s="274"/>
      <c r="AT103" s="231"/>
      <c r="AU103" s="37">
        <v>0</v>
      </c>
      <c r="AV103" s="36"/>
      <c r="AW103" s="19"/>
      <c r="AX103" s="274"/>
      <c r="AY103" s="231"/>
      <c r="AZ103" s="37">
        <v>0</v>
      </c>
      <c r="BA103" s="36"/>
      <c r="BB103" s="19"/>
      <c r="BC103" s="274"/>
      <c r="BD103" s="231"/>
      <c r="BE103" s="37">
        <v>0</v>
      </c>
      <c r="BF103" s="36"/>
      <c r="BG103" s="19"/>
      <c r="BH103" s="274"/>
      <c r="BI103" s="231"/>
      <c r="BJ103" s="37">
        <v>0</v>
      </c>
      <c r="BK103" s="36"/>
      <c r="BL103" s="19"/>
      <c r="BM103" s="274"/>
      <c r="BN103" s="231"/>
      <c r="BO103" s="37">
        <v>0</v>
      </c>
      <c r="BP103" s="36"/>
      <c r="BQ103" s="19"/>
      <c r="BR103" s="274"/>
      <c r="BS103" s="231"/>
      <c r="BT103" s="37">
        <f>SUM(L103:BO103)</f>
        <v>0</v>
      </c>
      <c r="BU103" s="36"/>
      <c r="BV103" s="19"/>
      <c r="BW103" s="274"/>
      <c r="BX103" s="231"/>
      <c r="BY103" s="37">
        <f>SUM(Q103:BT103)</f>
        <v>0</v>
      </c>
      <c r="BZ103" s="36"/>
      <c r="CA103" s="19"/>
      <c r="CB103" s="274"/>
      <c r="CC103" s="231"/>
      <c r="CD103" s="37">
        <v>0</v>
      </c>
      <c r="CE103" s="36"/>
      <c r="CF103" s="19"/>
      <c r="CG103" s="274"/>
      <c r="CH103" s="231"/>
      <c r="CI103" s="37">
        <v>0</v>
      </c>
      <c r="CJ103" s="36"/>
      <c r="CK103" s="19"/>
      <c r="CL103" s="274"/>
      <c r="CM103" s="231"/>
      <c r="CN103" s="37">
        <v>0</v>
      </c>
      <c r="CO103" s="36"/>
      <c r="CP103" s="19"/>
      <c r="CQ103" s="274"/>
      <c r="CR103" s="231"/>
      <c r="CS103" s="37">
        <v>0</v>
      </c>
      <c r="CT103" s="36"/>
      <c r="CU103" s="19"/>
      <c r="CV103" s="274"/>
      <c r="CW103" s="231"/>
      <c r="CX103" s="37">
        <v>0</v>
      </c>
      <c r="CY103" s="36"/>
      <c r="CZ103" s="19"/>
      <c r="DA103" s="274"/>
      <c r="DB103" s="231"/>
      <c r="DC103" s="37">
        <v>0</v>
      </c>
      <c r="DD103" s="36"/>
      <c r="DE103" s="19"/>
      <c r="DF103" s="274"/>
      <c r="DG103" s="231"/>
      <c r="DH103" s="37">
        <v>0</v>
      </c>
      <c r="DI103" s="36"/>
      <c r="DJ103" s="19"/>
      <c r="DK103" s="274"/>
      <c r="DL103" s="231"/>
      <c r="DM103" s="37">
        <v>0</v>
      </c>
      <c r="DN103" s="36"/>
      <c r="DO103" s="19"/>
      <c r="DP103" s="274"/>
      <c r="DQ103" s="231"/>
      <c r="DR103" s="37">
        <v>0</v>
      </c>
      <c r="DS103" s="36"/>
      <c r="DT103" s="19"/>
      <c r="DU103" s="274"/>
      <c r="DV103" s="231"/>
      <c r="DW103" s="37">
        <v>0</v>
      </c>
      <c r="DX103" s="36"/>
      <c r="DY103" s="19"/>
      <c r="DZ103" s="274"/>
      <c r="EA103" s="231"/>
      <c r="EB103" s="37">
        <v>0</v>
      </c>
      <c r="EC103" s="36"/>
      <c r="ED103" s="19"/>
      <c r="EE103" s="274"/>
      <c r="EF103" s="231"/>
      <c r="EG103" s="37">
        <v>0</v>
      </c>
      <c r="EH103" s="36"/>
      <c r="EI103" s="19"/>
      <c r="EJ103" s="274"/>
      <c r="EK103" s="231"/>
      <c r="EL103" s="37">
        <f>SUM(CD103:EG103)</f>
        <v>0</v>
      </c>
      <c r="EM103" s="36"/>
      <c r="EN103" s="19"/>
      <c r="EO103" s="244"/>
      <c r="ER103" s="451"/>
      <c r="ES103" s="451"/>
    </row>
    <row r="104" spans="4:149" ht="12.75" hidden="1" customHeight="1" x14ac:dyDescent="0.2">
      <c r="D104" s="244"/>
      <c r="E104" s="274"/>
      <c r="G104" s="19"/>
      <c r="H104" s="19"/>
      <c r="I104" s="19"/>
      <c r="J104" s="274"/>
      <c r="K104" s="19"/>
      <c r="L104" s="19"/>
      <c r="M104" s="19"/>
      <c r="N104" s="19"/>
      <c r="O104" s="274"/>
      <c r="P104" s="19"/>
      <c r="Q104" s="19"/>
      <c r="R104" s="19"/>
      <c r="S104" s="19"/>
      <c r="T104" s="274"/>
      <c r="U104" s="19"/>
      <c r="V104" s="19"/>
      <c r="W104" s="19"/>
      <c r="X104" s="19"/>
      <c r="Y104" s="274"/>
      <c r="Z104" s="19"/>
      <c r="AA104" s="19"/>
      <c r="AB104" s="19"/>
      <c r="AC104" s="19"/>
      <c r="AD104" s="274"/>
      <c r="AE104" s="19"/>
      <c r="AF104" s="19"/>
      <c r="AG104" s="19"/>
      <c r="AH104" s="19"/>
      <c r="AI104" s="274"/>
      <c r="AJ104" s="19"/>
      <c r="AK104" s="19"/>
      <c r="AL104" s="19"/>
      <c r="AM104" s="19"/>
      <c r="AN104" s="274"/>
      <c r="AO104" s="19"/>
      <c r="AP104" s="19"/>
      <c r="AQ104" s="19"/>
      <c r="AR104" s="19"/>
      <c r="AS104" s="274"/>
      <c r="AT104" s="19"/>
      <c r="AU104" s="19"/>
      <c r="AV104" s="19"/>
      <c r="AW104" s="19"/>
      <c r="AX104" s="274"/>
      <c r="AY104" s="19"/>
      <c r="AZ104" s="19"/>
      <c r="BA104" s="19"/>
      <c r="BB104" s="19"/>
      <c r="BC104" s="274"/>
      <c r="BD104" s="19"/>
      <c r="BE104" s="19"/>
      <c r="BF104" s="19"/>
      <c r="BG104" s="19"/>
      <c r="BH104" s="274"/>
      <c r="BI104" s="19"/>
      <c r="BJ104" s="19"/>
      <c r="BK104" s="19"/>
      <c r="BL104" s="19"/>
      <c r="BM104" s="274"/>
      <c r="BN104" s="19"/>
      <c r="BO104" s="19"/>
      <c r="BP104" s="19"/>
      <c r="BQ104" s="19"/>
      <c r="BR104" s="274"/>
      <c r="BS104" s="19"/>
      <c r="BT104" s="19"/>
      <c r="BU104" s="19"/>
      <c r="BV104" s="19"/>
      <c r="BW104" s="274"/>
      <c r="BX104" s="19"/>
      <c r="BY104" s="19"/>
      <c r="BZ104" s="19"/>
      <c r="CA104" s="19"/>
      <c r="CB104" s="274"/>
      <c r="CC104" s="19"/>
      <c r="CD104" s="19"/>
      <c r="CE104" s="19"/>
      <c r="CF104" s="19"/>
      <c r="CG104" s="274"/>
      <c r="CH104" s="19"/>
      <c r="CI104" s="19"/>
      <c r="CJ104" s="19"/>
      <c r="CK104" s="19"/>
      <c r="CL104" s="274"/>
      <c r="CM104" s="19"/>
      <c r="CN104" s="19"/>
      <c r="CO104" s="19"/>
      <c r="CP104" s="19"/>
      <c r="CQ104" s="274"/>
      <c r="CR104" s="19"/>
      <c r="CS104" s="19"/>
      <c r="CT104" s="19"/>
      <c r="CU104" s="19"/>
      <c r="CV104" s="274"/>
      <c r="CW104" s="19"/>
      <c r="CX104" s="19"/>
      <c r="CY104" s="19"/>
      <c r="CZ104" s="19"/>
      <c r="DA104" s="274"/>
      <c r="DB104" s="19"/>
      <c r="DC104" s="19"/>
      <c r="DD104" s="19"/>
      <c r="DE104" s="19"/>
      <c r="DF104" s="274"/>
      <c r="DG104" s="19"/>
      <c r="DH104" s="19"/>
      <c r="DI104" s="19"/>
      <c r="DJ104" s="19"/>
      <c r="DK104" s="274"/>
      <c r="DL104" s="19"/>
      <c r="DM104" s="19"/>
      <c r="DN104" s="19"/>
      <c r="DO104" s="19"/>
      <c r="DP104" s="274"/>
      <c r="DQ104" s="19"/>
      <c r="DR104" s="19"/>
      <c r="DS104" s="19"/>
      <c r="DT104" s="19"/>
      <c r="DU104" s="274"/>
      <c r="DV104" s="19"/>
      <c r="DW104" s="19"/>
      <c r="DX104" s="19"/>
      <c r="DY104" s="19"/>
      <c r="DZ104" s="274"/>
      <c r="EA104" s="19"/>
      <c r="EB104" s="19"/>
      <c r="EC104" s="19"/>
      <c r="ED104" s="19"/>
      <c r="EE104" s="274"/>
      <c r="EF104" s="19"/>
      <c r="EG104" s="19"/>
      <c r="EH104" s="19"/>
      <c r="EI104" s="19"/>
      <c r="EJ104" s="274"/>
      <c r="EK104" s="19"/>
      <c r="EL104" s="19"/>
      <c r="EM104" s="19"/>
      <c r="EN104" s="19"/>
      <c r="EO104" s="244"/>
      <c r="ER104" s="451"/>
      <c r="ES104" s="451"/>
    </row>
    <row r="105" spans="4:149" ht="12.75" hidden="1" customHeight="1" x14ac:dyDescent="0.2">
      <c r="D105" s="244" t="s">
        <v>364</v>
      </c>
      <c r="E105" s="274"/>
      <c r="G105" s="19">
        <f>SUM(G106:G108)</f>
        <v>0</v>
      </c>
      <c r="H105" s="19"/>
      <c r="I105" s="19"/>
      <c r="J105" s="274"/>
      <c r="K105" s="19"/>
      <c r="L105" s="19">
        <f>SUM(L106:L108)</f>
        <v>0</v>
      </c>
      <c r="M105" s="19"/>
      <c r="N105" s="19"/>
      <c r="O105" s="274"/>
      <c r="P105" s="19"/>
      <c r="Q105" s="19">
        <f>SUM(Q106:Q108)</f>
        <v>0</v>
      </c>
      <c r="R105" s="19"/>
      <c r="S105" s="19"/>
      <c r="T105" s="274"/>
      <c r="U105" s="19"/>
      <c r="V105" s="19">
        <f>SUM(V106:V108)</f>
        <v>0</v>
      </c>
      <c r="W105" s="19"/>
      <c r="X105" s="19"/>
      <c r="Y105" s="274"/>
      <c r="Z105" s="19"/>
      <c r="AA105" s="19">
        <f>SUM(AA106:AA108)</f>
        <v>0</v>
      </c>
      <c r="AB105" s="19"/>
      <c r="AC105" s="19"/>
      <c r="AD105" s="274"/>
      <c r="AE105" s="19"/>
      <c r="AF105" s="19">
        <f>SUM(AF106:AF108)</f>
        <v>0</v>
      </c>
      <c r="AG105" s="19"/>
      <c r="AH105" s="19"/>
      <c r="AI105" s="274"/>
      <c r="AJ105" s="19"/>
      <c r="AK105" s="19">
        <f>SUM(AK106:AK108)</f>
        <v>0</v>
      </c>
      <c r="AL105" s="19"/>
      <c r="AM105" s="19"/>
      <c r="AN105" s="274"/>
      <c r="AO105" s="19"/>
      <c r="AP105" s="19">
        <f>SUM(AP106:AP108)</f>
        <v>0</v>
      </c>
      <c r="AQ105" s="19"/>
      <c r="AR105" s="19"/>
      <c r="AS105" s="274"/>
      <c r="AT105" s="19"/>
      <c r="AU105" s="19">
        <f>SUM(AU106:AU108)</f>
        <v>0</v>
      </c>
      <c r="AV105" s="19"/>
      <c r="AW105" s="19"/>
      <c r="AX105" s="274"/>
      <c r="AY105" s="19"/>
      <c r="AZ105" s="19">
        <f>SUM(AZ106:AZ108)</f>
        <v>0</v>
      </c>
      <c r="BA105" s="19"/>
      <c r="BB105" s="19"/>
      <c r="BC105" s="274"/>
      <c r="BD105" s="19"/>
      <c r="BE105" s="19">
        <f>SUM(BE106:BE108)</f>
        <v>0</v>
      </c>
      <c r="BF105" s="19"/>
      <c r="BG105" s="19"/>
      <c r="BH105" s="274"/>
      <c r="BI105" s="19"/>
      <c r="BJ105" s="19">
        <f>SUM(BJ106:BJ108)</f>
        <v>0</v>
      </c>
      <c r="BK105" s="19"/>
      <c r="BL105" s="19"/>
      <c r="BM105" s="274"/>
      <c r="BN105" s="19"/>
      <c r="BO105" s="19">
        <f>SUM(BO106:BO108)</f>
        <v>0</v>
      </c>
      <c r="BP105" s="19"/>
      <c r="BQ105" s="19"/>
      <c r="BR105" s="274"/>
      <c r="BS105" s="19"/>
      <c r="BT105" s="19">
        <f>SUM(BT106:BT108)</f>
        <v>0</v>
      </c>
      <c r="BU105" s="19"/>
      <c r="BV105" s="19"/>
      <c r="BW105" s="274"/>
      <c r="BX105" s="19"/>
      <c r="BY105" s="19">
        <f>SUM(BY106:BY108)</f>
        <v>0</v>
      </c>
      <c r="BZ105" s="19"/>
      <c r="CA105" s="19"/>
      <c r="CB105" s="274"/>
      <c r="CC105" s="19"/>
      <c r="CD105" s="19">
        <f>SUM(CD106:CD108)</f>
        <v>0</v>
      </c>
      <c r="CE105" s="19"/>
      <c r="CF105" s="19"/>
      <c r="CG105" s="274"/>
      <c r="CH105" s="19"/>
      <c r="CI105" s="19">
        <f>SUM(CI106:CI108)</f>
        <v>0</v>
      </c>
      <c r="CJ105" s="19"/>
      <c r="CK105" s="19"/>
      <c r="CL105" s="274"/>
      <c r="CM105" s="19"/>
      <c r="CN105" s="19">
        <f>SUM(CN106:CN108)</f>
        <v>0</v>
      </c>
      <c r="CO105" s="19"/>
      <c r="CP105" s="19"/>
      <c r="CQ105" s="274"/>
      <c r="CR105" s="19"/>
      <c r="CS105" s="19">
        <f>SUM(CS106:CS108)</f>
        <v>0</v>
      </c>
      <c r="CT105" s="19"/>
      <c r="CU105" s="19"/>
      <c r="CV105" s="274"/>
      <c r="CW105" s="19"/>
      <c r="CX105" s="19">
        <f>SUM(CX106:CX108)</f>
        <v>0</v>
      </c>
      <c r="CY105" s="19"/>
      <c r="CZ105" s="19"/>
      <c r="DA105" s="274"/>
      <c r="DB105" s="19"/>
      <c r="DC105" s="19">
        <f>SUM(DC106:DC108)</f>
        <v>0</v>
      </c>
      <c r="DD105" s="19"/>
      <c r="DE105" s="19"/>
      <c r="DF105" s="274"/>
      <c r="DG105" s="19"/>
      <c r="DH105" s="19">
        <f>SUM(DH106:DH108)</f>
        <v>0</v>
      </c>
      <c r="DI105" s="19"/>
      <c r="DJ105" s="19"/>
      <c r="DK105" s="274"/>
      <c r="DL105" s="19"/>
      <c r="DM105" s="19">
        <f>SUM(DM106:DM108)</f>
        <v>0</v>
      </c>
      <c r="DN105" s="19"/>
      <c r="DO105" s="19"/>
      <c r="DP105" s="274"/>
      <c r="DQ105" s="19"/>
      <c r="DR105" s="19">
        <f>SUM(DR106:DR108)</f>
        <v>0</v>
      </c>
      <c r="DS105" s="19"/>
      <c r="DT105" s="19"/>
      <c r="DU105" s="274"/>
      <c r="DV105" s="19"/>
      <c r="DW105" s="19">
        <f>SUM(DW106:DW108)</f>
        <v>0</v>
      </c>
      <c r="DX105" s="19"/>
      <c r="DY105" s="19"/>
      <c r="DZ105" s="274"/>
      <c r="EA105" s="19"/>
      <c r="EB105" s="19">
        <f>SUM(EB106:EB108)</f>
        <v>0</v>
      </c>
      <c r="EC105" s="19"/>
      <c r="ED105" s="19"/>
      <c r="EE105" s="274"/>
      <c r="EF105" s="19"/>
      <c r="EG105" s="19">
        <f>SUM(EG106:EG108)</f>
        <v>0</v>
      </c>
      <c r="EH105" s="19"/>
      <c r="EI105" s="19"/>
      <c r="EJ105" s="274"/>
      <c r="EK105" s="19"/>
      <c r="EL105" s="19">
        <f>SUM(EL106:EL108)</f>
        <v>0</v>
      </c>
      <c r="EM105" s="19"/>
      <c r="EN105" s="19"/>
      <c r="EO105" s="244"/>
      <c r="ER105" s="451"/>
      <c r="ES105" s="451"/>
    </row>
    <row r="106" spans="4:149" ht="12.75" hidden="1" customHeight="1" x14ac:dyDescent="0.2">
      <c r="D106" s="244" t="s">
        <v>344</v>
      </c>
      <c r="E106" s="274"/>
      <c r="F106" s="112"/>
      <c r="G106" s="374">
        <v>0</v>
      </c>
      <c r="H106" s="475"/>
      <c r="I106" s="19"/>
      <c r="J106" s="274"/>
      <c r="K106" s="173"/>
      <c r="L106" s="374">
        <v>0</v>
      </c>
      <c r="M106" s="475"/>
      <c r="N106" s="19"/>
      <c r="O106" s="274"/>
      <c r="P106" s="173"/>
      <c r="Q106" s="374">
        <v>0</v>
      </c>
      <c r="R106" s="475"/>
      <c r="S106" s="19"/>
      <c r="T106" s="274"/>
      <c r="U106" s="173"/>
      <c r="V106" s="374">
        <v>0</v>
      </c>
      <c r="W106" s="475"/>
      <c r="X106" s="19"/>
      <c r="Y106" s="274"/>
      <c r="Z106" s="173"/>
      <c r="AA106" s="374">
        <v>0</v>
      </c>
      <c r="AB106" s="475"/>
      <c r="AC106" s="19"/>
      <c r="AD106" s="274"/>
      <c r="AE106" s="173"/>
      <c r="AF106" s="374">
        <v>0</v>
      </c>
      <c r="AG106" s="475"/>
      <c r="AH106" s="19"/>
      <c r="AI106" s="274"/>
      <c r="AJ106" s="173"/>
      <c r="AK106" s="374">
        <v>0</v>
      </c>
      <c r="AL106" s="475"/>
      <c r="AM106" s="19"/>
      <c r="AN106" s="274"/>
      <c r="AO106" s="173"/>
      <c r="AP106" s="374">
        <v>0</v>
      </c>
      <c r="AQ106" s="475"/>
      <c r="AR106" s="19"/>
      <c r="AS106" s="274"/>
      <c r="AT106" s="173"/>
      <c r="AU106" s="374">
        <v>0</v>
      </c>
      <c r="AV106" s="475"/>
      <c r="AW106" s="19"/>
      <c r="AX106" s="274"/>
      <c r="AY106" s="173"/>
      <c r="AZ106" s="374">
        <v>0</v>
      </c>
      <c r="BA106" s="475"/>
      <c r="BB106" s="19"/>
      <c r="BC106" s="274"/>
      <c r="BD106" s="173"/>
      <c r="BE106" s="374">
        <v>0</v>
      </c>
      <c r="BF106" s="475"/>
      <c r="BG106" s="19"/>
      <c r="BH106" s="274"/>
      <c r="BI106" s="173"/>
      <c r="BJ106" s="374">
        <v>0</v>
      </c>
      <c r="BK106" s="475"/>
      <c r="BL106" s="19"/>
      <c r="BM106" s="274"/>
      <c r="BN106" s="173"/>
      <c r="BO106" s="374">
        <v>0</v>
      </c>
      <c r="BP106" s="475"/>
      <c r="BQ106" s="19"/>
      <c r="BR106" s="274"/>
      <c r="BS106" s="173"/>
      <c r="BT106" s="374">
        <f>SUM(L106:BO106)</f>
        <v>0</v>
      </c>
      <c r="BU106" s="475"/>
      <c r="BV106" s="19"/>
      <c r="BW106" s="274"/>
      <c r="BX106" s="173"/>
      <c r="BY106" s="374">
        <f>SUM(Q106:BT106)</f>
        <v>0</v>
      </c>
      <c r="BZ106" s="475"/>
      <c r="CA106" s="19"/>
      <c r="CB106" s="274"/>
      <c r="CC106" s="173"/>
      <c r="CD106" s="374">
        <v>0</v>
      </c>
      <c r="CE106" s="475"/>
      <c r="CF106" s="19"/>
      <c r="CG106" s="274"/>
      <c r="CH106" s="173"/>
      <c r="CI106" s="374">
        <v>0</v>
      </c>
      <c r="CJ106" s="475"/>
      <c r="CK106" s="19"/>
      <c r="CL106" s="274"/>
      <c r="CM106" s="173"/>
      <c r="CN106" s="374">
        <v>0</v>
      </c>
      <c r="CO106" s="475"/>
      <c r="CP106" s="19"/>
      <c r="CQ106" s="274"/>
      <c r="CR106" s="173"/>
      <c r="CS106" s="374">
        <v>0</v>
      </c>
      <c r="CT106" s="475"/>
      <c r="CU106" s="19"/>
      <c r="CV106" s="274"/>
      <c r="CW106" s="173"/>
      <c r="CX106" s="374">
        <v>0</v>
      </c>
      <c r="CY106" s="475"/>
      <c r="CZ106" s="19"/>
      <c r="DA106" s="274"/>
      <c r="DB106" s="173"/>
      <c r="DC106" s="374">
        <v>0</v>
      </c>
      <c r="DD106" s="475"/>
      <c r="DE106" s="19"/>
      <c r="DF106" s="274"/>
      <c r="DG106" s="173"/>
      <c r="DH106" s="374">
        <v>0</v>
      </c>
      <c r="DI106" s="475"/>
      <c r="DJ106" s="19"/>
      <c r="DK106" s="274"/>
      <c r="DL106" s="173"/>
      <c r="DM106" s="374">
        <v>0</v>
      </c>
      <c r="DN106" s="475"/>
      <c r="DO106" s="19"/>
      <c r="DP106" s="274"/>
      <c r="DQ106" s="173"/>
      <c r="DR106" s="374">
        <v>0</v>
      </c>
      <c r="DS106" s="475"/>
      <c r="DT106" s="19"/>
      <c r="DU106" s="274"/>
      <c r="DV106" s="173"/>
      <c r="DW106" s="374">
        <v>0</v>
      </c>
      <c r="DX106" s="475"/>
      <c r="DY106" s="19"/>
      <c r="DZ106" s="274"/>
      <c r="EA106" s="173"/>
      <c r="EB106" s="374">
        <v>0</v>
      </c>
      <c r="EC106" s="475"/>
      <c r="ED106" s="19"/>
      <c r="EE106" s="274"/>
      <c r="EF106" s="173"/>
      <c r="EG106" s="374">
        <v>0</v>
      </c>
      <c r="EH106" s="475"/>
      <c r="EI106" s="19"/>
      <c r="EJ106" s="274"/>
      <c r="EK106" s="173"/>
      <c r="EL106" s="374">
        <f>SUM(CD106:EG106)</f>
        <v>0</v>
      </c>
      <c r="EM106" s="475"/>
      <c r="EN106" s="19"/>
      <c r="EO106" s="244"/>
      <c r="ER106" s="451"/>
      <c r="ES106" s="451"/>
    </row>
    <row r="107" spans="4:149" ht="12.75" hidden="1" customHeight="1" x14ac:dyDescent="0.2">
      <c r="D107" s="244" t="s">
        <v>346</v>
      </c>
      <c r="E107" s="274"/>
      <c r="F107" s="82"/>
      <c r="G107" s="19">
        <v>0</v>
      </c>
      <c r="H107" s="18"/>
      <c r="I107" s="19"/>
      <c r="J107" s="274"/>
      <c r="K107" s="274"/>
      <c r="L107" s="19">
        <v>0</v>
      </c>
      <c r="M107" s="18"/>
      <c r="N107" s="19"/>
      <c r="O107" s="274"/>
      <c r="P107" s="274"/>
      <c r="Q107" s="19">
        <v>0</v>
      </c>
      <c r="R107" s="18"/>
      <c r="S107" s="19"/>
      <c r="T107" s="274"/>
      <c r="U107" s="274"/>
      <c r="V107" s="19">
        <v>0</v>
      </c>
      <c r="W107" s="18"/>
      <c r="X107" s="19"/>
      <c r="Y107" s="274"/>
      <c r="Z107" s="274"/>
      <c r="AA107" s="19">
        <v>0</v>
      </c>
      <c r="AB107" s="18"/>
      <c r="AC107" s="19"/>
      <c r="AD107" s="274"/>
      <c r="AE107" s="274"/>
      <c r="AF107" s="19">
        <v>0</v>
      </c>
      <c r="AG107" s="18"/>
      <c r="AH107" s="19"/>
      <c r="AI107" s="274"/>
      <c r="AJ107" s="274"/>
      <c r="AK107" s="19">
        <v>0</v>
      </c>
      <c r="AL107" s="18"/>
      <c r="AM107" s="19"/>
      <c r="AN107" s="274"/>
      <c r="AO107" s="274"/>
      <c r="AP107" s="19">
        <v>0</v>
      </c>
      <c r="AQ107" s="18"/>
      <c r="AR107" s="19"/>
      <c r="AS107" s="274"/>
      <c r="AT107" s="274"/>
      <c r="AU107" s="19">
        <v>0</v>
      </c>
      <c r="AV107" s="18"/>
      <c r="AW107" s="19"/>
      <c r="AX107" s="274"/>
      <c r="AY107" s="274"/>
      <c r="AZ107" s="19">
        <v>0</v>
      </c>
      <c r="BA107" s="18"/>
      <c r="BB107" s="19"/>
      <c r="BC107" s="274"/>
      <c r="BD107" s="274"/>
      <c r="BE107" s="19">
        <v>0</v>
      </c>
      <c r="BF107" s="18"/>
      <c r="BG107" s="19"/>
      <c r="BH107" s="274"/>
      <c r="BI107" s="274"/>
      <c r="BJ107" s="19">
        <v>0</v>
      </c>
      <c r="BK107" s="18"/>
      <c r="BL107" s="19"/>
      <c r="BM107" s="274"/>
      <c r="BN107" s="274"/>
      <c r="BO107" s="19">
        <v>0</v>
      </c>
      <c r="BP107" s="18"/>
      <c r="BQ107" s="19"/>
      <c r="BR107" s="274"/>
      <c r="BS107" s="274"/>
      <c r="BT107" s="19">
        <f>SUM(L107:BO107)</f>
        <v>0</v>
      </c>
      <c r="BU107" s="18"/>
      <c r="BV107" s="19"/>
      <c r="BW107" s="274"/>
      <c r="BX107" s="274"/>
      <c r="BY107" s="19">
        <f>SUM(Q107:BT107)</f>
        <v>0</v>
      </c>
      <c r="BZ107" s="18"/>
      <c r="CA107" s="19"/>
      <c r="CB107" s="274"/>
      <c r="CC107" s="274"/>
      <c r="CD107" s="19">
        <v>0</v>
      </c>
      <c r="CE107" s="18"/>
      <c r="CF107" s="19"/>
      <c r="CG107" s="274"/>
      <c r="CH107" s="274"/>
      <c r="CI107" s="19">
        <v>0</v>
      </c>
      <c r="CJ107" s="18"/>
      <c r="CK107" s="19"/>
      <c r="CL107" s="274"/>
      <c r="CM107" s="274"/>
      <c r="CN107" s="19">
        <v>0</v>
      </c>
      <c r="CO107" s="18"/>
      <c r="CP107" s="19"/>
      <c r="CQ107" s="274"/>
      <c r="CR107" s="274"/>
      <c r="CS107" s="19">
        <v>0</v>
      </c>
      <c r="CT107" s="18"/>
      <c r="CU107" s="19"/>
      <c r="CV107" s="274"/>
      <c r="CW107" s="274"/>
      <c r="CX107" s="19">
        <v>0</v>
      </c>
      <c r="CY107" s="18"/>
      <c r="CZ107" s="19"/>
      <c r="DA107" s="274"/>
      <c r="DB107" s="274"/>
      <c r="DC107" s="19">
        <v>0</v>
      </c>
      <c r="DD107" s="18"/>
      <c r="DE107" s="19"/>
      <c r="DF107" s="274"/>
      <c r="DG107" s="274"/>
      <c r="DH107" s="19">
        <v>0</v>
      </c>
      <c r="DI107" s="18"/>
      <c r="DJ107" s="19"/>
      <c r="DK107" s="274"/>
      <c r="DL107" s="274"/>
      <c r="DM107" s="19">
        <v>0</v>
      </c>
      <c r="DN107" s="18"/>
      <c r="DO107" s="19"/>
      <c r="DP107" s="274"/>
      <c r="DQ107" s="274"/>
      <c r="DR107" s="19">
        <v>0</v>
      </c>
      <c r="DS107" s="18"/>
      <c r="DT107" s="19"/>
      <c r="DU107" s="274"/>
      <c r="DV107" s="274"/>
      <c r="DW107" s="19">
        <v>0</v>
      </c>
      <c r="DX107" s="18"/>
      <c r="DY107" s="19"/>
      <c r="DZ107" s="274"/>
      <c r="EA107" s="274"/>
      <c r="EB107" s="19">
        <v>0</v>
      </c>
      <c r="EC107" s="18"/>
      <c r="ED107" s="19"/>
      <c r="EE107" s="274"/>
      <c r="EF107" s="274"/>
      <c r="EG107" s="19">
        <v>0</v>
      </c>
      <c r="EH107" s="18"/>
      <c r="EI107" s="19"/>
      <c r="EJ107" s="274"/>
      <c r="EK107" s="274"/>
      <c r="EL107" s="19">
        <f>SUM(CD107:EG107)</f>
        <v>0</v>
      </c>
      <c r="EM107" s="18"/>
      <c r="EN107" s="19"/>
      <c r="EO107" s="244"/>
      <c r="ER107" s="451"/>
      <c r="ES107" s="451"/>
    </row>
    <row r="108" spans="4:149" ht="12.75" hidden="1" customHeight="1" x14ac:dyDescent="0.2">
      <c r="D108" s="244" t="s">
        <v>354</v>
      </c>
      <c r="E108" s="274"/>
      <c r="F108" s="276"/>
      <c r="G108" s="37">
        <v>0</v>
      </c>
      <c r="H108" s="36"/>
      <c r="I108" s="19"/>
      <c r="J108" s="274"/>
      <c r="K108" s="231"/>
      <c r="L108" s="37">
        <v>0</v>
      </c>
      <c r="M108" s="36"/>
      <c r="N108" s="19"/>
      <c r="O108" s="274"/>
      <c r="P108" s="231"/>
      <c r="Q108" s="37">
        <v>0</v>
      </c>
      <c r="R108" s="36"/>
      <c r="S108" s="19"/>
      <c r="T108" s="274"/>
      <c r="U108" s="231"/>
      <c r="V108" s="37">
        <v>0</v>
      </c>
      <c r="W108" s="36"/>
      <c r="X108" s="19"/>
      <c r="Y108" s="274"/>
      <c r="Z108" s="231"/>
      <c r="AA108" s="37">
        <v>0</v>
      </c>
      <c r="AB108" s="36"/>
      <c r="AC108" s="19"/>
      <c r="AD108" s="274"/>
      <c r="AE108" s="231"/>
      <c r="AF108" s="37">
        <v>0</v>
      </c>
      <c r="AG108" s="36"/>
      <c r="AH108" s="19"/>
      <c r="AI108" s="274"/>
      <c r="AJ108" s="231"/>
      <c r="AK108" s="37">
        <v>0</v>
      </c>
      <c r="AL108" s="36"/>
      <c r="AM108" s="19"/>
      <c r="AN108" s="274"/>
      <c r="AO108" s="231"/>
      <c r="AP108" s="37">
        <v>0</v>
      </c>
      <c r="AQ108" s="36"/>
      <c r="AR108" s="19"/>
      <c r="AS108" s="274"/>
      <c r="AT108" s="231"/>
      <c r="AU108" s="37">
        <v>0</v>
      </c>
      <c r="AV108" s="36"/>
      <c r="AW108" s="19"/>
      <c r="AX108" s="274"/>
      <c r="AY108" s="231"/>
      <c r="AZ108" s="37">
        <v>0</v>
      </c>
      <c r="BA108" s="36"/>
      <c r="BB108" s="19"/>
      <c r="BC108" s="274"/>
      <c r="BD108" s="231"/>
      <c r="BE108" s="37">
        <v>0</v>
      </c>
      <c r="BF108" s="36"/>
      <c r="BG108" s="19"/>
      <c r="BH108" s="274"/>
      <c r="BI108" s="231"/>
      <c r="BJ108" s="37">
        <v>0</v>
      </c>
      <c r="BK108" s="36"/>
      <c r="BL108" s="19"/>
      <c r="BM108" s="274"/>
      <c r="BN108" s="231"/>
      <c r="BO108" s="37">
        <v>0</v>
      </c>
      <c r="BP108" s="36"/>
      <c r="BQ108" s="19"/>
      <c r="BR108" s="274"/>
      <c r="BS108" s="231"/>
      <c r="BT108" s="37">
        <f>SUM(L108:BO108)</f>
        <v>0</v>
      </c>
      <c r="BU108" s="36"/>
      <c r="BV108" s="19"/>
      <c r="BW108" s="274"/>
      <c r="BX108" s="231"/>
      <c r="BY108" s="37">
        <f>SUM(Q108:BT108)</f>
        <v>0</v>
      </c>
      <c r="BZ108" s="36"/>
      <c r="CA108" s="19"/>
      <c r="CB108" s="274"/>
      <c r="CC108" s="231"/>
      <c r="CD108" s="37">
        <v>0</v>
      </c>
      <c r="CE108" s="36"/>
      <c r="CF108" s="19"/>
      <c r="CG108" s="274"/>
      <c r="CH108" s="231"/>
      <c r="CI108" s="37">
        <v>0</v>
      </c>
      <c r="CJ108" s="36"/>
      <c r="CK108" s="19"/>
      <c r="CL108" s="274"/>
      <c r="CM108" s="231"/>
      <c r="CN108" s="37">
        <v>0</v>
      </c>
      <c r="CO108" s="36"/>
      <c r="CP108" s="19"/>
      <c r="CQ108" s="274"/>
      <c r="CR108" s="231"/>
      <c r="CS108" s="37">
        <v>0</v>
      </c>
      <c r="CT108" s="36"/>
      <c r="CU108" s="19"/>
      <c r="CV108" s="274"/>
      <c r="CW108" s="231"/>
      <c r="CX108" s="37">
        <v>0</v>
      </c>
      <c r="CY108" s="36"/>
      <c r="CZ108" s="19"/>
      <c r="DA108" s="274"/>
      <c r="DB108" s="231"/>
      <c r="DC108" s="37">
        <v>0</v>
      </c>
      <c r="DD108" s="36"/>
      <c r="DE108" s="19"/>
      <c r="DF108" s="274"/>
      <c r="DG108" s="231"/>
      <c r="DH108" s="37">
        <v>0</v>
      </c>
      <c r="DI108" s="36"/>
      <c r="DJ108" s="19"/>
      <c r="DK108" s="274"/>
      <c r="DL108" s="231"/>
      <c r="DM108" s="37">
        <v>0</v>
      </c>
      <c r="DN108" s="36"/>
      <c r="DO108" s="19"/>
      <c r="DP108" s="274"/>
      <c r="DQ108" s="231"/>
      <c r="DR108" s="37">
        <v>0</v>
      </c>
      <c r="DS108" s="36"/>
      <c r="DT108" s="19"/>
      <c r="DU108" s="274"/>
      <c r="DV108" s="231"/>
      <c r="DW108" s="37">
        <v>0</v>
      </c>
      <c r="DX108" s="36"/>
      <c r="DY108" s="19"/>
      <c r="DZ108" s="274"/>
      <c r="EA108" s="231"/>
      <c r="EB108" s="37">
        <v>0</v>
      </c>
      <c r="EC108" s="36"/>
      <c r="ED108" s="19"/>
      <c r="EE108" s="274"/>
      <c r="EF108" s="231"/>
      <c r="EG108" s="37">
        <v>0</v>
      </c>
      <c r="EH108" s="36"/>
      <c r="EI108" s="19"/>
      <c r="EJ108" s="274"/>
      <c r="EK108" s="231"/>
      <c r="EL108" s="37">
        <f>SUM(CD108:EG108)</f>
        <v>0</v>
      </c>
      <c r="EM108" s="36"/>
      <c r="EN108" s="19"/>
      <c r="EO108" s="244"/>
      <c r="ER108" s="451"/>
      <c r="ES108" s="451"/>
    </row>
    <row r="109" spans="4:149" ht="12.75" hidden="1" customHeight="1" x14ac:dyDescent="0.2">
      <c r="D109" s="244"/>
      <c r="E109" s="274"/>
      <c r="G109" s="19"/>
      <c r="H109" s="19"/>
      <c r="I109" s="19"/>
      <c r="J109" s="274"/>
      <c r="K109" s="19"/>
      <c r="L109" s="19"/>
      <c r="M109" s="19"/>
      <c r="N109" s="19"/>
      <c r="O109" s="274"/>
      <c r="P109" s="19"/>
      <c r="Q109" s="19"/>
      <c r="R109" s="19"/>
      <c r="S109" s="19"/>
      <c r="T109" s="274"/>
      <c r="U109" s="19"/>
      <c r="V109" s="19"/>
      <c r="W109" s="19"/>
      <c r="X109" s="19"/>
      <c r="Y109" s="274"/>
      <c r="Z109" s="19"/>
      <c r="AA109" s="19"/>
      <c r="AB109" s="19"/>
      <c r="AC109" s="19"/>
      <c r="AD109" s="274"/>
      <c r="AE109" s="19"/>
      <c r="AF109" s="19"/>
      <c r="AG109" s="19"/>
      <c r="AH109" s="19"/>
      <c r="AI109" s="274"/>
      <c r="AJ109" s="19"/>
      <c r="AK109" s="19"/>
      <c r="AL109" s="19"/>
      <c r="AM109" s="19"/>
      <c r="AN109" s="274"/>
      <c r="AO109" s="19"/>
      <c r="AP109" s="19"/>
      <c r="AQ109" s="19"/>
      <c r="AR109" s="19"/>
      <c r="AS109" s="274"/>
      <c r="AT109" s="19"/>
      <c r="AU109" s="19"/>
      <c r="AV109" s="19"/>
      <c r="AW109" s="19"/>
      <c r="AX109" s="274"/>
      <c r="AY109" s="19"/>
      <c r="AZ109" s="19"/>
      <c r="BA109" s="19"/>
      <c r="BB109" s="19"/>
      <c r="BC109" s="274"/>
      <c r="BD109" s="19"/>
      <c r="BE109" s="19"/>
      <c r="BF109" s="19"/>
      <c r="BG109" s="19"/>
      <c r="BH109" s="274"/>
      <c r="BI109" s="19"/>
      <c r="BJ109" s="19"/>
      <c r="BK109" s="19"/>
      <c r="BL109" s="19"/>
      <c r="BM109" s="274"/>
      <c r="BN109" s="19"/>
      <c r="BO109" s="19"/>
      <c r="BP109" s="19"/>
      <c r="BQ109" s="19"/>
      <c r="BR109" s="274"/>
      <c r="BS109" s="19"/>
      <c r="BT109" s="19"/>
      <c r="BU109" s="19"/>
      <c r="BV109" s="19"/>
      <c r="BW109" s="274"/>
      <c r="BX109" s="19"/>
      <c r="BY109" s="19"/>
      <c r="BZ109" s="19"/>
      <c r="CA109" s="19"/>
      <c r="CB109" s="274"/>
      <c r="CC109" s="19"/>
      <c r="CD109" s="19"/>
      <c r="CE109" s="19"/>
      <c r="CF109" s="19"/>
      <c r="CG109" s="274"/>
      <c r="CH109" s="19"/>
      <c r="CI109" s="19"/>
      <c r="CJ109" s="19"/>
      <c r="CK109" s="19"/>
      <c r="CL109" s="274"/>
      <c r="CM109" s="19"/>
      <c r="CN109" s="19"/>
      <c r="CO109" s="19"/>
      <c r="CP109" s="19"/>
      <c r="CQ109" s="274"/>
      <c r="CR109" s="19"/>
      <c r="CS109" s="19"/>
      <c r="CT109" s="19"/>
      <c r="CU109" s="19"/>
      <c r="CV109" s="274"/>
      <c r="CW109" s="19"/>
      <c r="CX109" s="19"/>
      <c r="CY109" s="19"/>
      <c r="CZ109" s="19"/>
      <c r="DA109" s="274"/>
      <c r="DB109" s="19"/>
      <c r="DC109" s="19"/>
      <c r="DD109" s="19"/>
      <c r="DE109" s="19"/>
      <c r="DF109" s="274"/>
      <c r="DG109" s="19"/>
      <c r="DH109" s="19"/>
      <c r="DI109" s="19"/>
      <c r="DJ109" s="19"/>
      <c r="DK109" s="274"/>
      <c r="DL109" s="19"/>
      <c r="DM109" s="19"/>
      <c r="DN109" s="19"/>
      <c r="DO109" s="19"/>
      <c r="DP109" s="274"/>
      <c r="DQ109" s="19"/>
      <c r="DR109" s="19"/>
      <c r="DS109" s="19"/>
      <c r="DT109" s="19"/>
      <c r="DU109" s="274"/>
      <c r="DV109" s="19"/>
      <c r="DW109" s="19"/>
      <c r="DX109" s="19"/>
      <c r="DY109" s="19"/>
      <c r="DZ109" s="274"/>
      <c r="EA109" s="19"/>
      <c r="EB109" s="19"/>
      <c r="EC109" s="19"/>
      <c r="ED109" s="19"/>
      <c r="EE109" s="274"/>
      <c r="EF109" s="19"/>
      <c r="EG109" s="19"/>
      <c r="EH109" s="19"/>
      <c r="EI109" s="19"/>
      <c r="EJ109" s="274"/>
      <c r="EK109" s="19"/>
      <c r="EL109" s="19"/>
      <c r="EM109" s="19"/>
      <c r="EN109" s="19"/>
      <c r="EO109" s="244"/>
      <c r="ER109" s="451"/>
      <c r="ES109" s="451"/>
    </row>
    <row r="110" spans="4:149" ht="12.75" hidden="1" customHeight="1" x14ac:dyDescent="0.2">
      <c r="D110" s="244" t="s">
        <v>365</v>
      </c>
      <c r="E110" s="274"/>
      <c r="G110" s="19">
        <f>SUM(G111:G113)</f>
        <v>0</v>
      </c>
      <c r="H110" s="19"/>
      <c r="I110" s="19"/>
      <c r="J110" s="274"/>
      <c r="K110" s="19"/>
      <c r="L110" s="19">
        <f>SUM(L111:L113)</f>
        <v>0</v>
      </c>
      <c r="M110" s="19"/>
      <c r="N110" s="19"/>
      <c r="O110" s="274"/>
      <c r="P110" s="19"/>
      <c r="Q110" s="19">
        <f>SUM(Q111:Q113)</f>
        <v>0</v>
      </c>
      <c r="R110" s="19"/>
      <c r="S110" s="19"/>
      <c r="T110" s="274"/>
      <c r="U110" s="19"/>
      <c r="V110" s="19">
        <f>SUM(V111:V113)</f>
        <v>0</v>
      </c>
      <c r="W110" s="19"/>
      <c r="X110" s="19"/>
      <c r="Y110" s="274"/>
      <c r="Z110" s="19"/>
      <c r="AA110" s="19">
        <f>SUM(AA111:AA113)</f>
        <v>0</v>
      </c>
      <c r="AB110" s="19"/>
      <c r="AC110" s="19"/>
      <c r="AD110" s="274"/>
      <c r="AE110" s="19"/>
      <c r="AF110" s="19">
        <f>SUM(AF111:AF113)</f>
        <v>0</v>
      </c>
      <c r="AG110" s="19"/>
      <c r="AH110" s="19"/>
      <c r="AI110" s="274"/>
      <c r="AJ110" s="19"/>
      <c r="AK110" s="19">
        <f>SUM(AK111:AK113)</f>
        <v>0</v>
      </c>
      <c r="AL110" s="19"/>
      <c r="AM110" s="19"/>
      <c r="AN110" s="274"/>
      <c r="AO110" s="19"/>
      <c r="AP110" s="19">
        <f>SUM(AP111:AP113)</f>
        <v>0</v>
      </c>
      <c r="AQ110" s="19"/>
      <c r="AR110" s="19"/>
      <c r="AS110" s="274"/>
      <c r="AT110" s="19"/>
      <c r="AU110" s="19">
        <f>SUM(AU111:AU113)</f>
        <v>0</v>
      </c>
      <c r="AV110" s="19"/>
      <c r="AW110" s="19"/>
      <c r="AX110" s="274"/>
      <c r="AY110" s="19"/>
      <c r="AZ110" s="19">
        <f>SUM(AZ111:AZ113)</f>
        <v>0</v>
      </c>
      <c r="BA110" s="19"/>
      <c r="BB110" s="19"/>
      <c r="BC110" s="274"/>
      <c r="BD110" s="19"/>
      <c r="BE110" s="19">
        <f>SUM(BE111:BE113)</f>
        <v>0</v>
      </c>
      <c r="BF110" s="19"/>
      <c r="BG110" s="19"/>
      <c r="BH110" s="274"/>
      <c r="BI110" s="19"/>
      <c r="BJ110" s="19">
        <f>SUM(BJ111:BJ113)</f>
        <v>0</v>
      </c>
      <c r="BK110" s="19"/>
      <c r="BL110" s="19"/>
      <c r="BM110" s="274"/>
      <c r="BN110" s="19"/>
      <c r="BO110" s="19">
        <f>SUM(BO111:BO113)</f>
        <v>0</v>
      </c>
      <c r="BP110" s="19"/>
      <c r="BQ110" s="19"/>
      <c r="BR110" s="274"/>
      <c r="BS110" s="19"/>
      <c r="BT110" s="19">
        <f>SUM(BT111:BT113)</f>
        <v>0</v>
      </c>
      <c r="BU110" s="19"/>
      <c r="BV110" s="19"/>
      <c r="BW110" s="274"/>
      <c r="BX110" s="19"/>
      <c r="BY110" s="19">
        <f>SUM(BY111:BY113)</f>
        <v>0</v>
      </c>
      <c r="BZ110" s="19"/>
      <c r="CA110" s="19"/>
      <c r="CB110" s="274"/>
      <c r="CC110" s="19"/>
      <c r="CD110" s="19">
        <f>SUM(CD111:CD113)</f>
        <v>0</v>
      </c>
      <c r="CE110" s="19"/>
      <c r="CF110" s="19"/>
      <c r="CG110" s="274"/>
      <c r="CH110" s="19"/>
      <c r="CI110" s="19">
        <f>SUM(CI111:CI113)</f>
        <v>0</v>
      </c>
      <c r="CJ110" s="19"/>
      <c r="CK110" s="19"/>
      <c r="CL110" s="274"/>
      <c r="CM110" s="19"/>
      <c r="CN110" s="19">
        <f>SUM(CN111:CN113)</f>
        <v>0</v>
      </c>
      <c r="CO110" s="19"/>
      <c r="CP110" s="19"/>
      <c r="CQ110" s="274"/>
      <c r="CR110" s="19"/>
      <c r="CS110" s="19">
        <f>SUM(CS111:CS113)</f>
        <v>0</v>
      </c>
      <c r="CT110" s="19"/>
      <c r="CU110" s="19"/>
      <c r="CV110" s="274"/>
      <c r="CW110" s="19"/>
      <c r="CX110" s="19">
        <f>SUM(CX111:CX113)</f>
        <v>0</v>
      </c>
      <c r="CY110" s="19"/>
      <c r="CZ110" s="19"/>
      <c r="DA110" s="274"/>
      <c r="DB110" s="19"/>
      <c r="DC110" s="19">
        <f>SUM(DC111:DC113)</f>
        <v>0</v>
      </c>
      <c r="DD110" s="19"/>
      <c r="DE110" s="19"/>
      <c r="DF110" s="274"/>
      <c r="DG110" s="19"/>
      <c r="DH110" s="19">
        <f>SUM(DH111:DH113)</f>
        <v>0</v>
      </c>
      <c r="DI110" s="19"/>
      <c r="DJ110" s="19"/>
      <c r="DK110" s="274"/>
      <c r="DL110" s="19"/>
      <c r="DM110" s="19">
        <f>SUM(DM111:DM113)</f>
        <v>0</v>
      </c>
      <c r="DN110" s="19"/>
      <c r="DO110" s="19"/>
      <c r="DP110" s="274"/>
      <c r="DQ110" s="19"/>
      <c r="DR110" s="19">
        <f>SUM(DR111:DR113)</f>
        <v>0</v>
      </c>
      <c r="DS110" s="19"/>
      <c r="DT110" s="19"/>
      <c r="DU110" s="274"/>
      <c r="DV110" s="19"/>
      <c r="DW110" s="19">
        <f>SUM(DW111:DW113)</f>
        <v>0</v>
      </c>
      <c r="DX110" s="19"/>
      <c r="DY110" s="19"/>
      <c r="DZ110" s="274"/>
      <c r="EA110" s="19"/>
      <c r="EB110" s="19">
        <f>SUM(EB111:EB113)</f>
        <v>0</v>
      </c>
      <c r="EC110" s="19"/>
      <c r="ED110" s="19"/>
      <c r="EE110" s="274"/>
      <c r="EF110" s="19"/>
      <c r="EG110" s="19">
        <f>SUM(EG111:EG113)</f>
        <v>0</v>
      </c>
      <c r="EH110" s="19"/>
      <c r="EI110" s="19"/>
      <c r="EJ110" s="274"/>
      <c r="EK110" s="19"/>
      <c r="EL110" s="19">
        <f>SUM(EL111:EL113)</f>
        <v>0</v>
      </c>
      <c r="EM110" s="19"/>
      <c r="EN110" s="19"/>
      <c r="EO110" s="244"/>
      <c r="ER110" s="451"/>
      <c r="ES110" s="451"/>
    </row>
    <row r="111" spans="4:149" ht="12.75" hidden="1" customHeight="1" x14ac:dyDescent="0.2">
      <c r="D111" s="244" t="s">
        <v>344</v>
      </c>
      <c r="E111" s="274"/>
      <c r="F111" s="112"/>
      <c r="G111" s="374">
        <v>0</v>
      </c>
      <c r="H111" s="475"/>
      <c r="I111" s="19"/>
      <c r="J111" s="274"/>
      <c r="K111" s="173"/>
      <c r="L111" s="374">
        <v>0</v>
      </c>
      <c r="M111" s="475"/>
      <c r="N111" s="19"/>
      <c r="O111" s="274"/>
      <c r="P111" s="173"/>
      <c r="Q111" s="374">
        <v>0</v>
      </c>
      <c r="R111" s="475"/>
      <c r="S111" s="19"/>
      <c r="T111" s="274"/>
      <c r="U111" s="173"/>
      <c r="V111" s="374">
        <v>0</v>
      </c>
      <c r="W111" s="475"/>
      <c r="X111" s="19"/>
      <c r="Y111" s="274"/>
      <c r="Z111" s="173"/>
      <c r="AA111" s="374">
        <v>0</v>
      </c>
      <c r="AB111" s="475"/>
      <c r="AC111" s="19"/>
      <c r="AD111" s="274"/>
      <c r="AE111" s="173"/>
      <c r="AF111" s="374">
        <v>0</v>
      </c>
      <c r="AG111" s="475"/>
      <c r="AH111" s="19"/>
      <c r="AI111" s="274"/>
      <c r="AJ111" s="173"/>
      <c r="AK111" s="374">
        <v>0</v>
      </c>
      <c r="AL111" s="475"/>
      <c r="AM111" s="19"/>
      <c r="AN111" s="274"/>
      <c r="AO111" s="173"/>
      <c r="AP111" s="374">
        <v>0</v>
      </c>
      <c r="AQ111" s="475"/>
      <c r="AR111" s="19"/>
      <c r="AS111" s="274"/>
      <c r="AT111" s="173"/>
      <c r="AU111" s="374">
        <v>0</v>
      </c>
      <c r="AV111" s="475"/>
      <c r="AW111" s="19"/>
      <c r="AX111" s="274"/>
      <c r="AY111" s="173"/>
      <c r="AZ111" s="374">
        <v>0</v>
      </c>
      <c r="BA111" s="475"/>
      <c r="BB111" s="19"/>
      <c r="BC111" s="274"/>
      <c r="BD111" s="173"/>
      <c r="BE111" s="374">
        <v>0</v>
      </c>
      <c r="BF111" s="475"/>
      <c r="BG111" s="19"/>
      <c r="BH111" s="274"/>
      <c r="BI111" s="173"/>
      <c r="BJ111" s="374">
        <v>0</v>
      </c>
      <c r="BK111" s="475"/>
      <c r="BL111" s="19"/>
      <c r="BM111" s="274"/>
      <c r="BN111" s="173"/>
      <c r="BO111" s="374">
        <v>0</v>
      </c>
      <c r="BP111" s="475"/>
      <c r="BQ111" s="19"/>
      <c r="BR111" s="274"/>
      <c r="BS111" s="173"/>
      <c r="BT111" s="374">
        <f>SUM(L111:BO111)</f>
        <v>0</v>
      </c>
      <c r="BU111" s="475"/>
      <c r="BV111" s="19"/>
      <c r="BW111" s="274"/>
      <c r="BX111" s="173"/>
      <c r="BY111" s="374">
        <f>SUM(Q111:BT111)</f>
        <v>0</v>
      </c>
      <c r="BZ111" s="475"/>
      <c r="CA111" s="19"/>
      <c r="CB111" s="274"/>
      <c r="CC111" s="173"/>
      <c r="CD111" s="374">
        <v>0</v>
      </c>
      <c r="CE111" s="475"/>
      <c r="CF111" s="19"/>
      <c r="CG111" s="274"/>
      <c r="CH111" s="173"/>
      <c r="CI111" s="374">
        <v>0</v>
      </c>
      <c r="CJ111" s="475"/>
      <c r="CK111" s="19"/>
      <c r="CL111" s="274"/>
      <c r="CM111" s="173"/>
      <c r="CN111" s="374">
        <v>0</v>
      </c>
      <c r="CO111" s="475"/>
      <c r="CP111" s="19"/>
      <c r="CQ111" s="274"/>
      <c r="CR111" s="173"/>
      <c r="CS111" s="374">
        <v>0</v>
      </c>
      <c r="CT111" s="475"/>
      <c r="CU111" s="19"/>
      <c r="CV111" s="274"/>
      <c r="CW111" s="173"/>
      <c r="CX111" s="374">
        <v>0</v>
      </c>
      <c r="CY111" s="475"/>
      <c r="CZ111" s="19"/>
      <c r="DA111" s="274"/>
      <c r="DB111" s="173"/>
      <c r="DC111" s="374">
        <v>0</v>
      </c>
      <c r="DD111" s="475"/>
      <c r="DE111" s="19"/>
      <c r="DF111" s="274"/>
      <c r="DG111" s="173"/>
      <c r="DH111" s="374">
        <v>0</v>
      </c>
      <c r="DI111" s="475"/>
      <c r="DJ111" s="19"/>
      <c r="DK111" s="274"/>
      <c r="DL111" s="173"/>
      <c r="DM111" s="374">
        <v>0</v>
      </c>
      <c r="DN111" s="475"/>
      <c r="DO111" s="19"/>
      <c r="DP111" s="274"/>
      <c r="DQ111" s="173"/>
      <c r="DR111" s="374">
        <v>0</v>
      </c>
      <c r="DS111" s="475"/>
      <c r="DT111" s="19"/>
      <c r="DU111" s="274"/>
      <c r="DV111" s="173"/>
      <c r="DW111" s="374">
        <v>0</v>
      </c>
      <c r="DX111" s="475"/>
      <c r="DY111" s="19"/>
      <c r="DZ111" s="274"/>
      <c r="EA111" s="173"/>
      <c r="EB111" s="374">
        <v>0</v>
      </c>
      <c r="EC111" s="475"/>
      <c r="ED111" s="19"/>
      <c r="EE111" s="274"/>
      <c r="EF111" s="173"/>
      <c r="EG111" s="374">
        <v>0</v>
      </c>
      <c r="EH111" s="475"/>
      <c r="EI111" s="19"/>
      <c r="EJ111" s="274"/>
      <c r="EK111" s="173"/>
      <c r="EL111" s="374">
        <f>SUM(CD111:EG111)</f>
        <v>0</v>
      </c>
      <c r="EM111" s="475"/>
      <c r="EN111" s="19"/>
      <c r="EO111" s="244"/>
      <c r="ER111" s="451"/>
      <c r="ES111" s="451"/>
    </row>
    <row r="112" spans="4:149" ht="12.75" hidden="1" customHeight="1" x14ac:dyDescent="0.2">
      <c r="D112" s="244" t="s">
        <v>346</v>
      </c>
      <c r="E112" s="274"/>
      <c r="F112" s="82"/>
      <c r="G112" s="19">
        <v>0</v>
      </c>
      <c r="H112" s="18"/>
      <c r="I112" s="19"/>
      <c r="J112" s="274"/>
      <c r="K112" s="274"/>
      <c r="L112" s="19">
        <v>0</v>
      </c>
      <c r="M112" s="18"/>
      <c r="N112" s="19"/>
      <c r="O112" s="274"/>
      <c r="P112" s="274"/>
      <c r="Q112" s="19">
        <v>0</v>
      </c>
      <c r="R112" s="18"/>
      <c r="S112" s="19"/>
      <c r="T112" s="274"/>
      <c r="U112" s="274"/>
      <c r="V112" s="19">
        <v>0</v>
      </c>
      <c r="W112" s="18"/>
      <c r="X112" s="19"/>
      <c r="Y112" s="274"/>
      <c r="Z112" s="274"/>
      <c r="AA112" s="19">
        <v>0</v>
      </c>
      <c r="AB112" s="18"/>
      <c r="AC112" s="19"/>
      <c r="AD112" s="274"/>
      <c r="AE112" s="274"/>
      <c r="AF112" s="19">
        <v>0</v>
      </c>
      <c r="AG112" s="18"/>
      <c r="AH112" s="19"/>
      <c r="AI112" s="274"/>
      <c r="AJ112" s="274"/>
      <c r="AK112" s="19">
        <v>0</v>
      </c>
      <c r="AL112" s="18"/>
      <c r="AM112" s="19"/>
      <c r="AN112" s="274"/>
      <c r="AO112" s="274"/>
      <c r="AP112" s="19">
        <v>0</v>
      </c>
      <c r="AQ112" s="18"/>
      <c r="AR112" s="19"/>
      <c r="AS112" s="274"/>
      <c r="AT112" s="274"/>
      <c r="AU112" s="19">
        <v>0</v>
      </c>
      <c r="AV112" s="18"/>
      <c r="AW112" s="19"/>
      <c r="AX112" s="274"/>
      <c r="AY112" s="274"/>
      <c r="AZ112" s="19">
        <v>0</v>
      </c>
      <c r="BA112" s="18"/>
      <c r="BB112" s="19"/>
      <c r="BC112" s="274"/>
      <c r="BD112" s="274"/>
      <c r="BE112" s="19">
        <v>0</v>
      </c>
      <c r="BF112" s="18"/>
      <c r="BG112" s="19"/>
      <c r="BH112" s="274"/>
      <c r="BI112" s="274"/>
      <c r="BJ112" s="19">
        <v>0</v>
      </c>
      <c r="BK112" s="18"/>
      <c r="BL112" s="19"/>
      <c r="BM112" s="274"/>
      <c r="BN112" s="274"/>
      <c r="BO112" s="19">
        <v>0</v>
      </c>
      <c r="BP112" s="18"/>
      <c r="BQ112" s="19"/>
      <c r="BR112" s="274"/>
      <c r="BS112" s="274"/>
      <c r="BT112" s="19">
        <f>SUM(L112:BO112)</f>
        <v>0</v>
      </c>
      <c r="BU112" s="18"/>
      <c r="BV112" s="19"/>
      <c r="BW112" s="274"/>
      <c r="BX112" s="274"/>
      <c r="BY112" s="19">
        <f>SUM(Q112:BT112)</f>
        <v>0</v>
      </c>
      <c r="BZ112" s="18"/>
      <c r="CA112" s="19"/>
      <c r="CB112" s="274"/>
      <c r="CC112" s="274"/>
      <c r="CD112" s="19">
        <v>0</v>
      </c>
      <c r="CE112" s="18"/>
      <c r="CF112" s="19"/>
      <c r="CG112" s="274"/>
      <c r="CH112" s="274"/>
      <c r="CI112" s="19">
        <v>0</v>
      </c>
      <c r="CJ112" s="18"/>
      <c r="CK112" s="19"/>
      <c r="CL112" s="274"/>
      <c r="CM112" s="274"/>
      <c r="CN112" s="19">
        <v>0</v>
      </c>
      <c r="CO112" s="18"/>
      <c r="CP112" s="19"/>
      <c r="CQ112" s="274"/>
      <c r="CR112" s="274"/>
      <c r="CS112" s="19">
        <v>0</v>
      </c>
      <c r="CT112" s="18"/>
      <c r="CU112" s="19"/>
      <c r="CV112" s="274"/>
      <c r="CW112" s="274"/>
      <c r="CX112" s="19">
        <v>0</v>
      </c>
      <c r="CY112" s="18"/>
      <c r="CZ112" s="19"/>
      <c r="DA112" s="274"/>
      <c r="DB112" s="274"/>
      <c r="DC112" s="19">
        <v>0</v>
      </c>
      <c r="DD112" s="18"/>
      <c r="DE112" s="19"/>
      <c r="DF112" s="274"/>
      <c r="DG112" s="274"/>
      <c r="DH112" s="19">
        <v>0</v>
      </c>
      <c r="DI112" s="18"/>
      <c r="DJ112" s="19"/>
      <c r="DK112" s="274"/>
      <c r="DL112" s="274"/>
      <c r="DM112" s="19">
        <v>0</v>
      </c>
      <c r="DN112" s="18"/>
      <c r="DO112" s="19"/>
      <c r="DP112" s="274"/>
      <c r="DQ112" s="274"/>
      <c r="DR112" s="19">
        <v>0</v>
      </c>
      <c r="DS112" s="18"/>
      <c r="DT112" s="19"/>
      <c r="DU112" s="274"/>
      <c r="DV112" s="274"/>
      <c r="DW112" s="19">
        <v>0</v>
      </c>
      <c r="DX112" s="18"/>
      <c r="DY112" s="19"/>
      <c r="DZ112" s="274"/>
      <c r="EA112" s="274"/>
      <c r="EB112" s="19">
        <v>0</v>
      </c>
      <c r="EC112" s="18"/>
      <c r="ED112" s="19"/>
      <c r="EE112" s="274"/>
      <c r="EF112" s="274"/>
      <c r="EG112" s="19">
        <v>0</v>
      </c>
      <c r="EH112" s="18"/>
      <c r="EI112" s="19"/>
      <c r="EJ112" s="274"/>
      <c r="EK112" s="274"/>
      <c r="EL112" s="19">
        <f>SUM(CD112:EG112)</f>
        <v>0</v>
      </c>
      <c r="EM112" s="18"/>
      <c r="EN112" s="19"/>
      <c r="EO112" s="244"/>
      <c r="ER112" s="451"/>
      <c r="ES112" s="451"/>
    </row>
    <row r="113" spans="4:149" ht="12.75" hidden="1" customHeight="1" x14ac:dyDescent="0.2">
      <c r="D113" s="244" t="s">
        <v>354</v>
      </c>
      <c r="E113" s="274"/>
      <c r="F113" s="276"/>
      <c r="G113" s="37">
        <v>0</v>
      </c>
      <c r="H113" s="36"/>
      <c r="I113" s="19"/>
      <c r="J113" s="274"/>
      <c r="K113" s="231"/>
      <c r="L113" s="37">
        <v>0</v>
      </c>
      <c r="M113" s="36"/>
      <c r="N113" s="19"/>
      <c r="O113" s="274"/>
      <c r="P113" s="231"/>
      <c r="Q113" s="37">
        <v>0</v>
      </c>
      <c r="R113" s="36"/>
      <c r="S113" s="19"/>
      <c r="T113" s="274"/>
      <c r="U113" s="231"/>
      <c r="V113" s="37">
        <v>0</v>
      </c>
      <c r="W113" s="36"/>
      <c r="X113" s="19"/>
      <c r="Y113" s="274"/>
      <c r="Z113" s="231"/>
      <c r="AA113" s="37">
        <v>0</v>
      </c>
      <c r="AB113" s="36"/>
      <c r="AC113" s="19"/>
      <c r="AD113" s="274"/>
      <c r="AE113" s="231"/>
      <c r="AF113" s="37">
        <v>0</v>
      </c>
      <c r="AG113" s="36"/>
      <c r="AH113" s="19"/>
      <c r="AI113" s="274"/>
      <c r="AJ113" s="231"/>
      <c r="AK113" s="37">
        <v>0</v>
      </c>
      <c r="AL113" s="36"/>
      <c r="AM113" s="19"/>
      <c r="AN113" s="274"/>
      <c r="AO113" s="231"/>
      <c r="AP113" s="37">
        <v>0</v>
      </c>
      <c r="AQ113" s="36"/>
      <c r="AR113" s="19"/>
      <c r="AS113" s="274"/>
      <c r="AT113" s="231"/>
      <c r="AU113" s="37">
        <v>0</v>
      </c>
      <c r="AV113" s="36"/>
      <c r="AW113" s="19"/>
      <c r="AX113" s="274"/>
      <c r="AY113" s="231"/>
      <c r="AZ113" s="37">
        <v>0</v>
      </c>
      <c r="BA113" s="36"/>
      <c r="BB113" s="19"/>
      <c r="BC113" s="274"/>
      <c r="BD113" s="231"/>
      <c r="BE113" s="37">
        <v>0</v>
      </c>
      <c r="BF113" s="36"/>
      <c r="BG113" s="19"/>
      <c r="BH113" s="274"/>
      <c r="BI113" s="231"/>
      <c r="BJ113" s="37">
        <v>0</v>
      </c>
      <c r="BK113" s="36"/>
      <c r="BL113" s="19"/>
      <c r="BM113" s="274"/>
      <c r="BN113" s="231"/>
      <c r="BO113" s="37">
        <v>0</v>
      </c>
      <c r="BP113" s="36"/>
      <c r="BQ113" s="19"/>
      <c r="BR113" s="274"/>
      <c r="BS113" s="231"/>
      <c r="BT113" s="37">
        <f>SUM(L113:BO113)</f>
        <v>0</v>
      </c>
      <c r="BU113" s="36"/>
      <c r="BV113" s="19"/>
      <c r="BW113" s="274"/>
      <c r="BX113" s="231"/>
      <c r="BY113" s="37">
        <f>SUM(Q113:BT113)</f>
        <v>0</v>
      </c>
      <c r="BZ113" s="36"/>
      <c r="CA113" s="19"/>
      <c r="CB113" s="274"/>
      <c r="CC113" s="231"/>
      <c r="CD113" s="37">
        <v>0</v>
      </c>
      <c r="CE113" s="36"/>
      <c r="CF113" s="19"/>
      <c r="CG113" s="274"/>
      <c r="CH113" s="231"/>
      <c r="CI113" s="37">
        <v>0</v>
      </c>
      <c r="CJ113" s="36"/>
      <c r="CK113" s="19"/>
      <c r="CL113" s="274"/>
      <c r="CM113" s="231"/>
      <c r="CN113" s="37">
        <v>0</v>
      </c>
      <c r="CO113" s="36"/>
      <c r="CP113" s="19"/>
      <c r="CQ113" s="274"/>
      <c r="CR113" s="231"/>
      <c r="CS113" s="37">
        <v>0</v>
      </c>
      <c r="CT113" s="36"/>
      <c r="CU113" s="19"/>
      <c r="CV113" s="274"/>
      <c r="CW113" s="231"/>
      <c r="CX113" s="37">
        <v>0</v>
      </c>
      <c r="CY113" s="36"/>
      <c r="CZ113" s="19"/>
      <c r="DA113" s="274"/>
      <c r="DB113" s="231"/>
      <c r="DC113" s="37">
        <v>0</v>
      </c>
      <c r="DD113" s="36"/>
      <c r="DE113" s="19"/>
      <c r="DF113" s="274"/>
      <c r="DG113" s="231"/>
      <c r="DH113" s="37">
        <v>0</v>
      </c>
      <c r="DI113" s="36"/>
      <c r="DJ113" s="19"/>
      <c r="DK113" s="274"/>
      <c r="DL113" s="231"/>
      <c r="DM113" s="37">
        <v>0</v>
      </c>
      <c r="DN113" s="36"/>
      <c r="DO113" s="19"/>
      <c r="DP113" s="274"/>
      <c r="DQ113" s="231"/>
      <c r="DR113" s="37">
        <v>0</v>
      </c>
      <c r="DS113" s="36"/>
      <c r="DT113" s="19"/>
      <c r="DU113" s="274"/>
      <c r="DV113" s="231"/>
      <c r="DW113" s="37">
        <v>0</v>
      </c>
      <c r="DX113" s="36"/>
      <c r="DY113" s="19"/>
      <c r="DZ113" s="274"/>
      <c r="EA113" s="231"/>
      <c r="EB113" s="37">
        <v>0</v>
      </c>
      <c r="EC113" s="36"/>
      <c r="ED113" s="19"/>
      <c r="EE113" s="274"/>
      <c r="EF113" s="231"/>
      <c r="EG113" s="37">
        <v>0</v>
      </c>
      <c r="EH113" s="36"/>
      <c r="EI113" s="19"/>
      <c r="EJ113" s="274"/>
      <c r="EK113" s="231"/>
      <c r="EL113" s="37">
        <f>SUM(CD113:EG113)</f>
        <v>0</v>
      </c>
      <c r="EM113" s="36"/>
      <c r="EN113" s="19"/>
      <c r="EO113" s="244"/>
      <c r="ER113" s="451"/>
      <c r="ES113" s="451"/>
    </row>
    <row r="114" spans="4:149" ht="12.75" hidden="1" customHeight="1" x14ac:dyDescent="0.2">
      <c r="D114" s="244"/>
      <c r="E114" s="274"/>
      <c r="G114" s="19"/>
      <c r="H114" s="19"/>
      <c r="I114" s="19"/>
      <c r="J114" s="274"/>
      <c r="K114" s="19"/>
      <c r="L114" s="19"/>
      <c r="M114" s="19"/>
      <c r="N114" s="19"/>
      <c r="O114" s="274"/>
      <c r="P114" s="19"/>
      <c r="Q114" s="19"/>
      <c r="R114" s="19"/>
      <c r="S114" s="19"/>
      <c r="T114" s="274"/>
      <c r="U114" s="19"/>
      <c r="V114" s="19"/>
      <c r="W114" s="19"/>
      <c r="X114" s="19"/>
      <c r="Y114" s="274"/>
      <c r="Z114" s="19"/>
      <c r="AA114" s="19"/>
      <c r="AB114" s="19"/>
      <c r="AC114" s="19"/>
      <c r="AD114" s="274"/>
      <c r="AE114" s="19"/>
      <c r="AF114" s="19"/>
      <c r="AG114" s="19"/>
      <c r="AH114" s="19"/>
      <c r="AI114" s="274"/>
      <c r="AJ114" s="19"/>
      <c r="AK114" s="19"/>
      <c r="AL114" s="19"/>
      <c r="AM114" s="19"/>
      <c r="AN114" s="274"/>
      <c r="AO114" s="19"/>
      <c r="AP114" s="19"/>
      <c r="AQ114" s="19"/>
      <c r="AR114" s="19"/>
      <c r="AS114" s="274"/>
      <c r="AT114" s="19"/>
      <c r="AU114" s="19"/>
      <c r="AV114" s="19"/>
      <c r="AW114" s="19"/>
      <c r="AX114" s="274"/>
      <c r="AY114" s="19"/>
      <c r="AZ114" s="19"/>
      <c r="BA114" s="19"/>
      <c r="BB114" s="19"/>
      <c r="BC114" s="274"/>
      <c r="BD114" s="19"/>
      <c r="BE114" s="19"/>
      <c r="BF114" s="19"/>
      <c r="BG114" s="19"/>
      <c r="BH114" s="274"/>
      <c r="BI114" s="19"/>
      <c r="BJ114" s="19"/>
      <c r="BK114" s="19"/>
      <c r="BL114" s="19"/>
      <c r="BM114" s="274"/>
      <c r="BN114" s="19"/>
      <c r="BO114" s="19"/>
      <c r="BP114" s="19"/>
      <c r="BQ114" s="19"/>
      <c r="BR114" s="274"/>
      <c r="BS114" s="19"/>
      <c r="BT114" s="19"/>
      <c r="BU114" s="19"/>
      <c r="BV114" s="19"/>
      <c r="BW114" s="274"/>
      <c r="BX114" s="19"/>
      <c r="BY114" s="19"/>
      <c r="BZ114" s="19"/>
      <c r="CA114" s="19"/>
      <c r="CB114" s="274"/>
      <c r="CC114" s="19"/>
      <c r="CD114" s="19"/>
      <c r="CE114" s="19"/>
      <c r="CF114" s="19"/>
      <c r="CG114" s="274"/>
      <c r="CH114" s="19"/>
      <c r="CI114" s="19"/>
      <c r="CJ114" s="19"/>
      <c r="CK114" s="19"/>
      <c r="CL114" s="274"/>
      <c r="CM114" s="19"/>
      <c r="CN114" s="19"/>
      <c r="CO114" s="19"/>
      <c r="CP114" s="19"/>
      <c r="CQ114" s="274"/>
      <c r="CR114" s="19"/>
      <c r="CS114" s="19"/>
      <c r="CT114" s="19"/>
      <c r="CU114" s="19"/>
      <c r="CV114" s="274"/>
      <c r="CW114" s="19"/>
      <c r="CX114" s="19"/>
      <c r="CY114" s="19"/>
      <c r="CZ114" s="19"/>
      <c r="DA114" s="274"/>
      <c r="DB114" s="19"/>
      <c r="DC114" s="19"/>
      <c r="DD114" s="19"/>
      <c r="DE114" s="19"/>
      <c r="DF114" s="274"/>
      <c r="DG114" s="19"/>
      <c r="DH114" s="19"/>
      <c r="DI114" s="19"/>
      <c r="DJ114" s="19"/>
      <c r="DK114" s="274"/>
      <c r="DL114" s="19"/>
      <c r="DM114" s="19"/>
      <c r="DN114" s="19"/>
      <c r="DO114" s="19"/>
      <c r="DP114" s="274"/>
      <c r="DQ114" s="19"/>
      <c r="DR114" s="19"/>
      <c r="DS114" s="19"/>
      <c r="DT114" s="19"/>
      <c r="DU114" s="274"/>
      <c r="DV114" s="19"/>
      <c r="DW114" s="19"/>
      <c r="DX114" s="19"/>
      <c r="DY114" s="19"/>
      <c r="DZ114" s="274"/>
      <c r="EA114" s="19"/>
      <c r="EB114" s="19"/>
      <c r="EC114" s="19"/>
      <c r="ED114" s="19"/>
      <c r="EE114" s="274"/>
      <c r="EF114" s="19"/>
      <c r="EG114" s="19"/>
      <c r="EH114" s="19"/>
      <c r="EI114" s="19"/>
      <c r="EJ114" s="274"/>
      <c r="EK114" s="19"/>
      <c r="EL114" s="19"/>
      <c r="EM114" s="19"/>
      <c r="EN114" s="19"/>
      <c r="EO114" s="244"/>
      <c r="ER114" s="451"/>
      <c r="ES114" s="451"/>
    </row>
    <row r="115" spans="4:149" x14ac:dyDescent="0.2">
      <c r="D115" s="244" t="s">
        <v>366</v>
      </c>
      <c r="E115" s="274"/>
      <c r="G115" s="19">
        <f>SUM(G116:G118)</f>
        <v>0</v>
      </c>
      <c r="H115" s="19"/>
      <c r="I115" s="19"/>
      <c r="J115" s="274"/>
      <c r="K115" s="19"/>
      <c r="L115" s="19">
        <f>SUM(L116:L118)</f>
        <v>0</v>
      </c>
      <c r="M115" s="19"/>
      <c r="N115" s="19"/>
      <c r="O115" s="274"/>
      <c r="P115" s="19"/>
      <c r="Q115" s="19">
        <f>SUM(Q116:Q118)</f>
        <v>0</v>
      </c>
      <c r="R115" s="19"/>
      <c r="S115" s="19"/>
      <c r="T115" s="274"/>
      <c r="U115" s="19"/>
      <c r="V115" s="19">
        <f>SUM(V116:V118)</f>
        <v>0</v>
      </c>
      <c r="W115" s="19"/>
      <c r="X115" s="19"/>
      <c r="Y115" s="274"/>
      <c r="Z115" s="19"/>
      <c r="AA115" s="19">
        <f>SUM(AA116:AA118)</f>
        <v>0</v>
      </c>
      <c r="AB115" s="19"/>
      <c r="AC115" s="19"/>
      <c r="AD115" s="274"/>
      <c r="AE115" s="19"/>
      <c r="AF115" s="19">
        <f>SUM(AF116:AF118)</f>
        <v>0</v>
      </c>
      <c r="AG115" s="19"/>
      <c r="AH115" s="19"/>
      <c r="AI115" s="274"/>
      <c r="AJ115" s="19"/>
      <c r="AK115" s="19">
        <f>SUM(AK116:AK118)</f>
        <v>6601000</v>
      </c>
      <c r="AL115" s="19"/>
      <c r="AM115" s="19"/>
      <c r="AN115" s="274"/>
      <c r="AO115" s="19"/>
      <c r="AP115" s="19">
        <f>SUM(AP116:AP118)</f>
        <v>8322000</v>
      </c>
      <c r="AQ115" s="19"/>
      <c r="AR115" s="19"/>
      <c r="AS115" s="274"/>
      <c r="AT115" s="19"/>
      <c r="AU115" s="19">
        <f>SUM(AU116:AU118)</f>
        <v>4398000</v>
      </c>
      <c r="AV115" s="19"/>
      <c r="AW115" s="19"/>
      <c r="AX115" s="274"/>
      <c r="AY115" s="19"/>
      <c r="AZ115" s="19">
        <f>SUM(AZ116:AZ118)</f>
        <v>0</v>
      </c>
      <c r="BA115" s="19"/>
      <c r="BB115" s="19"/>
      <c r="BC115" s="274"/>
      <c r="BD115" s="19"/>
      <c r="BE115" s="19">
        <f>SUM(BE116:BE118)</f>
        <v>0</v>
      </c>
      <c r="BF115" s="19"/>
      <c r="BG115" s="19"/>
      <c r="BH115" s="274"/>
      <c r="BI115" s="19"/>
      <c r="BJ115" s="19">
        <f>SUM(BJ116:BJ118)</f>
        <v>6597000</v>
      </c>
      <c r="BK115" s="19"/>
      <c r="BL115" s="19"/>
      <c r="BM115" s="274"/>
      <c r="BN115" s="19"/>
      <c r="BO115" s="19">
        <f>SUM(BO116:BO118)</f>
        <v>3297000</v>
      </c>
      <c r="BP115" s="19"/>
      <c r="BQ115" s="19"/>
      <c r="BR115" s="274"/>
      <c r="BS115" s="19"/>
      <c r="BT115" s="19">
        <f>SUM(BT116:BT118)</f>
        <v>29215000</v>
      </c>
      <c r="BU115" s="19"/>
      <c r="BV115" s="19"/>
      <c r="BW115" s="274"/>
      <c r="BX115" s="19"/>
      <c r="BY115" s="19">
        <f>SUM(BY116:BY118)</f>
        <v>22156177</v>
      </c>
      <c r="BZ115" s="19"/>
      <c r="CA115" s="19"/>
      <c r="CB115" s="274"/>
      <c r="CC115" s="19"/>
      <c r="CD115" s="19">
        <f>SUM(CD116:CD118)</f>
        <v>2119000</v>
      </c>
      <c r="CE115" s="19"/>
      <c r="CF115" s="19"/>
      <c r="CG115" s="274"/>
      <c r="CH115" s="19"/>
      <c r="CI115" s="19">
        <f>SUM(CI116:CI118)</f>
        <v>1103177</v>
      </c>
      <c r="CJ115" s="19"/>
      <c r="CK115" s="19"/>
      <c r="CL115" s="274"/>
      <c r="CM115" s="19"/>
      <c r="CN115" s="19">
        <f>SUM(CN116:CN118)</f>
        <v>2200000</v>
      </c>
      <c r="CO115" s="19"/>
      <c r="CP115" s="19"/>
      <c r="CQ115" s="274"/>
      <c r="CR115" s="19"/>
      <c r="CS115" s="19">
        <f>SUM(CS116:CS118)</f>
        <v>546000</v>
      </c>
      <c r="CT115" s="19"/>
      <c r="CU115" s="19"/>
      <c r="CV115" s="274"/>
      <c r="CW115" s="19"/>
      <c r="CX115" s="19">
        <f>SUM(CX116:CX118)</f>
        <v>4875000</v>
      </c>
      <c r="CY115" s="19"/>
      <c r="CZ115" s="19"/>
      <c r="DA115" s="274"/>
      <c r="DB115" s="19"/>
      <c r="DC115" s="19">
        <f>SUM(DC116:DC118)</f>
        <v>2264000</v>
      </c>
      <c r="DD115" s="19"/>
      <c r="DE115" s="19"/>
      <c r="DF115" s="274"/>
      <c r="DG115" s="19"/>
      <c r="DH115" s="19">
        <f>SUM(DH116:DH118)</f>
        <v>0</v>
      </c>
      <c r="DI115" s="19"/>
      <c r="DJ115" s="19"/>
      <c r="DK115" s="274"/>
      <c r="DL115" s="19"/>
      <c r="DM115" s="19">
        <f>SUM(DM116:DM118)</f>
        <v>2263000</v>
      </c>
      <c r="DN115" s="19"/>
      <c r="DO115" s="19"/>
      <c r="DP115" s="274"/>
      <c r="DQ115" s="19"/>
      <c r="DR115" s="19">
        <f>SUM(DR116:DR118)</f>
        <v>4524000</v>
      </c>
      <c r="DS115" s="19"/>
      <c r="DT115" s="19"/>
      <c r="DU115" s="274"/>
      <c r="DV115" s="19"/>
      <c r="DW115" s="19">
        <f>SUM(DW116:DW118)</f>
        <v>0</v>
      </c>
      <c r="DX115" s="19"/>
      <c r="DY115" s="19"/>
      <c r="DZ115" s="274"/>
      <c r="EA115" s="19"/>
      <c r="EB115" s="19">
        <f>SUM(EB116:EB118)</f>
        <v>2262000</v>
      </c>
      <c r="EC115" s="19"/>
      <c r="ED115" s="19"/>
      <c r="EE115" s="274"/>
      <c r="EF115" s="19"/>
      <c r="EG115" s="19">
        <f>SUM(EG116:EG118)</f>
        <v>0</v>
      </c>
      <c r="EH115" s="19"/>
      <c r="EI115" s="19"/>
      <c r="EJ115" s="274"/>
      <c r="EK115" s="19"/>
      <c r="EL115" s="19">
        <f>SUM(EL116:EL118)</f>
        <v>22156177</v>
      </c>
      <c r="EM115" s="19"/>
      <c r="EN115" s="19"/>
      <c r="EO115" s="244"/>
      <c r="ER115" s="451"/>
      <c r="ES115" s="451"/>
    </row>
    <row r="116" spans="4:149" x14ac:dyDescent="0.2">
      <c r="D116" s="244" t="s">
        <v>344</v>
      </c>
      <c r="E116" s="274"/>
      <c r="F116" s="112"/>
      <c r="G116" s="374">
        <v>0</v>
      </c>
      <c r="H116" s="475"/>
      <c r="I116" s="19"/>
      <c r="J116" s="274"/>
      <c r="K116" s="173"/>
      <c r="L116" s="374">
        <v>0</v>
      </c>
      <c r="M116" s="475"/>
      <c r="N116" s="19"/>
      <c r="O116" s="274"/>
      <c r="P116" s="173"/>
      <c r="Q116" s="374">
        <v>0</v>
      </c>
      <c r="R116" s="475"/>
      <c r="S116" s="19"/>
      <c r="T116" s="274"/>
      <c r="U116" s="173"/>
      <c r="V116" s="374">
        <v>0</v>
      </c>
      <c r="W116" s="475"/>
      <c r="X116" s="19"/>
      <c r="Y116" s="274"/>
      <c r="Z116" s="173"/>
      <c r="AA116" s="374">
        <v>0</v>
      </c>
      <c r="AB116" s="475"/>
      <c r="AC116" s="19"/>
      <c r="AD116" s="274"/>
      <c r="AE116" s="173"/>
      <c r="AF116" s="374">
        <v>0</v>
      </c>
      <c r="AG116" s="475"/>
      <c r="AH116" s="19"/>
      <c r="AI116" s="274"/>
      <c r="AJ116" s="173"/>
      <c r="AK116" s="374">
        <f>6601000-1192748</f>
        <v>5408252</v>
      </c>
      <c r="AL116" s="475"/>
      <c r="AM116" s="19"/>
      <c r="AN116" s="274"/>
      <c r="AO116" s="173"/>
      <c r="AP116" s="374">
        <f>8322000-1699015</f>
        <v>6622985</v>
      </c>
      <c r="AQ116" s="475"/>
      <c r="AR116" s="19"/>
      <c r="AS116" s="274"/>
      <c r="AT116" s="173"/>
      <c r="AU116" s="374">
        <f>4398000-878082</f>
        <v>3519918</v>
      </c>
      <c r="AV116" s="475"/>
      <c r="AW116" s="19"/>
      <c r="AX116" s="274"/>
      <c r="AY116" s="173"/>
      <c r="AZ116" s="374">
        <v>0</v>
      </c>
      <c r="BA116" s="475"/>
      <c r="BB116" s="19"/>
      <c r="BC116" s="274"/>
      <c r="BD116" s="173"/>
      <c r="BE116" s="374">
        <v>0</v>
      </c>
      <c r="BF116" s="475"/>
      <c r="BG116" s="19"/>
      <c r="BH116" s="274"/>
      <c r="BI116" s="173"/>
      <c r="BJ116" s="374">
        <f>6597000-842888</f>
        <v>5754112</v>
      </c>
      <c r="BK116" s="475"/>
      <c r="BL116" s="19"/>
      <c r="BM116" s="274"/>
      <c r="BN116" s="173"/>
      <c r="BO116" s="374">
        <f>3297000-558707</f>
        <v>2738293</v>
      </c>
      <c r="BP116" s="475"/>
      <c r="BQ116" s="19"/>
      <c r="BR116" s="274"/>
      <c r="BS116" s="173"/>
      <c r="BT116" s="374">
        <f>SUM(L116:BO116)</f>
        <v>24043560</v>
      </c>
      <c r="BU116" s="475"/>
      <c r="BV116" s="19"/>
      <c r="BW116" s="274"/>
      <c r="BX116" s="173"/>
      <c r="BY116" s="374">
        <v>20301382</v>
      </c>
      <c r="BZ116" s="475"/>
      <c r="CA116" s="19"/>
      <c r="CB116" s="274"/>
      <c r="CC116" s="173"/>
      <c r="CD116" s="374">
        <f>2119000-135529</f>
        <v>1983471</v>
      </c>
      <c r="CE116" s="475"/>
      <c r="CF116" s="19"/>
      <c r="CG116" s="274"/>
      <c r="CH116" s="173"/>
      <c r="CI116" s="374">
        <f>1103177-72711</f>
        <v>1030466</v>
      </c>
      <c r="CJ116" s="475"/>
      <c r="CK116" s="19"/>
      <c r="CL116" s="274"/>
      <c r="CM116" s="173"/>
      <c r="CN116" s="374">
        <f>2200000-173807</f>
        <v>2026193</v>
      </c>
      <c r="CO116" s="475"/>
      <c r="CP116" s="19"/>
      <c r="CQ116" s="274"/>
      <c r="CR116" s="173"/>
      <c r="CS116" s="374">
        <f>546000-44754</f>
        <v>501246</v>
      </c>
      <c r="CT116" s="475"/>
      <c r="CU116" s="19"/>
      <c r="CV116" s="274"/>
      <c r="CW116" s="173"/>
      <c r="CX116" s="374">
        <f>4875000-417052</f>
        <v>4457948</v>
      </c>
      <c r="CY116" s="475"/>
      <c r="CZ116" s="19"/>
      <c r="DA116" s="274"/>
      <c r="DB116" s="173"/>
      <c r="DC116" s="374">
        <f>2264000-156357</f>
        <v>2107643</v>
      </c>
      <c r="DD116" s="475"/>
      <c r="DE116" s="19"/>
      <c r="DF116" s="274"/>
      <c r="DG116" s="173"/>
      <c r="DH116" s="374">
        <v>0</v>
      </c>
      <c r="DI116" s="475"/>
      <c r="DJ116" s="19"/>
      <c r="DK116" s="274"/>
      <c r="DL116" s="173"/>
      <c r="DM116" s="374">
        <f>2263000-209425</f>
        <v>2053575</v>
      </c>
      <c r="DN116" s="475"/>
      <c r="DO116" s="19"/>
      <c r="DP116" s="274"/>
      <c r="DQ116" s="173"/>
      <c r="DR116" s="374">
        <f>4524000-451972</f>
        <v>4072028</v>
      </c>
      <c r="DS116" s="475"/>
      <c r="DT116" s="19"/>
      <c r="DU116" s="274"/>
      <c r="DV116" s="173"/>
      <c r="DW116" s="374">
        <v>0</v>
      </c>
      <c r="DX116" s="475"/>
      <c r="DY116" s="19"/>
      <c r="DZ116" s="274"/>
      <c r="EA116" s="173"/>
      <c r="EB116" s="374">
        <f>2262000-193188</f>
        <v>2068812</v>
      </c>
      <c r="EC116" s="475"/>
      <c r="ED116" s="19"/>
      <c r="EE116" s="274"/>
      <c r="EF116" s="173"/>
      <c r="EG116" s="374">
        <v>0</v>
      </c>
      <c r="EH116" s="475"/>
      <c r="EI116" s="19"/>
      <c r="EJ116" s="274"/>
      <c r="EK116" s="173"/>
      <c r="EL116" s="374">
        <f>SUM(CD116:EG116)</f>
        <v>20301382</v>
      </c>
      <c r="EM116" s="475"/>
      <c r="EN116" s="19"/>
      <c r="EO116" s="244"/>
      <c r="ER116" s="451"/>
      <c r="ES116" s="451"/>
    </row>
    <row r="117" spans="4:149" x14ac:dyDescent="0.2">
      <c r="D117" s="244" t="s">
        <v>346</v>
      </c>
      <c r="E117" s="274"/>
      <c r="F117" s="82"/>
      <c r="G117" s="19">
        <v>0</v>
      </c>
      <c r="H117" s="18"/>
      <c r="I117" s="19"/>
      <c r="J117" s="274"/>
      <c r="K117" s="274"/>
      <c r="L117" s="19">
        <v>0</v>
      </c>
      <c r="M117" s="18"/>
      <c r="N117" s="19"/>
      <c r="O117" s="274"/>
      <c r="P117" s="274"/>
      <c r="Q117" s="19">
        <v>0</v>
      </c>
      <c r="R117" s="18"/>
      <c r="S117" s="19"/>
      <c r="T117" s="274"/>
      <c r="U117" s="274"/>
      <c r="V117" s="19">
        <v>0</v>
      </c>
      <c r="W117" s="18"/>
      <c r="X117" s="19"/>
      <c r="Y117" s="274"/>
      <c r="Z117" s="274"/>
      <c r="AA117" s="19">
        <v>0</v>
      </c>
      <c r="AB117" s="18"/>
      <c r="AC117" s="19"/>
      <c r="AD117" s="274"/>
      <c r="AE117" s="274"/>
      <c r="AF117" s="19">
        <v>0</v>
      </c>
      <c r="AG117" s="18"/>
      <c r="AH117" s="19"/>
      <c r="AI117" s="274"/>
      <c r="AJ117" s="274"/>
      <c r="AK117" s="19">
        <v>1192748</v>
      </c>
      <c r="AL117" s="18"/>
      <c r="AM117" s="19"/>
      <c r="AN117" s="274"/>
      <c r="AO117" s="274"/>
      <c r="AP117" s="19">
        <v>1699015</v>
      </c>
      <c r="AQ117" s="18"/>
      <c r="AR117" s="19"/>
      <c r="AS117" s="274"/>
      <c r="AT117" s="274"/>
      <c r="AU117" s="19">
        <v>878082</v>
      </c>
      <c r="AV117" s="18"/>
      <c r="AW117" s="19"/>
      <c r="AX117" s="274"/>
      <c r="AY117" s="274"/>
      <c r="AZ117" s="19">
        <v>0</v>
      </c>
      <c r="BA117" s="18"/>
      <c r="BB117" s="19"/>
      <c r="BC117" s="274"/>
      <c r="BD117" s="274"/>
      <c r="BE117" s="19">
        <v>0</v>
      </c>
      <c r="BF117" s="18"/>
      <c r="BG117" s="19"/>
      <c r="BH117" s="274"/>
      <c r="BI117" s="274"/>
      <c r="BJ117" s="19">
        <v>842888</v>
      </c>
      <c r="BK117" s="18"/>
      <c r="BL117" s="19"/>
      <c r="BM117" s="274"/>
      <c r="BN117" s="274"/>
      <c r="BO117" s="19">
        <v>558707</v>
      </c>
      <c r="BP117" s="18"/>
      <c r="BQ117" s="19"/>
      <c r="BR117" s="274"/>
      <c r="BS117" s="274"/>
      <c r="BT117" s="19">
        <f>SUM(L117:BO117)</f>
        <v>5171440</v>
      </c>
      <c r="BU117" s="18"/>
      <c r="BV117" s="19"/>
      <c r="BW117" s="274"/>
      <c r="BX117" s="274"/>
      <c r="BY117" s="19">
        <v>1854795</v>
      </c>
      <c r="BZ117" s="18"/>
      <c r="CA117" s="19"/>
      <c r="CB117" s="274"/>
      <c r="CC117" s="274"/>
      <c r="CD117" s="19">
        <v>135529</v>
      </c>
      <c r="CE117" s="18"/>
      <c r="CF117" s="19"/>
      <c r="CG117" s="274"/>
      <c r="CH117" s="274"/>
      <c r="CI117" s="19">
        <v>72711</v>
      </c>
      <c r="CJ117" s="18"/>
      <c r="CK117" s="19"/>
      <c r="CL117" s="274"/>
      <c r="CM117" s="274"/>
      <c r="CN117" s="19">
        <v>173807</v>
      </c>
      <c r="CO117" s="18"/>
      <c r="CP117" s="19"/>
      <c r="CQ117" s="274"/>
      <c r="CR117" s="274"/>
      <c r="CS117" s="19">
        <v>44754</v>
      </c>
      <c r="CT117" s="18"/>
      <c r="CU117" s="19"/>
      <c r="CV117" s="274"/>
      <c r="CW117" s="274"/>
      <c r="CX117" s="19">
        <v>417052</v>
      </c>
      <c r="CY117" s="18"/>
      <c r="CZ117" s="19"/>
      <c r="DA117" s="274"/>
      <c r="DB117" s="274"/>
      <c r="DC117" s="19">
        <v>156357</v>
      </c>
      <c r="DD117" s="18"/>
      <c r="DE117" s="19"/>
      <c r="DF117" s="274"/>
      <c r="DG117" s="274"/>
      <c r="DH117" s="19">
        <v>0</v>
      </c>
      <c r="DI117" s="18"/>
      <c r="DJ117" s="19"/>
      <c r="DK117" s="274"/>
      <c r="DL117" s="274"/>
      <c r="DM117" s="19">
        <v>209425</v>
      </c>
      <c r="DN117" s="18"/>
      <c r="DO117" s="19"/>
      <c r="DP117" s="274"/>
      <c r="DQ117" s="274"/>
      <c r="DR117" s="19">
        <v>451972</v>
      </c>
      <c r="DS117" s="18"/>
      <c r="DT117" s="19"/>
      <c r="DU117" s="274"/>
      <c r="DV117" s="274"/>
      <c r="DW117" s="19">
        <v>0</v>
      </c>
      <c r="DX117" s="18"/>
      <c r="DY117" s="19"/>
      <c r="DZ117" s="274"/>
      <c r="EA117" s="274"/>
      <c r="EB117" s="19">
        <v>193188</v>
      </c>
      <c r="EC117" s="18"/>
      <c r="ED117" s="19"/>
      <c r="EE117" s="274"/>
      <c r="EF117" s="274"/>
      <c r="EG117" s="19">
        <v>0</v>
      </c>
      <c r="EH117" s="18"/>
      <c r="EI117" s="19"/>
      <c r="EJ117" s="274"/>
      <c r="EK117" s="274"/>
      <c r="EL117" s="19">
        <f>SUM(CD117:EG117)</f>
        <v>1854795</v>
      </c>
      <c r="EM117" s="18"/>
      <c r="EN117" s="19"/>
      <c r="EO117" s="244"/>
      <c r="ER117" s="451"/>
      <c r="ES117" s="451"/>
    </row>
    <row r="118" spans="4:149" x14ac:dyDescent="0.2">
      <c r="D118" s="244" t="s">
        <v>354</v>
      </c>
      <c r="E118" s="274"/>
      <c r="F118" s="276"/>
      <c r="G118" s="37">
        <v>0</v>
      </c>
      <c r="H118" s="36"/>
      <c r="I118" s="19"/>
      <c r="J118" s="274"/>
      <c r="K118" s="231"/>
      <c r="L118" s="37">
        <v>0</v>
      </c>
      <c r="M118" s="36"/>
      <c r="N118" s="19"/>
      <c r="O118" s="274"/>
      <c r="P118" s="231"/>
      <c r="Q118" s="37">
        <v>0</v>
      </c>
      <c r="R118" s="36"/>
      <c r="S118" s="19"/>
      <c r="T118" s="274"/>
      <c r="U118" s="231"/>
      <c r="V118" s="37">
        <v>0</v>
      </c>
      <c r="W118" s="36"/>
      <c r="X118" s="19"/>
      <c r="Y118" s="274"/>
      <c r="Z118" s="231"/>
      <c r="AA118" s="37">
        <v>0</v>
      </c>
      <c r="AB118" s="36"/>
      <c r="AC118" s="19"/>
      <c r="AD118" s="274"/>
      <c r="AE118" s="231"/>
      <c r="AF118" s="37">
        <v>0</v>
      </c>
      <c r="AG118" s="36"/>
      <c r="AH118" s="19"/>
      <c r="AI118" s="274"/>
      <c r="AJ118" s="231"/>
      <c r="AK118" s="37">
        <v>0</v>
      </c>
      <c r="AL118" s="36"/>
      <c r="AM118" s="19"/>
      <c r="AN118" s="274"/>
      <c r="AO118" s="231"/>
      <c r="AP118" s="37">
        <v>0</v>
      </c>
      <c r="AQ118" s="36"/>
      <c r="AR118" s="19"/>
      <c r="AS118" s="274"/>
      <c r="AT118" s="231"/>
      <c r="AU118" s="37">
        <v>0</v>
      </c>
      <c r="AV118" s="36"/>
      <c r="AW118" s="19"/>
      <c r="AX118" s="274"/>
      <c r="AY118" s="231"/>
      <c r="AZ118" s="37">
        <v>0</v>
      </c>
      <c r="BA118" s="36"/>
      <c r="BB118" s="19"/>
      <c r="BC118" s="274"/>
      <c r="BD118" s="231"/>
      <c r="BE118" s="37">
        <v>0</v>
      </c>
      <c r="BF118" s="36"/>
      <c r="BG118" s="19"/>
      <c r="BH118" s="274"/>
      <c r="BI118" s="231"/>
      <c r="BJ118" s="37">
        <v>0</v>
      </c>
      <c r="BK118" s="36"/>
      <c r="BL118" s="19"/>
      <c r="BM118" s="274"/>
      <c r="BN118" s="231"/>
      <c r="BO118" s="37">
        <v>0</v>
      </c>
      <c r="BP118" s="36"/>
      <c r="BQ118" s="19"/>
      <c r="BR118" s="274"/>
      <c r="BS118" s="231"/>
      <c r="BT118" s="37">
        <f>SUM(L118:BO118)</f>
        <v>0</v>
      </c>
      <c r="BU118" s="36"/>
      <c r="BV118" s="19"/>
      <c r="BW118" s="274"/>
      <c r="BX118" s="231"/>
      <c r="BY118" s="37">
        <v>0</v>
      </c>
      <c r="BZ118" s="36"/>
      <c r="CA118" s="19"/>
      <c r="CB118" s="274"/>
      <c r="CC118" s="231"/>
      <c r="CD118" s="37">
        <v>0</v>
      </c>
      <c r="CE118" s="36"/>
      <c r="CF118" s="19"/>
      <c r="CG118" s="274"/>
      <c r="CH118" s="231"/>
      <c r="CI118" s="37">
        <v>0</v>
      </c>
      <c r="CJ118" s="36"/>
      <c r="CK118" s="19"/>
      <c r="CL118" s="274"/>
      <c r="CM118" s="231"/>
      <c r="CN118" s="37">
        <v>0</v>
      </c>
      <c r="CO118" s="36"/>
      <c r="CP118" s="19"/>
      <c r="CQ118" s="274"/>
      <c r="CR118" s="231"/>
      <c r="CS118" s="37">
        <v>0</v>
      </c>
      <c r="CT118" s="36"/>
      <c r="CU118" s="19"/>
      <c r="CV118" s="274"/>
      <c r="CW118" s="231"/>
      <c r="CX118" s="37">
        <v>0</v>
      </c>
      <c r="CY118" s="36"/>
      <c r="CZ118" s="19"/>
      <c r="DA118" s="274"/>
      <c r="DB118" s="231"/>
      <c r="DC118" s="37">
        <v>0</v>
      </c>
      <c r="DD118" s="36"/>
      <c r="DE118" s="19"/>
      <c r="DF118" s="274"/>
      <c r="DG118" s="231"/>
      <c r="DH118" s="37">
        <v>0</v>
      </c>
      <c r="DI118" s="36"/>
      <c r="DJ118" s="19"/>
      <c r="DK118" s="274"/>
      <c r="DL118" s="231"/>
      <c r="DM118" s="37">
        <v>0</v>
      </c>
      <c r="DN118" s="36"/>
      <c r="DO118" s="19"/>
      <c r="DP118" s="274"/>
      <c r="DQ118" s="231"/>
      <c r="DR118" s="37">
        <v>0</v>
      </c>
      <c r="DS118" s="36"/>
      <c r="DT118" s="19"/>
      <c r="DU118" s="274"/>
      <c r="DV118" s="231"/>
      <c r="DW118" s="37">
        <v>0</v>
      </c>
      <c r="DX118" s="36"/>
      <c r="DY118" s="19"/>
      <c r="DZ118" s="274"/>
      <c r="EA118" s="231"/>
      <c r="EB118" s="37">
        <v>0</v>
      </c>
      <c r="EC118" s="36"/>
      <c r="ED118" s="19"/>
      <c r="EE118" s="274"/>
      <c r="EF118" s="231"/>
      <c r="EG118" s="37">
        <v>0</v>
      </c>
      <c r="EH118" s="36"/>
      <c r="EI118" s="19"/>
      <c r="EJ118" s="274"/>
      <c r="EK118" s="231"/>
      <c r="EL118" s="37">
        <f>SUM(CD118:EG118)</f>
        <v>0</v>
      </c>
      <c r="EM118" s="36"/>
      <c r="EN118" s="19"/>
      <c r="EO118" s="244"/>
      <c r="ER118" s="451"/>
      <c r="ES118" s="451"/>
    </row>
    <row r="119" spans="4:149" x14ac:dyDescent="0.2">
      <c r="D119" s="244"/>
      <c r="E119" s="274"/>
      <c r="G119" s="19"/>
      <c r="H119" s="19"/>
      <c r="I119" s="19"/>
      <c r="J119" s="274"/>
      <c r="K119" s="19"/>
      <c r="L119" s="19"/>
      <c r="M119" s="19"/>
      <c r="N119" s="19"/>
      <c r="O119" s="274"/>
      <c r="P119" s="19"/>
      <c r="Q119" s="19"/>
      <c r="R119" s="19"/>
      <c r="S119" s="19"/>
      <c r="T119" s="274"/>
      <c r="U119" s="19"/>
      <c r="V119" s="19"/>
      <c r="W119" s="19"/>
      <c r="X119" s="19"/>
      <c r="Y119" s="274"/>
      <c r="Z119" s="19"/>
      <c r="AA119" s="19"/>
      <c r="AB119" s="19"/>
      <c r="AC119" s="19"/>
      <c r="AD119" s="274"/>
      <c r="AE119" s="19"/>
      <c r="AF119" s="19"/>
      <c r="AG119" s="19"/>
      <c r="AH119" s="19"/>
      <c r="AI119" s="274"/>
      <c r="AJ119" s="19"/>
      <c r="AK119" s="19"/>
      <c r="AL119" s="19"/>
      <c r="AM119" s="19"/>
      <c r="AN119" s="274"/>
      <c r="AO119" s="19"/>
      <c r="AP119" s="19"/>
      <c r="AQ119" s="19"/>
      <c r="AR119" s="19"/>
      <c r="AS119" s="274"/>
      <c r="AT119" s="19"/>
      <c r="AU119" s="19"/>
      <c r="AV119" s="19"/>
      <c r="AW119" s="19"/>
      <c r="AX119" s="274"/>
      <c r="AY119" s="19"/>
      <c r="AZ119" s="19"/>
      <c r="BA119" s="19"/>
      <c r="BB119" s="19"/>
      <c r="BC119" s="274"/>
      <c r="BD119" s="19"/>
      <c r="BE119" s="19"/>
      <c r="BF119" s="19"/>
      <c r="BG119" s="19"/>
      <c r="BH119" s="274"/>
      <c r="BI119" s="19"/>
      <c r="BJ119" s="19"/>
      <c r="BK119" s="19"/>
      <c r="BL119" s="19"/>
      <c r="BM119" s="274"/>
      <c r="BN119" s="19"/>
      <c r="BO119" s="19"/>
      <c r="BP119" s="19"/>
      <c r="BQ119" s="19"/>
      <c r="BR119" s="274"/>
      <c r="BS119" s="19"/>
      <c r="BT119" s="19"/>
      <c r="BU119" s="19"/>
      <c r="BV119" s="19"/>
      <c r="BW119" s="274"/>
      <c r="BX119" s="19"/>
      <c r="BY119" s="19"/>
      <c r="BZ119" s="19"/>
      <c r="CA119" s="19"/>
      <c r="CB119" s="274"/>
      <c r="CC119" s="19"/>
      <c r="CD119" s="19"/>
      <c r="CE119" s="19"/>
      <c r="CF119" s="19"/>
      <c r="CG119" s="274"/>
      <c r="CH119" s="19"/>
      <c r="CI119" s="19"/>
      <c r="CJ119" s="19"/>
      <c r="CK119" s="19"/>
      <c r="CL119" s="274"/>
      <c r="CM119" s="19"/>
      <c r="CN119" s="19"/>
      <c r="CO119" s="19"/>
      <c r="CP119" s="19"/>
      <c r="CQ119" s="274"/>
      <c r="CR119" s="19"/>
      <c r="CS119" s="19"/>
      <c r="CT119" s="19"/>
      <c r="CU119" s="19"/>
      <c r="CV119" s="274"/>
      <c r="CW119" s="19"/>
      <c r="CX119" s="19"/>
      <c r="CY119" s="19"/>
      <c r="CZ119" s="19"/>
      <c r="DA119" s="274"/>
      <c r="DB119" s="19"/>
      <c r="DC119" s="19"/>
      <c r="DD119" s="19"/>
      <c r="DE119" s="19"/>
      <c r="DF119" s="274"/>
      <c r="DG119" s="19"/>
      <c r="DH119" s="19"/>
      <c r="DI119" s="19"/>
      <c r="DJ119" s="19"/>
      <c r="DK119" s="274"/>
      <c r="DL119" s="19"/>
      <c r="DM119" s="19"/>
      <c r="DN119" s="19"/>
      <c r="DO119" s="19"/>
      <c r="DP119" s="274"/>
      <c r="DQ119" s="19"/>
      <c r="DR119" s="19"/>
      <c r="DS119" s="19"/>
      <c r="DT119" s="19"/>
      <c r="DU119" s="274"/>
      <c r="DV119" s="19"/>
      <c r="DW119" s="19"/>
      <c r="DX119" s="19"/>
      <c r="DY119" s="19"/>
      <c r="DZ119" s="274"/>
      <c r="EA119" s="19"/>
      <c r="EB119" s="19"/>
      <c r="EC119" s="19"/>
      <c r="ED119" s="19"/>
      <c r="EE119" s="274"/>
      <c r="EF119" s="19"/>
      <c r="EG119" s="19"/>
      <c r="EH119" s="19"/>
      <c r="EI119" s="19"/>
      <c r="EJ119" s="274"/>
      <c r="EK119" s="19"/>
      <c r="EL119" s="19"/>
      <c r="EM119" s="19"/>
      <c r="EN119" s="19"/>
      <c r="EO119" s="244"/>
      <c r="ER119" s="451"/>
      <c r="ES119" s="451"/>
    </row>
    <row r="120" spans="4:149" ht="12.75" hidden="1" customHeight="1" x14ac:dyDescent="0.2">
      <c r="D120" s="244" t="s">
        <v>367</v>
      </c>
      <c r="E120" s="274"/>
      <c r="G120" s="19">
        <f>SUM(G121:G124)</f>
        <v>0</v>
      </c>
      <c r="H120" s="19"/>
      <c r="I120" s="19"/>
      <c r="J120" s="274"/>
      <c r="K120" s="19"/>
      <c r="L120" s="19">
        <f>SUM(L121:L124)</f>
        <v>0</v>
      </c>
      <c r="M120" s="19"/>
      <c r="N120" s="19"/>
      <c r="O120" s="274"/>
      <c r="P120" s="19"/>
      <c r="Q120" s="19">
        <f>SUM(Q121:Q124)</f>
        <v>0</v>
      </c>
      <c r="R120" s="19"/>
      <c r="S120" s="19"/>
      <c r="T120" s="274"/>
      <c r="U120" s="19"/>
      <c r="V120" s="19">
        <f>SUM(V121:V124)</f>
        <v>0</v>
      </c>
      <c r="W120" s="19"/>
      <c r="X120" s="19"/>
      <c r="Y120" s="274"/>
      <c r="Z120" s="19"/>
      <c r="AA120" s="19">
        <f>SUM(AA121:AA124)</f>
        <v>0</v>
      </c>
      <c r="AB120" s="19"/>
      <c r="AC120" s="19"/>
      <c r="AD120" s="274"/>
      <c r="AE120" s="19"/>
      <c r="AF120" s="19">
        <f>SUM(AF121:AF124)</f>
        <v>0</v>
      </c>
      <c r="AG120" s="19"/>
      <c r="AH120" s="19"/>
      <c r="AI120" s="274"/>
      <c r="AJ120" s="19"/>
      <c r="AK120" s="19">
        <f>SUM(AK121:AK124)</f>
        <v>0</v>
      </c>
      <c r="AL120" s="19"/>
      <c r="AM120" s="19"/>
      <c r="AN120" s="274"/>
      <c r="AO120" s="19"/>
      <c r="AP120" s="19">
        <f>SUM(AP121:AP124)</f>
        <v>0</v>
      </c>
      <c r="AQ120" s="19"/>
      <c r="AR120" s="19"/>
      <c r="AS120" s="274"/>
      <c r="AT120" s="19"/>
      <c r="AU120" s="19">
        <f>SUM(AU121:AU124)</f>
        <v>0</v>
      </c>
      <c r="AV120" s="19"/>
      <c r="AW120" s="19"/>
      <c r="AX120" s="274"/>
      <c r="AY120" s="19"/>
      <c r="AZ120" s="19">
        <f>SUM(AZ121:AZ124)</f>
        <v>0</v>
      </c>
      <c r="BA120" s="19"/>
      <c r="BB120" s="19"/>
      <c r="BC120" s="274"/>
      <c r="BD120" s="19"/>
      <c r="BE120" s="19">
        <f>SUM(BE121:BE124)</f>
        <v>0</v>
      </c>
      <c r="BF120" s="19"/>
      <c r="BG120" s="19"/>
      <c r="BH120" s="274"/>
      <c r="BI120" s="19"/>
      <c r="BJ120" s="19">
        <f>SUM(BJ121:BJ124)</f>
        <v>0</v>
      </c>
      <c r="BK120" s="19"/>
      <c r="BL120" s="19"/>
      <c r="BM120" s="274"/>
      <c r="BN120" s="19"/>
      <c r="BO120" s="19">
        <f>SUM(BO121:BO124)</f>
        <v>0</v>
      </c>
      <c r="BP120" s="19"/>
      <c r="BQ120" s="19"/>
      <c r="BR120" s="274"/>
      <c r="BS120" s="19"/>
      <c r="BT120" s="19">
        <f>SUM(BT121:BT124)</f>
        <v>0</v>
      </c>
      <c r="BU120" s="19"/>
      <c r="BV120" s="19"/>
      <c r="BW120" s="274"/>
      <c r="BX120" s="19"/>
      <c r="BY120" s="19">
        <f>SUM(BY121:BY124)</f>
        <v>0</v>
      </c>
      <c r="BZ120" s="19"/>
      <c r="CA120" s="19"/>
      <c r="CB120" s="274"/>
      <c r="CC120" s="19"/>
      <c r="CD120" s="19">
        <f>SUM(CD121:CD124)</f>
        <v>0</v>
      </c>
      <c r="CE120" s="19"/>
      <c r="CF120" s="19"/>
      <c r="CG120" s="274"/>
      <c r="CH120" s="19"/>
      <c r="CI120" s="19">
        <f>SUM(CI121:CI124)</f>
        <v>0</v>
      </c>
      <c r="CJ120" s="19"/>
      <c r="CK120" s="19"/>
      <c r="CL120" s="274"/>
      <c r="CM120" s="19"/>
      <c r="CN120" s="19">
        <f>SUM(CN121:CN124)</f>
        <v>0</v>
      </c>
      <c r="CO120" s="19"/>
      <c r="CP120" s="19"/>
      <c r="CQ120" s="274"/>
      <c r="CR120" s="19"/>
      <c r="CS120" s="19">
        <f>SUM(CS121:CS124)</f>
        <v>0</v>
      </c>
      <c r="CT120" s="19"/>
      <c r="CU120" s="19"/>
      <c r="CV120" s="274"/>
      <c r="CW120" s="19"/>
      <c r="CX120" s="19">
        <f>SUM(CX121:CX124)</f>
        <v>0</v>
      </c>
      <c r="CY120" s="19"/>
      <c r="CZ120" s="19"/>
      <c r="DA120" s="274"/>
      <c r="DB120" s="19"/>
      <c r="DC120" s="19">
        <f>SUM(DC121:DC124)</f>
        <v>0</v>
      </c>
      <c r="DD120" s="19"/>
      <c r="DE120" s="19"/>
      <c r="DF120" s="274"/>
      <c r="DG120" s="19"/>
      <c r="DH120" s="19">
        <f>SUM(DH121:DH124)</f>
        <v>0</v>
      </c>
      <c r="DI120" s="19"/>
      <c r="DJ120" s="19"/>
      <c r="DK120" s="274"/>
      <c r="DL120" s="19"/>
      <c r="DM120" s="19">
        <f>SUM(DM121:DM124)</f>
        <v>0</v>
      </c>
      <c r="DN120" s="19"/>
      <c r="DO120" s="19"/>
      <c r="DP120" s="274"/>
      <c r="DQ120" s="19"/>
      <c r="DR120" s="19">
        <f>SUM(DR121:DR124)</f>
        <v>0</v>
      </c>
      <c r="DS120" s="19"/>
      <c r="DT120" s="19"/>
      <c r="DU120" s="274"/>
      <c r="DV120" s="19"/>
      <c r="DW120" s="19">
        <f>SUM(DW121:DW124)</f>
        <v>0</v>
      </c>
      <c r="DX120" s="19"/>
      <c r="DY120" s="19"/>
      <c r="DZ120" s="274"/>
      <c r="EA120" s="19"/>
      <c r="EB120" s="19">
        <f>SUM(EB121:EB124)</f>
        <v>0</v>
      </c>
      <c r="EC120" s="19"/>
      <c r="ED120" s="19"/>
      <c r="EE120" s="274"/>
      <c r="EF120" s="19"/>
      <c r="EG120" s="19">
        <f>SUM(EG121:EG124)</f>
        <v>0</v>
      </c>
      <c r="EH120" s="19"/>
      <c r="EI120" s="19"/>
      <c r="EJ120" s="274"/>
      <c r="EK120" s="19"/>
      <c r="EL120" s="19">
        <f>SUM(EL121:EL124)</f>
        <v>0</v>
      </c>
      <c r="EM120" s="19"/>
      <c r="EN120" s="19"/>
      <c r="EO120" s="244"/>
      <c r="ER120" s="451"/>
      <c r="ES120" s="451"/>
    </row>
    <row r="121" spans="4:149" ht="12.75" hidden="1" customHeight="1" x14ac:dyDescent="0.2">
      <c r="D121" s="244" t="s">
        <v>344</v>
      </c>
      <c r="E121" s="274"/>
      <c r="F121" s="112"/>
      <c r="G121" s="374">
        <v>0</v>
      </c>
      <c r="H121" s="475"/>
      <c r="I121" s="19"/>
      <c r="J121" s="274"/>
      <c r="K121" s="173"/>
      <c r="L121" s="374">
        <v>0</v>
      </c>
      <c r="M121" s="475"/>
      <c r="N121" s="19"/>
      <c r="O121" s="274"/>
      <c r="P121" s="173"/>
      <c r="Q121" s="374">
        <v>0</v>
      </c>
      <c r="R121" s="475"/>
      <c r="S121" s="19"/>
      <c r="T121" s="274"/>
      <c r="U121" s="173"/>
      <c r="V121" s="374">
        <v>0</v>
      </c>
      <c r="W121" s="475"/>
      <c r="X121" s="19"/>
      <c r="Y121" s="274"/>
      <c r="Z121" s="173"/>
      <c r="AA121" s="374">
        <v>0</v>
      </c>
      <c r="AB121" s="475"/>
      <c r="AC121" s="19"/>
      <c r="AD121" s="274"/>
      <c r="AE121" s="173"/>
      <c r="AF121" s="374">
        <v>0</v>
      </c>
      <c r="AG121" s="475"/>
      <c r="AH121" s="19"/>
      <c r="AI121" s="274"/>
      <c r="AJ121" s="173"/>
      <c r="AK121" s="374">
        <v>0</v>
      </c>
      <c r="AL121" s="475"/>
      <c r="AM121" s="19"/>
      <c r="AN121" s="274"/>
      <c r="AO121" s="173"/>
      <c r="AP121" s="374">
        <v>0</v>
      </c>
      <c r="AQ121" s="475"/>
      <c r="AR121" s="19"/>
      <c r="AS121" s="274"/>
      <c r="AT121" s="173"/>
      <c r="AU121" s="374">
        <v>0</v>
      </c>
      <c r="AV121" s="475"/>
      <c r="AW121" s="19"/>
      <c r="AX121" s="274"/>
      <c r="AY121" s="173"/>
      <c r="AZ121" s="374">
        <v>0</v>
      </c>
      <c r="BA121" s="475"/>
      <c r="BB121" s="19"/>
      <c r="BC121" s="274"/>
      <c r="BD121" s="173"/>
      <c r="BE121" s="374">
        <v>0</v>
      </c>
      <c r="BF121" s="475"/>
      <c r="BG121" s="19"/>
      <c r="BH121" s="274"/>
      <c r="BI121" s="173"/>
      <c r="BJ121" s="374">
        <v>0</v>
      </c>
      <c r="BK121" s="475"/>
      <c r="BL121" s="19"/>
      <c r="BM121" s="274"/>
      <c r="BN121" s="173"/>
      <c r="BO121" s="374">
        <v>0</v>
      </c>
      <c r="BP121" s="475"/>
      <c r="BQ121" s="19"/>
      <c r="BR121" s="274"/>
      <c r="BS121" s="173"/>
      <c r="BT121" s="374">
        <f>SUM(L121:BO121)</f>
        <v>0</v>
      </c>
      <c r="BU121" s="475"/>
      <c r="BV121" s="19"/>
      <c r="BW121" s="274"/>
      <c r="BX121" s="173"/>
      <c r="BY121" s="374">
        <f>SUM(Q121:BT121)</f>
        <v>0</v>
      </c>
      <c r="BZ121" s="475"/>
      <c r="CA121" s="19"/>
      <c r="CB121" s="274"/>
      <c r="CC121" s="173"/>
      <c r="CD121" s="374">
        <v>0</v>
      </c>
      <c r="CE121" s="475"/>
      <c r="CF121" s="19"/>
      <c r="CG121" s="274"/>
      <c r="CH121" s="173"/>
      <c r="CI121" s="374">
        <v>0</v>
      </c>
      <c r="CJ121" s="475"/>
      <c r="CK121" s="19"/>
      <c r="CL121" s="274"/>
      <c r="CM121" s="173"/>
      <c r="CN121" s="374">
        <v>0</v>
      </c>
      <c r="CO121" s="475"/>
      <c r="CP121" s="19"/>
      <c r="CQ121" s="274"/>
      <c r="CR121" s="173"/>
      <c r="CS121" s="374">
        <v>0</v>
      </c>
      <c r="CT121" s="475"/>
      <c r="CU121" s="19"/>
      <c r="CV121" s="274"/>
      <c r="CW121" s="173"/>
      <c r="CX121" s="374">
        <v>0</v>
      </c>
      <c r="CY121" s="475"/>
      <c r="CZ121" s="19"/>
      <c r="DA121" s="274"/>
      <c r="DB121" s="173"/>
      <c r="DC121" s="374">
        <v>0</v>
      </c>
      <c r="DD121" s="475"/>
      <c r="DE121" s="19"/>
      <c r="DF121" s="274"/>
      <c r="DG121" s="173"/>
      <c r="DH121" s="374">
        <v>0</v>
      </c>
      <c r="DI121" s="475"/>
      <c r="DJ121" s="19"/>
      <c r="DK121" s="274"/>
      <c r="DL121" s="173"/>
      <c r="DM121" s="374">
        <v>0</v>
      </c>
      <c r="DN121" s="475"/>
      <c r="DO121" s="19"/>
      <c r="DP121" s="274"/>
      <c r="DQ121" s="173"/>
      <c r="DR121" s="374">
        <v>0</v>
      </c>
      <c r="DS121" s="475"/>
      <c r="DT121" s="19"/>
      <c r="DU121" s="274"/>
      <c r="DV121" s="173"/>
      <c r="DW121" s="374">
        <v>0</v>
      </c>
      <c r="DX121" s="475"/>
      <c r="DY121" s="19"/>
      <c r="DZ121" s="274"/>
      <c r="EA121" s="173"/>
      <c r="EB121" s="374">
        <v>0</v>
      </c>
      <c r="EC121" s="475"/>
      <c r="ED121" s="19"/>
      <c r="EE121" s="274"/>
      <c r="EF121" s="173"/>
      <c r="EG121" s="374">
        <v>0</v>
      </c>
      <c r="EH121" s="475"/>
      <c r="EI121" s="19"/>
      <c r="EJ121" s="274"/>
      <c r="EK121" s="173"/>
      <c r="EL121" s="374">
        <f>SUM(CD121:EG121)</f>
        <v>0</v>
      </c>
      <c r="EM121" s="475"/>
      <c r="EN121" s="19"/>
      <c r="EO121" s="244"/>
      <c r="ER121" s="451"/>
      <c r="ES121" s="451"/>
    </row>
    <row r="122" spans="4:149" ht="12.75" hidden="1" customHeight="1" x14ac:dyDescent="0.2">
      <c r="D122" s="244" t="s">
        <v>346</v>
      </c>
      <c r="E122" s="274"/>
      <c r="F122" s="82"/>
      <c r="G122" s="19">
        <v>0</v>
      </c>
      <c r="H122" s="18"/>
      <c r="I122" s="19"/>
      <c r="J122" s="274"/>
      <c r="K122" s="274"/>
      <c r="L122" s="19">
        <v>0</v>
      </c>
      <c r="M122" s="18"/>
      <c r="N122" s="19"/>
      <c r="O122" s="274"/>
      <c r="P122" s="274"/>
      <c r="Q122" s="19">
        <v>0</v>
      </c>
      <c r="R122" s="18"/>
      <c r="S122" s="19"/>
      <c r="T122" s="274"/>
      <c r="U122" s="274"/>
      <c r="V122" s="19">
        <v>0</v>
      </c>
      <c r="W122" s="18"/>
      <c r="X122" s="19"/>
      <c r="Y122" s="274"/>
      <c r="Z122" s="274"/>
      <c r="AA122" s="19">
        <v>0</v>
      </c>
      <c r="AB122" s="18"/>
      <c r="AC122" s="19"/>
      <c r="AD122" s="274"/>
      <c r="AE122" s="274"/>
      <c r="AF122" s="19">
        <v>0</v>
      </c>
      <c r="AG122" s="18"/>
      <c r="AH122" s="19"/>
      <c r="AI122" s="274"/>
      <c r="AJ122" s="274"/>
      <c r="AK122" s="19">
        <v>0</v>
      </c>
      <c r="AL122" s="18"/>
      <c r="AM122" s="19"/>
      <c r="AN122" s="274"/>
      <c r="AO122" s="274"/>
      <c r="AP122" s="19">
        <v>0</v>
      </c>
      <c r="AQ122" s="18"/>
      <c r="AR122" s="19"/>
      <c r="AS122" s="274"/>
      <c r="AT122" s="274"/>
      <c r="AU122" s="19">
        <v>0</v>
      </c>
      <c r="AV122" s="18"/>
      <c r="AW122" s="19"/>
      <c r="AX122" s="274"/>
      <c r="AY122" s="274"/>
      <c r="AZ122" s="19">
        <v>0</v>
      </c>
      <c r="BA122" s="18"/>
      <c r="BB122" s="19"/>
      <c r="BC122" s="274"/>
      <c r="BD122" s="274"/>
      <c r="BE122" s="19">
        <v>0</v>
      </c>
      <c r="BF122" s="18"/>
      <c r="BG122" s="19"/>
      <c r="BH122" s="274"/>
      <c r="BI122" s="274"/>
      <c r="BJ122" s="19">
        <v>0</v>
      </c>
      <c r="BK122" s="18"/>
      <c r="BL122" s="19"/>
      <c r="BM122" s="274"/>
      <c r="BN122" s="274"/>
      <c r="BO122" s="19">
        <v>0</v>
      </c>
      <c r="BP122" s="18"/>
      <c r="BQ122" s="19"/>
      <c r="BR122" s="274"/>
      <c r="BS122" s="274"/>
      <c r="BT122" s="19">
        <f>SUM(L122:BO122)</f>
        <v>0</v>
      </c>
      <c r="BU122" s="18"/>
      <c r="BV122" s="19"/>
      <c r="BW122" s="274"/>
      <c r="BX122" s="274"/>
      <c r="BY122" s="19">
        <f>SUM(Q122:BT122)</f>
        <v>0</v>
      </c>
      <c r="BZ122" s="18"/>
      <c r="CA122" s="19"/>
      <c r="CB122" s="274"/>
      <c r="CC122" s="274"/>
      <c r="CD122" s="19">
        <v>0</v>
      </c>
      <c r="CE122" s="18"/>
      <c r="CF122" s="19"/>
      <c r="CG122" s="274"/>
      <c r="CH122" s="274"/>
      <c r="CI122" s="19">
        <v>0</v>
      </c>
      <c r="CJ122" s="18"/>
      <c r="CK122" s="19"/>
      <c r="CL122" s="274"/>
      <c r="CM122" s="274"/>
      <c r="CN122" s="19">
        <v>0</v>
      </c>
      <c r="CO122" s="18"/>
      <c r="CP122" s="19"/>
      <c r="CQ122" s="274"/>
      <c r="CR122" s="274"/>
      <c r="CS122" s="19">
        <v>0</v>
      </c>
      <c r="CT122" s="18"/>
      <c r="CU122" s="19"/>
      <c r="CV122" s="274"/>
      <c r="CW122" s="274"/>
      <c r="CX122" s="19">
        <v>0</v>
      </c>
      <c r="CY122" s="18"/>
      <c r="CZ122" s="19"/>
      <c r="DA122" s="274"/>
      <c r="DB122" s="274"/>
      <c r="DC122" s="19">
        <v>0</v>
      </c>
      <c r="DD122" s="18"/>
      <c r="DE122" s="19"/>
      <c r="DF122" s="274"/>
      <c r="DG122" s="274"/>
      <c r="DH122" s="19">
        <v>0</v>
      </c>
      <c r="DI122" s="18"/>
      <c r="DJ122" s="19"/>
      <c r="DK122" s="274"/>
      <c r="DL122" s="274"/>
      <c r="DM122" s="19">
        <v>0</v>
      </c>
      <c r="DN122" s="18"/>
      <c r="DO122" s="19"/>
      <c r="DP122" s="274"/>
      <c r="DQ122" s="274"/>
      <c r="DR122" s="19">
        <v>0</v>
      </c>
      <c r="DS122" s="18"/>
      <c r="DT122" s="19"/>
      <c r="DU122" s="274"/>
      <c r="DV122" s="274"/>
      <c r="DW122" s="19">
        <v>0</v>
      </c>
      <c r="DX122" s="18"/>
      <c r="DY122" s="19"/>
      <c r="DZ122" s="274"/>
      <c r="EA122" s="274"/>
      <c r="EB122" s="19">
        <v>0</v>
      </c>
      <c r="EC122" s="18"/>
      <c r="ED122" s="19"/>
      <c r="EE122" s="274"/>
      <c r="EF122" s="274"/>
      <c r="EG122" s="19">
        <v>0</v>
      </c>
      <c r="EH122" s="18"/>
      <c r="EI122" s="19"/>
      <c r="EJ122" s="274"/>
      <c r="EK122" s="274"/>
      <c r="EL122" s="19">
        <f>SUM(CD122:EG122)</f>
        <v>0</v>
      </c>
      <c r="EM122" s="18"/>
      <c r="EN122" s="19"/>
      <c r="EO122" s="244"/>
      <c r="ER122" s="451"/>
      <c r="ES122" s="451"/>
    </row>
    <row r="123" spans="4:149" ht="12.75" hidden="1" customHeight="1" x14ac:dyDescent="0.2">
      <c r="D123" s="244" t="s">
        <v>347</v>
      </c>
      <c r="E123" s="274"/>
      <c r="F123" s="82"/>
      <c r="G123" s="19">
        <v>0</v>
      </c>
      <c r="H123" s="18"/>
      <c r="I123" s="19"/>
      <c r="J123" s="274"/>
      <c r="K123" s="274"/>
      <c r="L123" s="19">
        <v>0</v>
      </c>
      <c r="M123" s="18"/>
      <c r="N123" s="19"/>
      <c r="O123" s="274"/>
      <c r="P123" s="274"/>
      <c r="Q123" s="19">
        <v>0</v>
      </c>
      <c r="R123" s="18"/>
      <c r="S123" s="19"/>
      <c r="T123" s="274"/>
      <c r="U123" s="274"/>
      <c r="V123" s="19">
        <v>0</v>
      </c>
      <c r="W123" s="18"/>
      <c r="X123" s="19"/>
      <c r="Y123" s="274"/>
      <c r="Z123" s="274"/>
      <c r="AA123" s="19">
        <v>0</v>
      </c>
      <c r="AB123" s="18"/>
      <c r="AC123" s="19"/>
      <c r="AD123" s="274"/>
      <c r="AE123" s="274"/>
      <c r="AF123" s="19">
        <v>0</v>
      </c>
      <c r="AG123" s="18"/>
      <c r="AH123" s="19"/>
      <c r="AI123" s="274"/>
      <c r="AJ123" s="274"/>
      <c r="AK123" s="19">
        <v>0</v>
      </c>
      <c r="AL123" s="18"/>
      <c r="AM123" s="19"/>
      <c r="AN123" s="274"/>
      <c r="AO123" s="274"/>
      <c r="AP123" s="19">
        <v>0</v>
      </c>
      <c r="AQ123" s="18"/>
      <c r="AR123" s="19"/>
      <c r="AS123" s="274"/>
      <c r="AT123" s="274"/>
      <c r="AU123" s="19">
        <v>0</v>
      </c>
      <c r="AV123" s="18"/>
      <c r="AW123" s="19"/>
      <c r="AX123" s="274"/>
      <c r="AY123" s="274"/>
      <c r="AZ123" s="19">
        <v>0</v>
      </c>
      <c r="BA123" s="18"/>
      <c r="BB123" s="19"/>
      <c r="BC123" s="274"/>
      <c r="BD123" s="274"/>
      <c r="BE123" s="19">
        <v>0</v>
      </c>
      <c r="BF123" s="18"/>
      <c r="BG123" s="19"/>
      <c r="BH123" s="274"/>
      <c r="BI123" s="274"/>
      <c r="BJ123" s="19">
        <v>0</v>
      </c>
      <c r="BK123" s="18"/>
      <c r="BL123" s="19"/>
      <c r="BM123" s="274"/>
      <c r="BN123" s="274"/>
      <c r="BO123" s="19">
        <v>0</v>
      </c>
      <c r="BP123" s="18"/>
      <c r="BQ123" s="19"/>
      <c r="BR123" s="274"/>
      <c r="BS123" s="274"/>
      <c r="BT123" s="19">
        <f>SUM(L123:BO123)</f>
        <v>0</v>
      </c>
      <c r="BU123" s="18"/>
      <c r="BV123" s="19"/>
      <c r="BW123" s="274"/>
      <c r="BX123" s="274"/>
      <c r="BY123" s="19">
        <f>SUM(Q123:BT123)</f>
        <v>0</v>
      </c>
      <c r="BZ123" s="18"/>
      <c r="CA123" s="19"/>
      <c r="CB123" s="274"/>
      <c r="CC123" s="274"/>
      <c r="CD123" s="19">
        <v>0</v>
      </c>
      <c r="CE123" s="18"/>
      <c r="CF123" s="19"/>
      <c r="CG123" s="274"/>
      <c r="CH123" s="274"/>
      <c r="CI123" s="19">
        <v>0</v>
      </c>
      <c r="CJ123" s="18"/>
      <c r="CK123" s="19"/>
      <c r="CL123" s="274"/>
      <c r="CM123" s="274"/>
      <c r="CN123" s="19">
        <v>0</v>
      </c>
      <c r="CO123" s="18"/>
      <c r="CP123" s="19"/>
      <c r="CQ123" s="274"/>
      <c r="CR123" s="274"/>
      <c r="CS123" s="19">
        <v>0</v>
      </c>
      <c r="CT123" s="18"/>
      <c r="CU123" s="19"/>
      <c r="CV123" s="274"/>
      <c r="CW123" s="274"/>
      <c r="CX123" s="19">
        <v>0</v>
      </c>
      <c r="CY123" s="18"/>
      <c r="CZ123" s="19"/>
      <c r="DA123" s="274"/>
      <c r="DB123" s="274"/>
      <c r="DC123" s="19">
        <v>0</v>
      </c>
      <c r="DD123" s="18"/>
      <c r="DE123" s="19"/>
      <c r="DF123" s="274"/>
      <c r="DG123" s="274"/>
      <c r="DH123" s="19">
        <v>0</v>
      </c>
      <c r="DI123" s="18"/>
      <c r="DJ123" s="19"/>
      <c r="DK123" s="274"/>
      <c r="DL123" s="274"/>
      <c r="DM123" s="19">
        <v>0</v>
      </c>
      <c r="DN123" s="18"/>
      <c r="DO123" s="19"/>
      <c r="DP123" s="274"/>
      <c r="DQ123" s="274"/>
      <c r="DR123" s="19">
        <v>0</v>
      </c>
      <c r="DS123" s="18"/>
      <c r="DT123" s="19"/>
      <c r="DU123" s="274"/>
      <c r="DV123" s="274"/>
      <c r="DW123" s="19">
        <v>0</v>
      </c>
      <c r="DX123" s="18"/>
      <c r="DY123" s="19"/>
      <c r="DZ123" s="274"/>
      <c r="EA123" s="274"/>
      <c r="EB123" s="19">
        <v>0</v>
      </c>
      <c r="EC123" s="18"/>
      <c r="ED123" s="19"/>
      <c r="EE123" s="274"/>
      <c r="EF123" s="274"/>
      <c r="EG123" s="19">
        <v>0</v>
      </c>
      <c r="EH123" s="18"/>
      <c r="EI123" s="19"/>
      <c r="EJ123" s="274"/>
      <c r="EK123" s="274"/>
      <c r="EL123" s="19">
        <f>SUM(CD123:EG123)</f>
        <v>0</v>
      </c>
      <c r="EM123" s="18"/>
      <c r="EN123" s="19"/>
      <c r="EO123" s="244"/>
      <c r="ER123" s="451"/>
      <c r="ES123" s="451"/>
    </row>
    <row r="124" spans="4:149" ht="12.75" hidden="1" customHeight="1" x14ac:dyDescent="0.2">
      <c r="D124" s="244" t="s">
        <v>348</v>
      </c>
      <c r="E124" s="274"/>
      <c r="F124" s="276"/>
      <c r="G124" s="37">
        <v>0</v>
      </c>
      <c r="H124" s="36"/>
      <c r="I124" s="19"/>
      <c r="J124" s="274"/>
      <c r="K124" s="231"/>
      <c r="L124" s="37">
        <v>0</v>
      </c>
      <c r="M124" s="36"/>
      <c r="N124" s="19"/>
      <c r="O124" s="274"/>
      <c r="P124" s="231"/>
      <c r="Q124" s="37">
        <v>0</v>
      </c>
      <c r="R124" s="36"/>
      <c r="S124" s="19"/>
      <c r="T124" s="274"/>
      <c r="U124" s="231"/>
      <c r="V124" s="37">
        <v>0</v>
      </c>
      <c r="W124" s="36"/>
      <c r="X124" s="19"/>
      <c r="Y124" s="274"/>
      <c r="Z124" s="231"/>
      <c r="AA124" s="37">
        <v>0</v>
      </c>
      <c r="AB124" s="36"/>
      <c r="AC124" s="19"/>
      <c r="AD124" s="274"/>
      <c r="AE124" s="231"/>
      <c r="AF124" s="37">
        <v>0</v>
      </c>
      <c r="AG124" s="36"/>
      <c r="AH124" s="19"/>
      <c r="AI124" s="274"/>
      <c r="AJ124" s="231"/>
      <c r="AK124" s="37">
        <v>0</v>
      </c>
      <c r="AL124" s="36"/>
      <c r="AM124" s="19"/>
      <c r="AN124" s="274"/>
      <c r="AO124" s="231"/>
      <c r="AP124" s="37">
        <v>0</v>
      </c>
      <c r="AQ124" s="36"/>
      <c r="AR124" s="19"/>
      <c r="AS124" s="274"/>
      <c r="AT124" s="231"/>
      <c r="AU124" s="37">
        <v>0</v>
      </c>
      <c r="AV124" s="36"/>
      <c r="AW124" s="19"/>
      <c r="AX124" s="274"/>
      <c r="AY124" s="231"/>
      <c r="AZ124" s="37">
        <v>0</v>
      </c>
      <c r="BA124" s="36"/>
      <c r="BB124" s="19"/>
      <c r="BC124" s="274"/>
      <c r="BD124" s="231"/>
      <c r="BE124" s="37">
        <v>0</v>
      </c>
      <c r="BF124" s="36"/>
      <c r="BG124" s="19"/>
      <c r="BH124" s="274"/>
      <c r="BI124" s="231"/>
      <c r="BJ124" s="37">
        <v>0</v>
      </c>
      <c r="BK124" s="36"/>
      <c r="BL124" s="19"/>
      <c r="BM124" s="274"/>
      <c r="BN124" s="231"/>
      <c r="BO124" s="37">
        <v>0</v>
      </c>
      <c r="BP124" s="36"/>
      <c r="BQ124" s="19"/>
      <c r="BR124" s="274"/>
      <c r="BS124" s="231"/>
      <c r="BT124" s="37">
        <f>SUM(L124:BO124)</f>
        <v>0</v>
      </c>
      <c r="BU124" s="36"/>
      <c r="BV124" s="19"/>
      <c r="BW124" s="274"/>
      <c r="BX124" s="231"/>
      <c r="BY124" s="37">
        <f>SUM(Q124:BT124)</f>
        <v>0</v>
      </c>
      <c r="BZ124" s="36"/>
      <c r="CA124" s="19"/>
      <c r="CB124" s="274"/>
      <c r="CC124" s="231"/>
      <c r="CD124" s="37">
        <v>0</v>
      </c>
      <c r="CE124" s="36"/>
      <c r="CF124" s="19"/>
      <c r="CG124" s="274"/>
      <c r="CH124" s="231"/>
      <c r="CI124" s="37">
        <v>0</v>
      </c>
      <c r="CJ124" s="36"/>
      <c r="CK124" s="19"/>
      <c r="CL124" s="274"/>
      <c r="CM124" s="231"/>
      <c r="CN124" s="37">
        <v>0</v>
      </c>
      <c r="CO124" s="36"/>
      <c r="CP124" s="19"/>
      <c r="CQ124" s="274"/>
      <c r="CR124" s="231"/>
      <c r="CS124" s="37">
        <v>0</v>
      </c>
      <c r="CT124" s="36"/>
      <c r="CU124" s="19"/>
      <c r="CV124" s="274"/>
      <c r="CW124" s="231"/>
      <c r="CX124" s="37">
        <v>0</v>
      </c>
      <c r="CY124" s="36"/>
      <c r="CZ124" s="19"/>
      <c r="DA124" s="274"/>
      <c r="DB124" s="231"/>
      <c r="DC124" s="37">
        <v>0</v>
      </c>
      <c r="DD124" s="36"/>
      <c r="DE124" s="19"/>
      <c r="DF124" s="274"/>
      <c r="DG124" s="231"/>
      <c r="DH124" s="37">
        <v>0</v>
      </c>
      <c r="DI124" s="36"/>
      <c r="DJ124" s="19"/>
      <c r="DK124" s="274"/>
      <c r="DL124" s="231"/>
      <c r="DM124" s="37">
        <v>0</v>
      </c>
      <c r="DN124" s="36"/>
      <c r="DO124" s="19"/>
      <c r="DP124" s="274"/>
      <c r="DQ124" s="231"/>
      <c r="DR124" s="37">
        <v>0</v>
      </c>
      <c r="DS124" s="36"/>
      <c r="DT124" s="19"/>
      <c r="DU124" s="274"/>
      <c r="DV124" s="231"/>
      <c r="DW124" s="37">
        <v>0</v>
      </c>
      <c r="DX124" s="36"/>
      <c r="DY124" s="19"/>
      <c r="DZ124" s="274"/>
      <c r="EA124" s="231"/>
      <c r="EB124" s="37">
        <v>0</v>
      </c>
      <c r="EC124" s="36"/>
      <c r="ED124" s="19"/>
      <c r="EE124" s="274"/>
      <c r="EF124" s="231"/>
      <c r="EG124" s="37">
        <v>0</v>
      </c>
      <c r="EH124" s="36"/>
      <c r="EI124" s="19"/>
      <c r="EJ124" s="274"/>
      <c r="EK124" s="231"/>
      <c r="EL124" s="37">
        <f>SUM(CD124:EG124)</f>
        <v>0</v>
      </c>
      <c r="EM124" s="36"/>
      <c r="EN124" s="19"/>
      <c r="EO124" s="244"/>
      <c r="ER124" s="451"/>
      <c r="ES124" s="451"/>
    </row>
    <row r="125" spans="4:149" ht="12.75" hidden="1" customHeight="1" x14ac:dyDescent="0.2">
      <c r="D125" s="244"/>
      <c r="E125" s="274"/>
      <c r="G125" s="19"/>
      <c r="H125" s="19"/>
      <c r="I125" s="19"/>
      <c r="J125" s="274"/>
      <c r="K125" s="19"/>
      <c r="L125" s="19"/>
      <c r="M125" s="19"/>
      <c r="N125" s="19"/>
      <c r="O125" s="274"/>
      <c r="P125" s="19"/>
      <c r="Q125" s="19"/>
      <c r="R125" s="19"/>
      <c r="S125" s="19"/>
      <c r="T125" s="274"/>
      <c r="U125" s="19"/>
      <c r="V125" s="19"/>
      <c r="W125" s="19"/>
      <c r="X125" s="19"/>
      <c r="Y125" s="274"/>
      <c r="Z125" s="19"/>
      <c r="AA125" s="19"/>
      <c r="AB125" s="19"/>
      <c r="AC125" s="19"/>
      <c r="AD125" s="274"/>
      <c r="AE125" s="19"/>
      <c r="AF125" s="19"/>
      <c r="AG125" s="19"/>
      <c r="AH125" s="19"/>
      <c r="AI125" s="274"/>
      <c r="AJ125" s="19"/>
      <c r="AK125" s="19"/>
      <c r="AL125" s="19"/>
      <c r="AM125" s="19"/>
      <c r="AN125" s="274"/>
      <c r="AO125" s="19"/>
      <c r="AP125" s="19"/>
      <c r="AQ125" s="19"/>
      <c r="AR125" s="19"/>
      <c r="AS125" s="274"/>
      <c r="AT125" s="19"/>
      <c r="AU125" s="19"/>
      <c r="AV125" s="19"/>
      <c r="AW125" s="19"/>
      <c r="AX125" s="274"/>
      <c r="AY125" s="19"/>
      <c r="AZ125" s="19"/>
      <c r="BA125" s="19"/>
      <c r="BB125" s="19"/>
      <c r="BC125" s="274"/>
      <c r="BD125" s="19"/>
      <c r="BE125" s="19"/>
      <c r="BF125" s="19"/>
      <c r="BG125" s="19"/>
      <c r="BH125" s="274"/>
      <c r="BI125" s="19"/>
      <c r="BJ125" s="19"/>
      <c r="BK125" s="19"/>
      <c r="BL125" s="19"/>
      <c r="BM125" s="274"/>
      <c r="BN125" s="19"/>
      <c r="BO125" s="19"/>
      <c r="BP125" s="19"/>
      <c r="BQ125" s="19"/>
      <c r="BR125" s="274"/>
      <c r="BS125" s="19"/>
      <c r="BT125" s="19"/>
      <c r="BU125" s="19"/>
      <c r="BV125" s="19"/>
      <c r="BW125" s="274"/>
      <c r="BX125" s="19"/>
      <c r="BY125" s="19"/>
      <c r="BZ125" s="19"/>
      <c r="CA125" s="19"/>
      <c r="CB125" s="274"/>
      <c r="CC125" s="19"/>
      <c r="CD125" s="19"/>
      <c r="CE125" s="19"/>
      <c r="CF125" s="19"/>
      <c r="CG125" s="274"/>
      <c r="CH125" s="19"/>
      <c r="CI125" s="19"/>
      <c r="CJ125" s="19"/>
      <c r="CK125" s="19"/>
      <c r="CL125" s="274"/>
      <c r="CM125" s="19"/>
      <c r="CN125" s="19"/>
      <c r="CO125" s="19"/>
      <c r="CP125" s="19"/>
      <c r="CQ125" s="274"/>
      <c r="CR125" s="19"/>
      <c r="CS125" s="19"/>
      <c r="CT125" s="19"/>
      <c r="CU125" s="19"/>
      <c r="CV125" s="274"/>
      <c r="CW125" s="19"/>
      <c r="CX125" s="19"/>
      <c r="CY125" s="19"/>
      <c r="CZ125" s="19"/>
      <c r="DA125" s="274"/>
      <c r="DB125" s="19"/>
      <c r="DC125" s="19"/>
      <c r="DD125" s="19"/>
      <c r="DE125" s="19"/>
      <c r="DF125" s="274"/>
      <c r="DG125" s="19"/>
      <c r="DH125" s="19"/>
      <c r="DI125" s="19"/>
      <c r="DJ125" s="19"/>
      <c r="DK125" s="274"/>
      <c r="DL125" s="19"/>
      <c r="DM125" s="19"/>
      <c r="DN125" s="19"/>
      <c r="DO125" s="19"/>
      <c r="DP125" s="274"/>
      <c r="DQ125" s="19"/>
      <c r="DR125" s="19"/>
      <c r="DS125" s="19"/>
      <c r="DT125" s="19"/>
      <c r="DU125" s="274"/>
      <c r="DV125" s="19"/>
      <c r="DW125" s="19"/>
      <c r="DX125" s="19"/>
      <c r="DY125" s="19"/>
      <c r="DZ125" s="274"/>
      <c r="EA125" s="19"/>
      <c r="EB125" s="19"/>
      <c r="EC125" s="19"/>
      <c r="ED125" s="19"/>
      <c r="EE125" s="274"/>
      <c r="EF125" s="19"/>
      <c r="EG125" s="19"/>
      <c r="EH125" s="19"/>
      <c r="EI125" s="19"/>
      <c r="EJ125" s="274"/>
      <c r="EK125" s="19"/>
      <c r="EL125" s="19"/>
      <c r="EM125" s="19"/>
      <c r="EN125" s="19"/>
      <c r="EO125" s="244"/>
      <c r="ER125" s="451"/>
      <c r="ES125" s="451"/>
    </row>
    <row r="126" spans="4:149" ht="12.75" hidden="1" customHeight="1" x14ac:dyDescent="0.2">
      <c r="D126" s="244" t="s">
        <v>368</v>
      </c>
      <c r="E126" s="274"/>
      <c r="G126" s="19">
        <f>SUM(G127:G130)</f>
        <v>0</v>
      </c>
      <c r="H126" s="19"/>
      <c r="I126" s="19"/>
      <c r="J126" s="274"/>
      <c r="K126" s="19"/>
      <c r="L126" s="19">
        <f>SUM(L127:L130)</f>
        <v>0</v>
      </c>
      <c r="M126" s="19"/>
      <c r="N126" s="19"/>
      <c r="O126" s="274"/>
      <c r="P126" s="19"/>
      <c r="Q126" s="19">
        <f>SUM(Q127:Q130)</f>
        <v>0</v>
      </c>
      <c r="R126" s="19"/>
      <c r="S126" s="19"/>
      <c r="T126" s="274"/>
      <c r="U126" s="19"/>
      <c r="V126" s="19">
        <f>SUM(V127:V130)</f>
        <v>0</v>
      </c>
      <c r="W126" s="19"/>
      <c r="X126" s="19"/>
      <c r="Y126" s="274"/>
      <c r="Z126" s="19"/>
      <c r="AA126" s="19">
        <f>SUM(AA127:AA130)</f>
        <v>0</v>
      </c>
      <c r="AB126" s="19"/>
      <c r="AC126" s="19"/>
      <c r="AD126" s="274"/>
      <c r="AE126" s="19"/>
      <c r="AF126" s="19">
        <f>SUM(AF127:AF130)</f>
        <v>0</v>
      </c>
      <c r="AG126" s="19"/>
      <c r="AH126" s="19"/>
      <c r="AI126" s="274"/>
      <c r="AJ126" s="19"/>
      <c r="AK126" s="19">
        <f>SUM(AK127:AK130)</f>
        <v>0</v>
      </c>
      <c r="AL126" s="19"/>
      <c r="AM126" s="19"/>
      <c r="AN126" s="274"/>
      <c r="AO126" s="19"/>
      <c r="AP126" s="19">
        <f>SUM(AP127:AP130)</f>
        <v>0</v>
      </c>
      <c r="AQ126" s="19"/>
      <c r="AR126" s="19"/>
      <c r="AS126" s="274"/>
      <c r="AT126" s="19"/>
      <c r="AU126" s="19">
        <f>SUM(AU127:AU130)</f>
        <v>0</v>
      </c>
      <c r="AV126" s="19"/>
      <c r="AW126" s="19"/>
      <c r="AX126" s="274"/>
      <c r="AY126" s="19"/>
      <c r="AZ126" s="19">
        <f>SUM(AZ127:AZ130)</f>
        <v>0</v>
      </c>
      <c r="BA126" s="19"/>
      <c r="BB126" s="19"/>
      <c r="BC126" s="274"/>
      <c r="BD126" s="19"/>
      <c r="BE126" s="19">
        <f>SUM(BE127:BE130)</f>
        <v>0</v>
      </c>
      <c r="BF126" s="19"/>
      <c r="BG126" s="19"/>
      <c r="BH126" s="274"/>
      <c r="BI126" s="19"/>
      <c r="BJ126" s="19">
        <f>SUM(BJ127:BJ130)</f>
        <v>0</v>
      </c>
      <c r="BK126" s="19"/>
      <c r="BL126" s="19"/>
      <c r="BM126" s="274"/>
      <c r="BN126" s="19"/>
      <c r="BO126" s="19">
        <f>SUM(BO127:BO130)</f>
        <v>0</v>
      </c>
      <c r="BP126" s="19"/>
      <c r="BQ126" s="19"/>
      <c r="BR126" s="274"/>
      <c r="BS126" s="19"/>
      <c r="BT126" s="19">
        <f>SUM(BT127:BT130)</f>
        <v>0</v>
      </c>
      <c r="BU126" s="19"/>
      <c r="BV126" s="19"/>
      <c r="BW126" s="274"/>
      <c r="BX126" s="19"/>
      <c r="BY126" s="19">
        <f>SUM(BY127:BY130)</f>
        <v>0</v>
      </c>
      <c r="BZ126" s="19"/>
      <c r="CA126" s="19"/>
      <c r="CB126" s="274"/>
      <c r="CC126" s="19"/>
      <c r="CD126" s="19">
        <f>SUM(CD127:CD130)</f>
        <v>0</v>
      </c>
      <c r="CE126" s="19"/>
      <c r="CF126" s="19"/>
      <c r="CG126" s="274"/>
      <c r="CH126" s="19"/>
      <c r="CI126" s="19">
        <f>SUM(CI127:CI130)</f>
        <v>0</v>
      </c>
      <c r="CJ126" s="19"/>
      <c r="CK126" s="19"/>
      <c r="CL126" s="274"/>
      <c r="CM126" s="19"/>
      <c r="CN126" s="19">
        <f>SUM(CN127:CN130)</f>
        <v>0</v>
      </c>
      <c r="CO126" s="19"/>
      <c r="CP126" s="19"/>
      <c r="CQ126" s="274"/>
      <c r="CR126" s="19"/>
      <c r="CS126" s="19">
        <f>SUM(CS127:CS130)</f>
        <v>0</v>
      </c>
      <c r="CT126" s="19"/>
      <c r="CU126" s="19"/>
      <c r="CV126" s="274"/>
      <c r="CW126" s="19"/>
      <c r="CX126" s="19">
        <f>SUM(CX127:CX130)</f>
        <v>0</v>
      </c>
      <c r="CY126" s="19"/>
      <c r="CZ126" s="19"/>
      <c r="DA126" s="274"/>
      <c r="DB126" s="19"/>
      <c r="DC126" s="19">
        <f>SUM(DC127:DC130)</f>
        <v>0</v>
      </c>
      <c r="DD126" s="19"/>
      <c r="DE126" s="19"/>
      <c r="DF126" s="274"/>
      <c r="DG126" s="19"/>
      <c r="DH126" s="19">
        <f>SUM(DH127:DH130)</f>
        <v>0</v>
      </c>
      <c r="DI126" s="19"/>
      <c r="DJ126" s="19"/>
      <c r="DK126" s="274"/>
      <c r="DL126" s="19"/>
      <c r="DM126" s="19">
        <f>SUM(DM127:DM130)</f>
        <v>0</v>
      </c>
      <c r="DN126" s="19"/>
      <c r="DO126" s="19"/>
      <c r="DP126" s="274"/>
      <c r="DQ126" s="19"/>
      <c r="DR126" s="19">
        <f>SUM(DR127:DR130)</f>
        <v>0</v>
      </c>
      <c r="DS126" s="19"/>
      <c r="DT126" s="19"/>
      <c r="DU126" s="274"/>
      <c r="DV126" s="19"/>
      <c r="DW126" s="19">
        <f>SUM(DW127:DW130)</f>
        <v>0</v>
      </c>
      <c r="DX126" s="19"/>
      <c r="DY126" s="19"/>
      <c r="DZ126" s="274"/>
      <c r="EA126" s="19"/>
      <c r="EB126" s="19">
        <f>SUM(EB127:EB130)</f>
        <v>0</v>
      </c>
      <c r="EC126" s="19"/>
      <c r="ED126" s="19"/>
      <c r="EE126" s="274"/>
      <c r="EF126" s="19"/>
      <c r="EG126" s="19">
        <f>SUM(EG127:EG130)</f>
        <v>0</v>
      </c>
      <c r="EH126" s="19"/>
      <c r="EI126" s="19"/>
      <c r="EJ126" s="274"/>
      <c r="EK126" s="19"/>
      <c r="EL126" s="19">
        <f>SUM(EL127:EL130)</f>
        <v>0</v>
      </c>
      <c r="EM126" s="19"/>
      <c r="EN126" s="19"/>
      <c r="EO126" s="244"/>
      <c r="ER126" s="451"/>
      <c r="ES126" s="451"/>
    </row>
    <row r="127" spans="4:149" ht="12.75" hidden="1" customHeight="1" x14ac:dyDescent="0.2">
      <c r="D127" s="244" t="s">
        <v>344</v>
      </c>
      <c r="E127" s="274"/>
      <c r="F127" s="112"/>
      <c r="G127" s="374">
        <v>0</v>
      </c>
      <c r="H127" s="475"/>
      <c r="I127" s="19"/>
      <c r="J127" s="274"/>
      <c r="K127" s="173"/>
      <c r="L127" s="374">
        <v>0</v>
      </c>
      <c r="M127" s="475"/>
      <c r="N127" s="19"/>
      <c r="O127" s="274"/>
      <c r="P127" s="173"/>
      <c r="Q127" s="374">
        <v>0</v>
      </c>
      <c r="R127" s="475"/>
      <c r="S127" s="19"/>
      <c r="T127" s="274"/>
      <c r="U127" s="173"/>
      <c r="V127" s="374">
        <v>0</v>
      </c>
      <c r="W127" s="475"/>
      <c r="X127" s="19"/>
      <c r="Y127" s="274"/>
      <c r="Z127" s="173"/>
      <c r="AA127" s="374">
        <v>0</v>
      </c>
      <c r="AB127" s="475"/>
      <c r="AC127" s="19"/>
      <c r="AD127" s="274"/>
      <c r="AE127" s="173"/>
      <c r="AF127" s="374">
        <v>0</v>
      </c>
      <c r="AG127" s="475"/>
      <c r="AH127" s="19"/>
      <c r="AI127" s="274"/>
      <c r="AJ127" s="173"/>
      <c r="AK127" s="374">
        <v>0</v>
      </c>
      <c r="AL127" s="475"/>
      <c r="AM127" s="19"/>
      <c r="AN127" s="274"/>
      <c r="AO127" s="173"/>
      <c r="AP127" s="374">
        <v>0</v>
      </c>
      <c r="AQ127" s="475"/>
      <c r="AR127" s="19"/>
      <c r="AS127" s="274"/>
      <c r="AT127" s="173"/>
      <c r="AU127" s="374">
        <v>0</v>
      </c>
      <c r="AV127" s="475"/>
      <c r="AW127" s="19"/>
      <c r="AX127" s="274"/>
      <c r="AY127" s="173"/>
      <c r="AZ127" s="374">
        <v>0</v>
      </c>
      <c r="BA127" s="475"/>
      <c r="BB127" s="19"/>
      <c r="BC127" s="274"/>
      <c r="BD127" s="173"/>
      <c r="BE127" s="374">
        <v>0</v>
      </c>
      <c r="BF127" s="475"/>
      <c r="BG127" s="19"/>
      <c r="BH127" s="274"/>
      <c r="BI127" s="173"/>
      <c r="BJ127" s="374">
        <v>0</v>
      </c>
      <c r="BK127" s="475"/>
      <c r="BL127" s="19"/>
      <c r="BM127" s="274"/>
      <c r="BN127" s="173"/>
      <c r="BO127" s="374">
        <v>0</v>
      </c>
      <c r="BP127" s="475"/>
      <c r="BQ127" s="19"/>
      <c r="BR127" s="274"/>
      <c r="BS127" s="173"/>
      <c r="BT127" s="374">
        <f>SUM(L127:BO127)</f>
        <v>0</v>
      </c>
      <c r="BU127" s="475"/>
      <c r="BV127" s="19"/>
      <c r="BW127" s="274"/>
      <c r="BX127" s="173"/>
      <c r="BY127" s="374">
        <v>0</v>
      </c>
      <c r="BZ127" s="475"/>
      <c r="CA127" s="19"/>
      <c r="CB127" s="274"/>
      <c r="CC127" s="173"/>
      <c r="CD127" s="374">
        <v>0</v>
      </c>
      <c r="CE127" s="475"/>
      <c r="CF127" s="19"/>
      <c r="CG127" s="274"/>
      <c r="CH127" s="173"/>
      <c r="CI127" s="374">
        <v>0</v>
      </c>
      <c r="CJ127" s="475"/>
      <c r="CK127" s="19"/>
      <c r="CL127" s="274"/>
      <c r="CM127" s="173"/>
      <c r="CN127" s="374">
        <v>0</v>
      </c>
      <c r="CO127" s="475"/>
      <c r="CP127" s="19"/>
      <c r="CQ127" s="274"/>
      <c r="CR127" s="173"/>
      <c r="CS127" s="374">
        <v>0</v>
      </c>
      <c r="CT127" s="475"/>
      <c r="CU127" s="19"/>
      <c r="CV127" s="274"/>
      <c r="CW127" s="173"/>
      <c r="CX127" s="374">
        <v>0</v>
      </c>
      <c r="CY127" s="475"/>
      <c r="CZ127" s="19"/>
      <c r="DA127" s="274"/>
      <c r="DB127" s="173"/>
      <c r="DC127" s="374">
        <v>0</v>
      </c>
      <c r="DD127" s="475"/>
      <c r="DE127" s="19"/>
      <c r="DF127" s="274"/>
      <c r="DG127" s="173"/>
      <c r="DH127" s="374">
        <v>0</v>
      </c>
      <c r="DI127" s="475"/>
      <c r="DJ127" s="19"/>
      <c r="DK127" s="274"/>
      <c r="DL127" s="173"/>
      <c r="DM127" s="374">
        <v>0</v>
      </c>
      <c r="DN127" s="475"/>
      <c r="DO127" s="19"/>
      <c r="DP127" s="274"/>
      <c r="DQ127" s="173"/>
      <c r="DR127" s="374">
        <v>0</v>
      </c>
      <c r="DS127" s="475"/>
      <c r="DT127" s="19"/>
      <c r="DU127" s="274"/>
      <c r="DV127" s="173"/>
      <c r="DW127" s="374">
        <v>0</v>
      </c>
      <c r="DX127" s="475"/>
      <c r="DY127" s="19"/>
      <c r="DZ127" s="274"/>
      <c r="EA127" s="173"/>
      <c r="EB127" s="374">
        <v>0</v>
      </c>
      <c r="EC127" s="475"/>
      <c r="ED127" s="19"/>
      <c r="EE127" s="274"/>
      <c r="EF127" s="173"/>
      <c r="EG127" s="374">
        <v>0</v>
      </c>
      <c r="EH127" s="475"/>
      <c r="EI127" s="19"/>
      <c r="EJ127" s="274"/>
      <c r="EK127" s="173"/>
      <c r="EL127" s="374">
        <f>SUM(CD127:DM127)</f>
        <v>0</v>
      </c>
      <c r="EM127" s="475"/>
      <c r="EN127" s="19"/>
      <c r="EO127" s="244"/>
      <c r="ER127" s="451"/>
      <c r="ES127" s="451"/>
    </row>
    <row r="128" spans="4:149" ht="12.75" hidden="1" customHeight="1" x14ac:dyDescent="0.2">
      <c r="D128" s="244" t="s">
        <v>346</v>
      </c>
      <c r="E128" s="274"/>
      <c r="F128" s="82"/>
      <c r="G128" s="19">
        <v>0</v>
      </c>
      <c r="H128" s="18"/>
      <c r="I128" s="19"/>
      <c r="J128" s="274"/>
      <c r="K128" s="274"/>
      <c r="L128" s="19">
        <v>0</v>
      </c>
      <c r="M128" s="18"/>
      <c r="N128" s="19"/>
      <c r="O128" s="274"/>
      <c r="P128" s="274"/>
      <c r="Q128" s="19">
        <v>0</v>
      </c>
      <c r="R128" s="18"/>
      <c r="S128" s="19"/>
      <c r="T128" s="274"/>
      <c r="U128" s="274"/>
      <c r="V128" s="19">
        <v>0</v>
      </c>
      <c r="W128" s="18"/>
      <c r="X128" s="19"/>
      <c r="Y128" s="274"/>
      <c r="Z128" s="274"/>
      <c r="AA128" s="19">
        <v>0</v>
      </c>
      <c r="AB128" s="18"/>
      <c r="AC128" s="19"/>
      <c r="AD128" s="274"/>
      <c r="AE128" s="274"/>
      <c r="AF128" s="19">
        <v>0</v>
      </c>
      <c r="AG128" s="18"/>
      <c r="AH128" s="19"/>
      <c r="AI128" s="274"/>
      <c r="AJ128" s="274"/>
      <c r="AK128" s="19">
        <v>0</v>
      </c>
      <c r="AL128" s="18"/>
      <c r="AM128" s="19"/>
      <c r="AN128" s="274"/>
      <c r="AO128" s="274"/>
      <c r="AP128" s="19">
        <v>0</v>
      </c>
      <c r="AQ128" s="18"/>
      <c r="AR128" s="19"/>
      <c r="AS128" s="274"/>
      <c r="AT128" s="274"/>
      <c r="AU128" s="19">
        <v>0</v>
      </c>
      <c r="AV128" s="18"/>
      <c r="AW128" s="19"/>
      <c r="AX128" s="274"/>
      <c r="AY128" s="274"/>
      <c r="AZ128" s="19">
        <v>0</v>
      </c>
      <c r="BA128" s="18"/>
      <c r="BB128" s="19"/>
      <c r="BC128" s="274"/>
      <c r="BD128" s="274"/>
      <c r="BE128" s="19">
        <v>0</v>
      </c>
      <c r="BF128" s="18"/>
      <c r="BG128" s="19"/>
      <c r="BH128" s="274"/>
      <c r="BI128" s="274"/>
      <c r="BJ128" s="19">
        <v>0</v>
      </c>
      <c r="BK128" s="18"/>
      <c r="BL128" s="19"/>
      <c r="BM128" s="274"/>
      <c r="BN128" s="274"/>
      <c r="BO128" s="19">
        <v>0</v>
      </c>
      <c r="BP128" s="18"/>
      <c r="BQ128" s="19"/>
      <c r="BR128" s="274"/>
      <c r="BS128" s="274"/>
      <c r="BT128" s="19">
        <f>SUM(L128:BO128)</f>
        <v>0</v>
      </c>
      <c r="BU128" s="18"/>
      <c r="BV128" s="19"/>
      <c r="BW128" s="274"/>
      <c r="BX128" s="274"/>
      <c r="BY128" s="19">
        <v>0</v>
      </c>
      <c r="BZ128" s="18"/>
      <c r="CA128" s="19"/>
      <c r="CB128" s="274"/>
      <c r="CC128" s="274"/>
      <c r="CD128" s="19">
        <v>0</v>
      </c>
      <c r="CE128" s="18"/>
      <c r="CF128" s="19"/>
      <c r="CG128" s="274"/>
      <c r="CH128" s="274"/>
      <c r="CI128" s="19">
        <v>0</v>
      </c>
      <c r="CJ128" s="18"/>
      <c r="CK128" s="19"/>
      <c r="CL128" s="274"/>
      <c r="CM128" s="274"/>
      <c r="CN128" s="19">
        <v>0</v>
      </c>
      <c r="CO128" s="18"/>
      <c r="CP128" s="19"/>
      <c r="CQ128" s="274"/>
      <c r="CR128" s="274"/>
      <c r="CS128" s="19">
        <v>0</v>
      </c>
      <c r="CT128" s="18"/>
      <c r="CU128" s="19"/>
      <c r="CV128" s="274"/>
      <c r="CW128" s="274"/>
      <c r="CX128" s="19">
        <v>0</v>
      </c>
      <c r="CY128" s="18"/>
      <c r="CZ128" s="19"/>
      <c r="DA128" s="274"/>
      <c r="DB128" s="274"/>
      <c r="DC128" s="19">
        <v>0</v>
      </c>
      <c r="DD128" s="18"/>
      <c r="DE128" s="19"/>
      <c r="DF128" s="274"/>
      <c r="DG128" s="274"/>
      <c r="DH128" s="19">
        <v>0</v>
      </c>
      <c r="DI128" s="18"/>
      <c r="DJ128" s="19"/>
      <c r="DK128" s="274"/>
      <c r="DL128" s="274"/>
      <c r="DM128" s="19">
        <v>0</v>
      </c>
      <c r="DN128" s="18"/>
      <c r="DO128" s="19"/>
      <c r="DP128" s="274"/>
      <c r="DQ128" s="274"/>
      <c r="DR128" s="19">
        <v>0</v>
      </c>
      <c r="DS128" s="18"/>
      <c r="DT128" s="19"/>
      <c r="DU128" s="274"/>
      <c r="DV128" s="274"/>
      <c r="DW128" s="19">
        <v>0</v>
      </c>
      <c r="DX128" s="18"/>
      <c r="DY128" s="19"/>
      <c r="DZ128" s="274"/>
      <c r="EA128" s="274"/>
      <c r="EB128" s="19">
        <v>0</v>
      </c>
      <c r="EC128" s="18"/>
      <c r="ED128" s="19"/>
      <c r="EE128" s="274"/>
      <c r="EF128" s="274"/>
      <c r="EG128" s="19">
        <v>0</v>
      </c>
      <c r="EH128" s="18"/>
      <c r="EI128" s="19"/>
      <c r="EJ128" s="274"/>
      <c r="EK128" s="274"/>
      <c r="EL128" s="19">
        <f>SUM(CD128:DM128)</f>
        <v>0</v>
      </c>
      <c r="EM128" s="18"/>
      <c r="EN128" s="19"/>
      <c r="EO128" s="244"/>
      <c r="ER128" s="451"/>
      <c r="ES128" s="451"/>
    </row>
    <row r="129" spans="4:149" ht="12.75" hidden="1" customHeight="1" x14ac:dyDescent="0.2">
      <c r="D129" s="244" t="s">
        <v>347</v>
      </c>
      <c r="E129" s="274"/>
      <c r="F129" s="82"/>
      <c r="G129" s="19">
        <v>0</v>
      </c>
      <c r="H129" s="18"/>
      <c r="I129" s="19"/>
      <c r="J129" s="274"/>
      <c r="K129" s="274"/>
      <c r="L129" s="19">
        <v>0</v>
      </c>
      <c r="M129" s="18"/>
      <c r="N129" s="19"/>
      <c r="O129" s="274"/>
      <c r="P129" s="274"/>
      <c r="Q129" s="19">
        <v>0</v>
      </c>
      <c r="R129" s="18"/>
      <c r="S129" s="19"/>
      <c r="T129" s="274"/>
      <c r="U129" s="274"/>
      <c r="V129" s="19">
        <v>0</v>
      </c>
      <c r="W129" s="18"/>
      <c r="X129" s="19"/>
      <c r="Y129" s="274"/>
      <c r="Z129" s="274"/>
      <c r="AA129" s="19">
        <v>0</v>
      </c>
      <c r="AB129" s="18"/>
      <c r="AC129" s="19"/>
      <c r="AD129" s="274"/>
      <c r="AE129" s="274"/>
      <c r="AF129" s="19">
        <v>0</v>
      </c>
      <c r="AG129" s="18"/>
      <c r="AH129" s="19"/>
      <c r="AI129" s="274"/>
      <c r="AJ129" s="274"/>
      <c r="AK129" s="19">
        <v>0</v>
      </c>
      <c r="AL129" s="18"/>
      <c r="AM129" s="19"/>
      <c r="AN129" s="274"/>
      <c r="AO129" s="274"/>
      <c r="AP129" s="19">
        <v>0</v>
      </c>
      <c r="AQ129" s="18"/>
      <c r="AR129" s="19"/>
      <c r="AS129" s="274"/>
      <c r="AT129" s="274"/>
      <c r="AU129" s="19">
        <v>0</v>
      </c>
      <c r="AV129" s="18"/>
      <c r="AW129" s="19"/>
      <c r="AX129" s="274"/>
      <c r="AY129" s="274"/>
      <c r="AZ129" s="19">
        <v>0</v>
      </c>
      <c r="BA129" s="18"/>
      <c r="BB129" s="19"/>
      <c r="BC129" s="274"/>
      <c r="BD129" s="274"/>
      <c r="BE129" s="19">
        <v>0</v>
      </c>
      <c r="BF129" s="18"/>
      <c r="BG129" s="19"/>
      <c r="BH129" s="274"/>
      <c r="BI129" s="274"/>
      <c r="BJ129" s="19">
        <v>0</v>
      </c>
      <c r="BK129" s="18"/>
      <c r="BL129" s="19"/>
      <c r="BM129" s="274"/>
      <c r="BN129" s="274"/>
      <c r="BO129" s="19">
        <v>0</v>
      </c>
      <c r="BP129" s="18"/>
      <c r="BQ129" s="19"/>
      <c r="BR129" s="274"/>
      <c r="BS129" s="274"/>
      <c r="BT129" s="19">
        <f>SUM(L129:BO129)</f>
        <v>0</v>
      </c>
      <c r="BU129" s="18"/>
      <c r="BV129" s="19"/>
      <c r="BW129" s="274"/>
      <c r="BX129" s="274"/>
      <c r="BY129" s="19">
        <v>0</v>
      </c>
      <c r="BZ129" s="18"/>
      <c r="CA129" s="19"/>
      <c r="CB129" s="274"/>
      <c r="CC129" s="274"/>
      <c r="CD129" s="19">
        <v>0</v>
      </c>
      <c r="CE129" s="18"/>
      <c r="CF129" s="19"/>
      <c r="CG129" s="274"/>
      <c r="CH129" s="274"/>
      <c r="CI129" s="19">
        <v>0</v>
      </c>
      <c r="CJ129" s="18"/>
      <c r="CK129" s="19"/>
      <c r="CL129" s="274"/>
      <c r="CM129" s="274"/>
      <c r="CN129" s="19">
        <v>0</v>
      </c>
      <c r="CO129" s="18"/>
      <c r="CP129" s="19"/>
      <c r="CQ129" s="274"/>
      <c r="CR129" s="274"/>
      <c r="CS129" s="19">
        <v>0</v>
      </c>
      <c r="CT129" s="18"/>
      <c r="CU129" s="19"/>
      <c r="CV129" s="274"/>
      <c r="CW129" s="274"/>
      <c r="CX129" s="19">
        <v>0</v>
      </c>
      <c r="CY129" s="18"/>
      <c r="CZ129" s="19"/>
      <c r="DA129" s="274"/>
      <c r="DB129" s="274"/>
      <c r="DC129" s="19">
        <v>0</v>
      </c>
      <c r="DD129" s="18"/>
      <c r="DE129" s="19"/>
      <c r="DF129" s="274"/>
      <c r="DG129" s="274"/>
      <c r="DH129" s="19">
        <v>0</v>
      </c>
      <c r="DI129" s="18"/>
      <c r="DJ129" s="19"/>
      <c r="DK129" s="274"/>
      <c r="DL129" s="274"/>
      <c r="DM129" s="19">
        <v>0</v>
      </c>
      <c r="DN129" s="18"/>
      <c r="DO129" s="19"/>
      <c r="DP129" s="274"/>
      <c r="DQ129" s="274"/>
      <c r="DR129" s="19">
        <v>0</v>
      </c>
      <c r="DS129" s="18"/>
      <c r="DT129" s="19"/>
      <c r="DU129" s="274"/>
      <c r="DV129" s="274"/>
      <c r="DW129" s="19">
        <v>0</v>
      </c>
      <c r="DX129" s="18"/>
      <c r="DY129" s="19"/>
      <c r="DZ129" s="274"/>
      <c r="EA129" s="274"/>
      <c r="EB129" s="19">
        <v>0</v>
      </c>
      <c r="EC129" s="18"/>
      <c r="ED129" s="19"/>
      <c r="EE129" s="274"/>
      <c r="EF129" s="274"/>
      <c r="EG129" s="19">
        <v>0</v>
      </c>
      <c r="EH129" s="18"/>
      <c r="EI129" s="19"/>
      <c r="EJ129" s="274"/>
      <c r="EK129" s="274"/>
      <c r="EL129" s="19">
        <f>SUM(CD129:DM129)</f>
        <v>0</v>
      </c>
      <c r="EM129" s="18"/>
      <c r="EN129" s="19"/>
      <c r="EO129" s="244"/>
      <c r="ER129" s="451"/>
      <c r="ES129" s="451"/>
    </row>
    <row r="130" spans="4:149" ht="12.75" hidden="1" customHeight="1" x14ac:dyDescent="0.2">
      <c r="D130" s="244" t="s">
        <v>348</v>
      </c>
      <c r="E130" s="274"/>
      <c r="F130" s="276"/>
      <c r="G130" s="37">
        <v>0</v>
      </c>
      <c r="H130" s="36"/>
      <c r="I130" s="19"/>
      <c r="J130" s="274"/>
      <c r="K130" s="231"/>
      <c r="L130" s="37">
        <v>0</v>
      </c>
      <c r="M130" s="36"/>
      <c r="N130" s="19"/>
      <c r="O130" s="274"/>
      <c r="P130" s="231"/>
      <c r="Q130" s="37">
        <v>0</v>
      </c>
      <c r="R130" s="36"/>
      <c r="S130" s="19"/>
      <c r="T130" s="274"/>
      <c r="U130" s="231"/>
      <c r="V130" s="37">
        <v>0</v>
      </c>
      <c r="W130" s="36"/>
      <c r="X130" s="19"/>
      <c r="Y130" s="274"/>
      <c r="Z130" s="231"/>
      <c r="AA130" s="37">
        <v>0</v>
      </c>
      <c r="AB130" s="36"/>
      <c r="AC130" s="19"/>
      <c r="AD130" s="274"/>
      <c r="AE130" s="231"/>
      <c r="AF130" s="37">
        <v>0</v>
      </c>
      <c r="AG130" s="36"/>
      <c r="AH130" s="19"/>
      <c r="AI130" s="274"/>
      <c r="AJ130" s="231"/>
      <c r="AK130" s="37">
        <v>0</v>
      </c>
      <c r="AL130" s="36"/>
      <c r="AM130" s="19"/>
      <c r="AN130" s="274"/>
      <c r="AO130" s="231"/>
      <c r="AP130" s="37">
        <v>0</v>
      </c>
      <c r="AQ130" s="36"/>
      <c r="AR130" s="19"/>
      <c r="AS130" s="274"/>
      <c r="AT130" s="231"/>
      <c r="AU130" s="37">
        <v>0</v>
      </c>
      <c r="AV130" s="36"/>
      <c r="AW130" s="19"/>
      <c r="AX130" s="274"/>
      <c r="AY130" s="231"/>
      <c r="AZ130" s="37">
        <v>0</v>
      </c>
      <c r="BA130" s="36"/>
      <c r="BB130" s="19"/>
      <c r="BC130" s="274"/>
      <c r="BD130" s="231"/>
      <c r="BE130" s="37">
        <v>0</v>
      </c>
      <c r="BF130" s="36"/>
      <c r="BG130" s="19"/>
      <c r="BH130" s="274"/>
      <c r="BI130" s="231"/>
      <c r="BJ130" s="37">
        <v>0</v>
      </c>
      <c r="BK130" s="36"/>
      <c r="BL130" s="19"/>
      <c r="BM130" s="274"/>
      <c r="BN130" s="231"/>
      <c r="BO130" s="37">
        <v>0</v>
      </c>
      <c r="BP130" s="36"/>
      <c r="BQ130" s="19"/>
      <c r="BR130" s="274"/>
      <c r="BS130" s="231"/>
      <c r="BT130" s="37">
        <f>SUM(L130:BO130)</f>
        <v>0</v>
      </c>
      <c r="BU130" s="36"/>
      <c r="BV130" s="19"/>
      <c r="BW130" s="274"/>
      <c r="BX130" s="231"/>
      <c r="BY130" s="37">
        <v>0</v>
      </c>
      <c r="BZ130" s="36"/>
      <c r="CA130" s="19"/>
      <c r="CB130" s="274"/>
      <c r="CC130" s="231"/>
      <c r="CD130" s="37">
        <v>0</v>
      </c>
      <c r="CE130" s="36"/>
      <c r="CF130" s="19"/>
      <c r="CG130" s="274"/>
      <c r="CH130" s="231"/>
      <c r="CI130" s="37">
        <v>0</v>
      </c>
      <c r="CJ130" s="36"/>
      <c r="CK130" s="19"/>
      <c r="CL130" s="274"/>
      <c r="CM130" s="231"/>
      <c r="CN130" s="37">
        <v>0</v>
      </c>
      <c r="CO130" s="36"/>
      <c r="CP130" s="19"/>
      <c r="CQ130" s="274"/>
      <c r="CR130" s="231"/>
      <c r="CS130" s="37">
        <v>0</v>
      </c>
      <c r="CT130" s="36"/>
      <c r="CU130" s="19"/>
      <c r="CV130" s="274"/>
      <c r="CW130" s="231"/>
      <c r="CX130" s="37">
        <v>0</v>
      </c>
      <c r="CY130" s="36"/>
      <c r="CZ130" s="19"/>
      <c r="DA130" s="274"/>
      <c r="DB130" s="231"/>
      <c r="DC130" s="37">
        <v>0</v>
      </c>
      <c r="DD130" s="36"/>
      <c r="DE130" s="19"/>
      <c r="DF130" s="274"/>
      <c r="DG130" s="231"/>
      <c r="DH130" s="37">
        <v>0</v>
      </c>
      <c r="DI130" s="36"/>
      <c r="DJ130" s="19"/>
      <c r="DK130" s="274"/>
      <c r="DL130" s="231"/>
      <c r="DM130" s="37">
        <v>0</v>
      </c>
      <c r="DN130" s="36"/>
      <c r="DO130" s="19"/>
      <c r="DP130" s="274"/>
      <c r="DQ130" s="231"/>
      <c r="DR130" s="37">
        <v>0</v>
      </c>
      <c r="DS130" s="36"/>
      <c r="DT130" s="19"/>
      <c r="DU130" s="274"/>
      <c r="DV130" s="231"/>
      <c r="DW130" s="37">
        <v>0</v>
      </c>
      <c r="DX130" s="36"/>
      <c r="DY130" s="19"/>
      <c r="DZ130" s="274"/>
      <c r="EA130" s="231"/>
      <c r="EB130" s="37">
        <v>0</v>
      </c>
      <c r="EC130" s="36"/>
      <c r="ED130" s="19"/>
      <c r="EE130" s="274"/>
      <c r="EF130" s="231"/>
      <c r="EG130" s="37">
        <v>0</v>
      </c>
      <c r="EH130" s="36"/>
      <c r="EI130" s="19"/>
      <c r="EJ130" s="274"/>
      <c r="EK130" s="231"/>
      <c r="EL130" s="37">
        <f>SUM(CD130:DM130)</f>
        <v>0</v>
      </c>
      <c r="EM130" s="36"/>
      <c r="EN130" s="19"/>
      <c r="EO130" s="244"/>
      <c r="ER130" s="451"/>
      <c r="ES130" s="451"/>
    </row>
    <row r="131" spans="4:149" ht="12.75" hidden="1" customHeight="1" x14ac:dyDescent="0.2">
      <c r="D131" s="244"/>
      <c r="E131" s="274"/>
      <c r="G131" s="19"/>
      <c r="H131" s="19"/>
      <c r="I131" s="19"/>
      <c r="J131" s="274"/>
      <c r="K131" s="19"/>
      <c r="L131" s="19"/>
      <c r="M131" s="19"/>
      <c r="N131" s="19"/>
      <c r="O131" s="274"/>
      <c r="P131" s="19"/>
      <c r="Q131" s="19"/>
      <c r="R131" s="19"/>
      <c r="S131" s="19"/>
      <c r="T131" s="274"/>
      <c r="U131" s="19"/>
      <c r="V131" s="19"/>
      <c r="W131" s="19"/>
      <c r="X131" s="19"/>
      <c r="Y131" s="274"/>
      <c r="Z131" s="19"/>
      <c r="AA131" s="19"/>
      <c r="AB131" s="19"/>
      <c r="AC131" s="19"/>
      <c r="AD131" s="274"/>
      <c r="AE131" s="19"/>
      <c r="AF131" s="19"/>
      <c r="AG131" s="19"/>
      <c r="AH131" s="19"/>
      <c r="AI131" s="274"/>
      <c r="AJ131" s="19"/>
      <c r="AK131" s="19"/>
      <c r="AL131" s="19"/>
      <c r="AM131" s="19"/>
      <c r="AN131" s="274"/>
      <c r="AO131" s="19"/>
      <c r="AP131" s="19"/>
      <c r="AQ131" s="19"/>
      <c r="AR131" s="19"/>
      <c r="AS131" s="274"/>
      <c r="AT131" s="19"/>
      <c r="AU131" s="19"/>
      <c r="AV131" s="19"/>
      <c r="AW131" s="19"/>
      <c r="AX131" s="274"/>
      <c r="AY131" s="19"/>
      <c r="AZ131" s="19"/>
      <c r="BA131" s="19"/>
      <c r="BB131" s="19"/>
      <c r="BC131" s="274"/>
      <c r="BD131" s="19"/>
      <c r="BE131" s="19"/>
      <c r="BF131" s="19"/>
      <c r="BG131" s="19"/>
      <c r="BH131" s="274"/>
      <c r="BI131" s="19"/>
      <c r="BJ131" s="19"/>
      <c r="BK131" s="19"/>
      <c r="BL131" s="19"/>
      <c r="BM131" s="274"/>
      <c r="BN131" s="19"/>
      <c r="BO131" s="19"/>
      <c r="BP131" s="19"/>
      <c r="BQ131" s="19"/>
      <c r="BR131" s="274"/>
      <c r="BS131" s="19"/>
      <c r="BT131" s="19"/>
      <c r="BU131" s="19"/>
      <c r="BV131" s="19"/>
      <c r="BW131" s="274"/>
      <c r="BX131" s="19"/>
      <c r="BY131" s="19"/>
      <c r="BZ131" s="19"/>
      <c r="CA131" s="19"/>
      <c r="CB131" s="274"/>
      <c r="CC131" s="19"/>
      <c r="CD131" s="19"/>
      <c r="CE131" s="19"/>
      <c r="CF131" s="19"/>
      <c r="CG131" s="274"/>
      <c r="CH131" s="19"/>
      <c r="CI131" s="19"/>
      <c r="CJ131" s="19"/>
      <c r="CK131" s="19"/>
      <c r="CL131" s="274"/>
      <c r="CM131" s="19"/>
      <c r="CN131" s="19"/>
      <c r="CO131" s="19"/>
      <c r="CP131" s="19"/>
      <c r="CQ131" s="274"/>
      <c r="CR131" s="19"/>
      <c r="CS131" s="19"/>
      <c r="CT131" s="19"/>
      <c r="CU131" s="19"/>
      <c r="CV131" s="274"/>
      <c r="CW131" s="19"/>
      <c r="CX131" s="19"/>
      <c r="CY131" s="19"/>
      <c r="CZ131" s="19"/>
      <c r="DA131" s="274"/>
      <c r="DB131" s="19"/>
      <c r="DC131" s="19"/>
      <c r="DD131" s="19"/>
      <c r="DE131" s="19"/>
      <c r="DF131" s="274"/>
      <c r="DG131" s="19"/>
      <c r="DH131" s="19"/>
      <c r="DI131" s="19"/>
      <c r="DJ131" s="19"/>
      <c r="DK131" s="274"/>
      <c r="DL131" s="19"/>
      <c r="DM131" s="19"/>
      <c r="DN131" s="19"/>
      <c r="DO131" s="19"/>
      <c r="DP131" s="274"/>
      <c r="DQ131" s="19"/>
      <c r="DR131" s="19"/>
      <c r="DS131" s="19"/>
      <c r="DT131" s="19"/>
      <c r="DU131" s="274"/>
      <c r="DV131" s="19"/>
      <c r="DW131" s="19"/>
      <c r="DX131" s="19"/>
      <c r="DY131" s="19"/>
      <c r="DZ131" s="274"/>
      <c r="EA131" s="19"/>
      <c r="EB131" s="19"/>
      <c r="EC131" s="19"/>
      <c r="ED131" s="19"/>
      <c r="EE131" s="274"/>
      <c r="EF131" s="19"/>
      <c r="EG131" s="19"/>
      <c r="EH131" s="19"/>
      <c r="EI131" s="19"/>
      <c r="EJ131" s="274"/>
      <c r="EK131" s="19"/>
      <c r="EL131" s="19"/>
      <c r="EM131" s="19"/>
      <c r="EN131" s="19"/>
      <c r="EO131" s="244"/>
      <c r="ER131" s="451"/>
      <c r="ES131" s="451"/>
    </row>
    <row r="132" spans="4:149" ht="12.75" customHeight="1" x14ac:dyDescent="0.2">
      <c r="D132" s="244" t="s">
        <v>369</v>
      </c>
      <c r="E132" s="274"/>
      <c r="G132" s="19">
        <f>SUM(G133:G136)</f>
        <v>0</v>
      </c>
      <c r="H132" s="19"/>
      <c r="I132" s="19"/>
      <c r="J132" s="274"/>
      <c r="K132" s="19"/>
      <c r="L132" s="19">
        <f>SUM(L133:L136)</f>
        <v>2291175</v>
      </c>
      <c r="M132" s="19"/>
      <c r="N132" s="19"/>
      <c r="O132" s="274"/>
      <c r="P132" s="19"/>
      <c r="Q132" s="19">
        <f>SUM(Q133:Q136)</f>
        <v>0</v>
      </c>
      <c r="R132" s="19"/>
      <c r="S132" s="19"/>
      <c r="T132" s="274"/>
      <c r="U132" s="19"/>
      <c r="V132" s="19">
        <f>SUM(V133:V136)</f>
        <v>0</v>
      </c>
      <c r="W132" s="19"/>
      <c r="X132" s="19"/>
      <c r="Y132" s="274"/>
      <c r="Z132" s="19"/>
      <c r="AA132" s="19">
        <f>SUM(AA133:AA136)</f>
        <v>0</v>
      </c>
      <c r="AB132" s="19"/>
      <c r="AC132" s="19"/>
      <c r="AD132" s="274"/>
      <c r="AE132" s="19"/>
      <c r="AF132" s="19">
        <f>SUM(AF133:AF136)</f>
        <v>0</v>
      </c>
      <c r="AG132" s="19"/>
      <c r="AH132" s="19"/>
      <c r="AI132" s="274"/>
      <c r="AJ132" s="19"/>
      <c r="AK132" s="19">
        <f>SUM(AK133:AK136)</f>
        <v>0</v>
      </c>
      <c r="AL132" s="19"/>
      <c r="AM132" s="19"/>
      <c r="AN132" s="274"/>
      <c r="AO132" s="19"/>
      <c r="AP132" s="19">
        <f>SUM(AP133:AP136)</f>
        <v>0</v>
      </c>
      <c r="AQ132" s="19"/>
      <c r="AR132" s="19"/>
      <c r="AS132" s="274"/>
      <c r="AT132" s="19"/>
      <c r="AU132" s="19">
        <f>SUM(AU133:AU136)</f>
        <v>0</v>
      </c>
      <c r="AV132" s="19"/>
      <c r="AW132" s="19"/>
      <c r="AX132" s="274"/>
      <c r="AY132" s="19"/>
      <c r="AZ132" s="19">
        <f>SUM(AZ133:AZ136)</f>
        <v>0</v>
      </c>
      <c r="BA132" s="19"/>
      <c r="BB132" s="19"/>
      <c r="BC132" s="274"/>
      <c r="BD132" s="19"/>
      <c r="BE132" s="19">
        <f>SUM(BE133:BE136)</f>
        <v>0</v>
      </c>
      <c r="BF132" s="19"/>
      <c r="BG132" s="19"/>
      <c r="BH132" s="274"/>
      <c r="BI132" s="19"/>
      <c r="BJ132" s="19">
        <f>SUM(BJ133:BJ136)</f>
        <v>0</v>
      </c>
      <c r="BK132" s="19"/>
      <c r="BL132" s="19"/>
      <c r="BM132" s="274"/>
      <c r="BN132" s="19"/>
      <c r="BO132" s="19">
        <f>SUM(BO133:BO136)</f>
        <v>0</v>
      </c>
      <c r="BP132" s="19"/>
      <c r="BQ132" s="19"/>
      <c r="BR132" s="274"/>
      <c r="BS132" s="19"/>
      <c r="BT132" s="19">
        <f>SUM(BT133:BT136)</f>
        <v>2291175</v>
      </c>
      <c r="BU132" s="19"/>
      <c r="BV132" s="19"/>
      <c r="BW132" s="274"/>
      <c r="BX132" s="19"/>
      <c r="BY132" s="19">
        <f>SUM(BY133:BY136)</f>
        <v>0</v>
      </c>
      <c r="BZ132" s="19"/>
      <c r="CA132" s="19"/>
      <c r="CB132" s="274"/>
      <c r="CC132" s="19"/>
      <c r="CD132" s="19">
        <f>SUM(CD133:CD136)</f>
        <v>0</v>
      </c>
      <c r="CE132" s="19"/>
      <c r="CF132" s="19"/>
      <c r="CG132" s="274"/>
      <c r="CH132" s="19"/>
      <c r="CI132" s="19">
        <f>SUM(CI133:CI136)</f>
        <v>0</v>
      </c>
      <c r="CJ132" s="19"/>
      <c r="CK132" s="19"/>
      <c r="CL132" s="274"/>
      <c r="CM132" s="19"/>
      <c r="CN132" s="19">
        <f>SUM(CN133:CN136)</f>
        <v>0</v>
      </c>
      <c r="CO132" s="19"/>
      <c r="CP132" s="19"/>
      <c r="CQ132" s="274"/>
      <c r="CR132" s="19"/>
      <c r="CS132" s="19">
        <f>SUM(CS133:CS136)</f>
        <v>0</v>
      </c>
      <c r="CT132" s="19"/>
      <c r="CU132" s="19"/>
      <c r="CV132" s="274"/>
      <c r="CW132" s="19"/>
      <c r="CX132" s="19">
        <f>SUM(CX133:CX136)</f>
        <v>0</v>
      </c>
      <c r="CY132" s="19"/>
      <c r="CZ132" s="19"/>
      <c r="DA132" s="274"/>
      <c r="DB132" s="19"/>
      <c r="DC132" s="19">
        <f>SUM(DC133:DC136)</f>
        <v>0</v>
      </c>
      <c r="DD132" s="19"/>
      <c r="DE132" s="19"/>
      <c r="DF132" s="274"/>
      <c r="DG132" s="19"/>
      <c r="DH132" s="19">
        <f>SUM(DH133:DH136)</f>
        <v>0</v>
      </c>
      <c r="DI132" s="19"/>
      <c r="DJ132" s="19"/>
      <c r="DK132" s="274"/>
      <c r="DL132" s="19"/>
      <c r="DM132" s="19">
        <f>SUM(DM133:DM136)</f>
        <v>0</v>
      </c>
      <c r="DN132" s="19"/>
      <c r="DO132" s="19"/>
      <c r="DP132" s="274"/>
      <c r="DQ132" s="19"/>
      <c r="DR132" s="19">
        <f>SUM(DR133:DR136)</f>
        <v>0</v>
      </c>
      <c r="DS132" s="19"/>
      <c r="DT132" s="19"/>
      <c r="DU132" s="274"/>
      <c r="DV132" s="19"/>
      <c r="DW132" s="19">
        <f>SUM(DW133:DW136)</f>
        <v>0</v>
      </c>
      <c r="DX132" s="19"/>
      <c r="DY132" s="19"/>
      <c r="DZ132" s="274"/>
      <c r="EA132" s="19"/>
      <c r="EB132" s="19">
        <f>SUM(EB133:EB136)</f>
        <v>0</v>
      </c>
      <c r="EC132" s="19"/>
      <c r="ED132" s="19"/>
      <c r="EE132" s="274"/>
      <c r="EF132" s="19"/>
      <c r="EG132" s="19">
        <f>SUM(EG133:EG136)</f>
        <v>0</v>
      </c>
      <c r="EH132" s="19"/>
      <c r="EI132" s="19"/>
      <c r="EJ132" s="274"/>
      <c r="EK132" s="19"/>
      <c r="EL132" s="19">
        <f>SUM(EL133:EL136)</f>
        <v>0</v>
      </c>
      <c r="EM132" s="19"/>
      <c r="EN132" s="19"/>
      <c r="EO132" s="244"/>
      <c r="ER132" s="451"/>
      <c r="ES132" s="451"/>
    </row>
    <row r="133" spans="4:149" ht="12.75" customHeight="1" x14ac:dyDescent="0.2">
      <c r="D133" s="244" t="s">
        <v>344</v>
      </c>
      <c r="E133" s="274"/>
      <c r="F133" s="112"/>
      <c r="G133" s="374">
        <v>0</v>
      </c>
      <c r="H133" s="475"/>
      <c r="I133" s="19"/>
      <c r="J133" s="274"/>
      <c r="K133" s="112"/>
      <c r="L133" s="374">
        <f>1410000-18467+4648</f>
        <v>1396181</v>
      </c>
      <c r="M133" s="475"/>
      <c r="N133" s="19"/>
      <c r="O133" s="274"/>
      <c r="P133" s="173"/>
      <c r="Q133" s="374">
        <v>0</v>
      </c>
      <c r="R133" s="475"/>
      <c r="S133" s="19"/>
      <c r="T133" s="274"/>
      <c r="U133" s="173"/>
      <c r="V133" s="374">
        <v>0</v>
      </c>
      <c r="W133" s="475"/>
      <c r="X133" s="19"/>
      <c r="Y133" s="274"/>
      <c r="Z133" s="173"/>
      <c r="AA133" s="374">
        <v>0</v>
      </c>
      <c r="AB133" s="475"/>
      <c r="AC133" s="19"/>
      <c r="AD133" s="274"/>
      <c r="AE133" s="173"/>
      <c r="AF133" s="374">
        <v>0</v>
      </c>
      <c r="AG133" s="475"/>
      <c r="AH133" s="19"/>
      <c r="AI133" s="274"/>
      <c r="AJ133" s="173"/>
      <c r="AK133" s="374">
        <v>0</v>
      </c>
      <c r="AL133" s="475"/>
      <c r="AM133" s="19"/>
      <c r="AN133" s="274"/>
      <c r="AO133" s="173"/>
      <c r="AP133" s="374">
        <v>0</v>
      </c>
      <c r="AQ133" s="475"/>
      <c r="AR133" s="19"/>
      <c r="AS133" s="274"/>
      <c r="AT133" s="173"/>
      <c r="AU133" s="374">
        <v>0</v>
      </c>
      <c r="AV133" s="475"/>
      <c r="AW133" s="19"/>
      <c r="AX133" s="274"/>
      <c r="AY133" s="173"/>
      <c r="AZ133" s="374">
        <v>0</v>
      </c>
      <c r="BA133" s="475"/>
      <c r="BB133" s="19"/>
      <c r="BC133" s="274"/>
      <c r="BD133" s="173"/>
      <c r="BE133" s="374">
        <v>0</v>
      </c>
      <c r="BF133" s="475"/>
      <c r="BG133" s="19"/>
      <c r="BH133" s="274"/>
      <c r="BI133" s="173"/>
      <c r="BJ133" s="374">
        <v>0</v>
      </c>
      <c r="BK133" s="475"/>
      <c r="BL133" s="19"/>
      <c r="BM133" s="274"/>
      <c r="BN133" s="173"/>
      <c r="BO133" s="374">
        <v>0</v>
      </c>
      <c r="BP133" s="475"/>
      <c r="BQ133" s="19"/>
      <c r="BR133" s="274"/>
      <c r="BS133" s="173"/>
      <c r="BT133" s="374">
        <f>SUM(L133:BO133)</f>
        <v>1396181</v>
      </c>
      <c r="BU133" s="475"/>
      <c r="BV133" s="19"/>
      <c r="BW133" s="274"/>
      <c r="BX133" s="173"/>
      <c r="BY133" s="374">
        <v>0</v>
      </c>
      <c r="BZ133" s="475"/>
      <c r="CA133" s="19"/>
      <c r="CB133" s="274"/>
      <c r="CC133" s="112"/>
      <c r="CD133" s="374">
        <v>0</v>
      </c>
      <c r="CE133" s="475"/>
      <c r="CF133" s="19"/>
      <c r="CG133" s="274"/>
      <c r="CH133" s="173"/>
      <c r="CI133" s="374">
        <v>0</v>
      </c>
      <c r="CJ133" s="475"/>
      <c r="CK133" s="19"/>
      <c r="CL133" s="274"/>
      <c r="CM133" s="173"/>
      <c r="CN133" s="374">
        <v>0</v>
      </c>
      <c r="CO133" s="475"/>
      <c r="CP133" s="19"/>
      <c r="CQ133" s="274"/>
      <c r="CR133" s="173"/>
      <c r="CS133" s="374">
        <v>0</v>
      </c>
      <c r="CT133" s="475"/>
      <c r="CU133" s="19"/>
      <c r="CV133" s="274"/>
      <c r="CW133" s="173"/>
      <c r="CX133" s="374">
        <v>0</v>
      </c>
      <c r="CY133" s="475"/>
      <c r="CZ133" s="19"/>
      <c r="DA133" s="274"/>
      <c r="DB133" s="173"/>
      <c r="DC133" s="374">
        <v>0</v>
      </c>
      <c r="DD133" s="475"/>
      <c r="DE133" s="19"/>
      <c r="DF133" s="274"/>
      <c r="DG133" s="173"/>
      <c r="DH133" s="374">
        <v>0</v>
      </c>
      <c r="DI133" s="475"/>
      <c r="DJ133" s="19"/>
      <c r="DK133" s="274"/>
      <c r="DL133" s="173"/>
      <c r="DM133" s="374">
        <v>0</v>
      </c>
      <c r="DN133" s="475"/>
      <c r="DO133" s="19"/>
      <c r="DP133" s="274"/>
      <c r="DQ133" s="173"/>
      <c r="DR133" s="374">
        <v>0</v>
      </c>
      <c r="DS133" s="475"/>
      <c r="DT133" s="19"/>
      <c r="DU133" s="274"/>
      <c r="DV133" s="173"/>
      <c r="DW133" s="374">
        <v>0</v>
      </c>
      <c r="DX133" s="475"/>
      <c r="DY133" s="19"/>
      <c r="DZ133" s="274"/>
      <c r="EA133" s="173"/>
      <c r="EB133" s="374">
        <v>0</v>
      </c>
      <c r="EC133" s="475"/>
      <c r="ED133" s="19"/>
      <c r="EE133" s="274"/>
      <c r="EF133" s="173"/>
      <c r="EG133" s="374">
        <v>0</v>
      </c>
      <c r="EH133" s="475"/>
      <c r="EI133" s="19"/>
      <c r="EJ133" s="274"/>
      <c r="EK133" s="173"/>
      <c r="EL133" s="374">
        <f>SUM(CD133:EG133)</f>
        <v>0</v>
      </c>
      <c r="EM133" s="475"/>
      <c r="EN133" s="19"/>
      <c r="EO133" s="244"/>
      <c r="ER133" s="451"/>
      <c r="ES133" s="451"/>
    </row>
    <row r="134" spans="4:149" ht="12.75" customHeight="1" x14ac:dyDescent="0.2">
      <c r="D134" s="244" t="s">
        <v>346</v>
      </c>
      <c r="E134" s="274"/>
      <c r="F134" s="82"/>
      <c r="G134" s="19">
        <v>0</v>
      </c>
      <c r="H134" s="18"/>
      <c r="I134" s="19"/>
      <c r="J134" s="274"/>
      <c r="K134" s="82"/>
      <c r="L134" s="19">
        <v>18467</v>
      </c>
      <c r="M134" s="18"/>
      <c r="N134" s="19"/>
      <c r="O134" s="274"/>
      <c r="P134" s="274"/>
      <c r="Q134" s="19">
        <v>0</v>
      </c>
      <c r="R134" s="18"/>
      <c r="S134" s="19"/>
      <c r="T134" s="274"/>
      <c r="U134" s="274"/>
      <c r="V134" s="19">
        <v>0</v>
      </c>
      <c r="W134" s="18"/>
      <c r="X134" s="19"/>
      <c r="Y134" s="274"/>
      <c r="Z134" s="274"/>
      <c r="AA134" s="19">
        <v>0</v>
      </c>
      <c r="AB134" s="18"/>
      <c r="AC134" s="19"/>
      <c r="AD134" s="274"/>
      <c r="AE134" s="274"/>
      <c r="AF134" s="19">
        <v>0</v>
      </c>
      <c r="AG134" s="18"/>
      <c r="AH134" s="19"/>
      <c r="AI134" s="274"/>
      <c r="AJ134" s="274"/>
      <c r="AK134" s="19">
        <v>0</v>
      </c>
      <c r="AL134" s="18"/>
      <c r="AM134" s="19"/>
      <c r="AN134" s="274"/>
      <c r="AO134" s="274"/>
      <c r="AP134" s="19">
        <v>0</v>
      </c>
      <c r="AQ134" s="18"/>
      <c r="AR134" s="19"/>
      <c r="AS134" s="274"/>
      <c r="AT134" s="274"/>
      <c r="AU134" s="19">
        <v>0</v>
      </c>
      <c r="AV134" s="18"/>
      <c r="AW134" s="19"/>
      <c r="AX134" s="274"/>
      <c r="AY134" s="274"/>
      <c r="AZ134" s="19">
        <v>0</v>
      </c>
      <c r="BA134" s="18"/>
      <c r="BB134" s="19"/>
      <c r="BC134" s="274"/>
      <c r="BD134" s="274"/>
      <c r="BE134" s="19">
        <v>0</v>
      </c>
      <c r="BF134" s="18"/>
      <c r="BG134" s="19"/>
      <c r="BH134" s="274"/>
      <c r="BI134" s="274"/>
      <c r="BJ134" s="19">
        <v>0</v>
      </c>
      <c r="BK134" s="18"/>
      <c r="BL134" s="19"/>
      <c r="BM134" s="274"/>
      <c r="BN134" s="274"/>
      <c r="BO134" s="19">
        <v>0</v>
      </c>
      <c r="BP134" s="18"/>
      <c r="BQ134" s="19"/>
      <c r="BR134" s="274"/>
      <c r="BS134" s="274"/>
      <c r="BT134" s="19">
        <f>SUM(L134:BO134)</f>
        <v>18467</v>
      </c>
      <c r="BU134" s="18"/>
      <c r="BV134" s="19"/>
      <c r="BW134" s="274"/>
      <c r="BX134" s="274"/>
      <c r="BY134" s="19">
        <v>0</v>
      </c>
      <c r="BZ134" s="18"/>
      <c r="CA134" s="19"/>
      <c r="CB134" s="274"/>
      <c r="CC134" s="82"/>
      <c r="CD134" s="19">
        <v>0</v>
      </c>
      <c r="CE134" s="18"/>
      <c r="CF134" s="19"/>
      <c r="CG134" s="274"/>
      <c r="CH134" s="274"/>
      <c r="CI134" s="19">
        <v>0</v>
      </c>
      <c r="CJ134" s="18"/>
      <c r="CK134" s="19"/>
      <c r="CL134" s="274"/>
      <c r="CM134" s="274"/>
      <c r="CN134" s="19">
        <v>0</v>
      </c>
      <c r="CO134" s="18"/>
      <c r="CP134" s="19"/>
      <c r="CQ134" s="274"/>
      <c r="CR134" s="274"/>
      <c r="CS134" s="19">
        <v>0</v>
      </c>
      <c r="CT134" s="18"/>
      <c r="CU134" s="19"/>
      <c r="CV134" s="274"/>
      <c r="CW134" s="274"/>
      <c r="CX134" s="19">
        <v>0</v>
      </c>
      <c r="CY134" s="18"/>
      <c r="CZ134" s="19"/>
      <c r="DA134" s="274"/>
      <c r="DB134" s="274"/>
      <c r="DC134" s="19">
        <v>0</v>
      </c>
      <c r="DD134" s="18"/>
      <c r="DE134" s="19"/>
      <c r="DF134" s="274"/>
      <c r="DG134" s="274"/>
      <c r="DH134" s="19">
        <v>0</v>
      </c>
      <c r="DI134" s="18"/>
      <c r="DJ134" s="19"/>
      <c r="DK134" s="274"/>
      <c r="DL134" s="274"/>
      <c r="DM134" s="19">
        <v>0</v>
      </c>
      <c r="DN134" s="18"/>
      <c r="DO134" s="19"/>
      <c r="DP134" s="274"/>
      <c r="DQ134" s="274"/>
      <c r="DR134" s="19">
        <v>0</v>
      </c>
      <c r="DS134" s="18"/>
      <c r="DT134" s="19"/>
      <c r="DU134" s="274"/>
      <c r="DV134" s="274"/>
      <c r="DW134" s="19">
        <v>0</v>
      </c>
      <c r="DX134" s="18"/>
      <c r="DY134" s="19"/>
      <c r="DZ134" s="274"/>
      <c r="EA134" s="274"/>
      <c r="EB134" s="19">
        <v>0</v>
      </c>
      <c r="EC134" s="18"/>
      <c r="ED134" s="19"/>
      <c r="EE134" s="274"/>
      <c r="EF134" s="274"/>
      <c r="EG134" s="19">
        <v>0</v>
      </c>
      <c r="EH134" s="18"/>
      <c r="EI134" s="19"/>
      <c r="EJ134" s="274"/>
      <c r="EK134" s="274"/>
      <c r="EL134" s="19">
        <f>SUM(CD134:EG134)</f>
        <v>0</v>
      </c>
      <c r="EM134" s="18"/>
      <c r="EN134" s="19"/>
      <c r="EO134" s="244"/>
      <c r="ER134" s="451"/>
      <c r="ES134" s="451"/>
    </row>
    <row r="135" spans="4:149" ht="12.75" customHeight="1" x14ac:dyDescent="0.2">
      <c r="D135" s="244" t="s">
        <v>347</v>
      </c>
      <c r="E135" s="274"/>
      <c r="F135" s="82"/>
      <c r="G135" s="19">
        <v>0</v>
      </c>
      <c r="H135" s="18"/>
      <c r="I135" s="19"/>
      <c r="J135" s="274"/>
      <c r="K135" s="82"/>
      <c r="L135" s="19">
        <v>-4648</v>
      </c>
      <c r="M135" s="18"/>
      <c r="N135" s="19"/>
      <c r="O135" s="274"/>
      <c r="P135" s="274"/>
      <c r="Q135" s="19">
        <v>0</v>
      </c>
      <c r="R135" s="18"/>
      <c r="S135" s="19"/>
      <c r="T135" s="274"/>
      <c r="U135" s="274"/>
      <c r="V135" s="19">
        <v>0</v>
      </c>
      <c r="W135" s="18"/>
      <c r="X135" s="19"/>
      <c r="Y135" s="274"/>
      <c r="Z135" s="274"/>
      <c r="AA135" s="19">
        <v>0</v>
      </c>
      <c r="AB135" s="18"/>
      <c r="AC135" s="19"/>
      <c r="AD135" s="274"/>
      <c r="AE135" s="274"/>
      <c r="AF135" s="19">
        <v>0</v>
      </c>
      <c r="AG135" s="18"/>
      <c r="AH135" s="19"/>
      <c r="AI135" s="274"/>
      <c r="AJ135" s="274"/>
      <c r="AK135" s="19">
        <v>0</v>
      </c>
      <c r="AL135" s="18"/>
      <c r="AM135" s="19"/>
      <c r="AN135" s="274"/>
      <c r="AO135" s="274"/>
      <c r="AP135" s="19">
        <v>0</v>
      </c>
      <c r="AQ135" s="18"/>
      <c r="AR135" s="19"/>
      <c r="AS135" s="274"/>
      <c r="AT135" s="274"/>
      <c r="AU135" s="19">
        <v>0</v>
      </c>
      <c r="AV135" s="18"/>
      <c r="AW135" s="19"/>
      <c r="AX135" s="274"/>
      <c r="AY135" s="274"/>
      <c r="AZ135" s="19">
        <v>0</v>
      </c>
      <c r="BA135" s="18"/>
      <c r="BB135" s="19"/>
      <c r="BC135" s="274"/>
      <c r="BD135" s="274"/>
      <c r="BE135" s="19">
        <v>0</v>
      </c>
      <c r="BF135" s="18"/>
      <c r="BG135" s="19"/>
      <c r="BH135" s="274"/>
      <c r="BI135" s="274"/>
      <c r="BJ135" s="19">
        <v>0</v>
      </c>
      <c r="BK135" s="18"/>
      <c r="BL135" s="19"/>
      <c r="BM135" s="274"/>
      <c r="BN135" s="274"/>
      <c r="BO135" s="19">
        <v>0</v>
      </c>
      <c r="BP135" s="18"/>
      <c r="BQ135" s="19"/>
      <c r="BR135" s="274"/>
      <c r="BS135" s="274"/>
      <c r="BT135" s="19">
        <f>SUM(L135:BO135)</f>
        <v>-4648</v>
      </c>
      <c r="BU135" s="18"/>
      <c r="BV135" s="19"/>
      <c r="BW135" s="274"/>
      <c r="BX135" s="274"/>
      <c r="BY135" s="19">
        <v>0</v>
      </c>
      <c r="BZ135" s="18"/>
      <c r="CA135" s="19"/>
      <c r="CB135" s="274"/>
      <c r="CC135" s="82"/>
      <c r="CD135" s="19">
        <v>0</v>
      </c>
      <c r="CE135" s="18"/>
      <c r="CF135" s="19"/>
      <c r="CG135" s="274"/>
      <c r="CH135" s="274"/>
      <c r="CI135" s="19">
        <v>0</v>
      </c>
      <c r="CJ135" s="18"/>
      <c r="CK135" s="19"/>
      <c r="CL135" s="274"/>
      <c r="CM135" s="274"/>
      <c r="CN135" s="19">
        <v>0</v>
      </c>
      <c r="CO135" s="18"/>
      <c r="CP135" s="19"/>
      <c r="CQ135" s="274"/>
      <c r="CR135" s="274"/>
      <c r="CS135" s="19">
        <v>0</v>
      </c>
      <c r="CT135" s="18"/>
      <c r="CU135" s="19"/>
      <c r="CV135" s="274"/>
      <c r="CW135" s="274"/>
      <c r="CX135" s="19">
        <v>0</v>
      </c>
      <c r="CY135" s="18"/>
      <c r="CZ135" s="19"/>
      <c r="DA135" s="274"/>
      <c r="DB135" s="274"/>
      <c r="DC135" s="19">
        <v>0</v>
      </c>
      <c r="DD135" s="18"/>
      <c r="DE135" s="19"/>
      <c r="DF135" s="274"/>
      <c r="DG135" s="274"/>
      <c r="DH135" s="19">
        <v>0</v>
      </c>
      <c r="DI135" s="18"/>
      <c r="DJ135" s="19"/>
      <c r="DK135" s="274"/>
      <c r="DL135" s="274"/>
      <c r="DM135" s="19">
        <v>0</v>
      </c>
      <c r="DN135" s="18"/>
      <c r="DO135" s="19"/>
      <c r="DP135" s="274"/>
      <c r="DQ135" s="274"/>
      <c r="DR135" s="19">
        <v>0</v>
      </c>
      <c r="DS135" s="18"/>
      <c r="DT135" s="19"/>
      <c r="DU135" s="274"/>
      <c r="DV135" s="274"/>
      <c r="DW135" s="19">
        <v>0</v>
      </c>
      <c r="DX135" s="18"/>
      <c r="DY135" s="19"/>
      <c r="DZ135" s="274"/>
      <c r="EA135" s="274"/>
      <c r="EB135" s="19">
        <v>0</v>
      </c>
      <c r="EC135" s="18"/>
      <c r="ED135" s="19"/>
      <c r="EE135" s="274"/>
      <c r="EF135" s="274"/>
      <c r="EG135" s="19">
        <v>0</v>
      </c>
      <c r="EH135" s="18"/>
      <c r="EI135" s="19"/>
      <c r="EJ135" s="274"/>
      <c r="EK135" s="274"/>
      <c r="EL135" s="19">
        <f>SUM(CD135:EG135)</f>
        <v>0</v>
      </c>
      <c r="EM135" s="18"/>
      <c r="EN135" s="19"/>
      <c r="EO135" s="244"/>
      <c r="ER135" s="451"/>
      <c r="ES135" s="451"/>
    </row>
    <row r="136" spans="4:149" ht="12.75" customHeight="1" x14ac:dyDescent="0.2">
      <c r="D136" s="244" t="s">
        <v>348</v>
      </c>
      <c r="F136" s="276"/>
      <c r="G136" s="37">
        <v>0</v>
      </c>
      <c r="H136" s="36"/>
      <c r="I136" s="19"/>
      <c r="J136" s="274"/>
      <c r="K136" s="276"/>
      <c r="L136" s="37">
        <v>881175</v>
      </c>
      <c r="M136" s="36"/>
      <c r="N136" s="19"/>
      <c r="O136" s="274"/>
      <c r="P136" s="231"/>
      <c r="Q136" s="37">
        <v>0</v>
      </c>
      <c r="R136" s="36"/>
      <c r="S136" s="19"/>
      <c r="T136" s="274"/>
      <c r="U136" s="231"/>
      <c r="V136" s="37">
        <v>0</v>
      </c>
      <c r="W136" s="36"/>
      <c r="X136" s="19"/>
      <c r="Y136" s="274"/>
      <c r="Z136" s="231"/>
      <c r="AA136" s="37">
        <v>0</v>
      </c>
      <c r="AB136" s="36"/>
      <c r="AC136" s="19"/>
      <c r="AD136" s="274"/>
      <c r="AE136" s="231"/>
      <c r="AF136" s="37">
        <v>0</v>
      </c>
      <c r="AG136" s="36"/>
      <c r="AH136" s="19"/>
      <c r="AI136" s="274"/>
      <c r="AJ136" s="231"/>
      <c r="AK136" s="37">
        <v>0</v>
      </c>
      <c r="AL136" s="36"/>
      <c r="AM136" s="19"/>
      <c r="AN136" s="274"/>
      <c r="AO136" s="231"/>
      <c r="AP136" s="37">
        <v>0</v>
      </c>
      <c r="AQ136" s="36"/>
      <c r="AR136" s="19"/>
      <c r="AS136" s="274"/>
      <c r="AT136" s="231"/>
      <c r="AU136" s="37">
        <v>0</v>
      </c>
      <c r="AV136" s="36"/>
      <c r="AW136" s="19"/>
      <c r="AX136" s="274"/>
      <c r="AY136" s="231"/>
      <c r="AZ136" s="37">
        <v>0</v>
      </c>
      <c r="BA136" s="36"/>
      <c r="BB136" s="19"/>
      <c r="BC136" s="274"/>
      <c r="BD136" s="231"/>
      <c r="BE136" s="37">
        <v>0</v>
      </c>
      <c r="BF136" s="36"/>
      <c r="BG136" s="19"/>
      <c r="BH136" s="274"/>
      <c r="BI136" s="231"/>
      <c r="BJ136" s="37">
        <v>0</v>
      </c>
      <c r="BK136" s="36"/>
      <c r="BL136" s="19"/>
      <c r="BM136" s="274"/>
      <c r="BN136" s="231"/>
      <c r="BO136" s="37">
        <v>0</v>
      </c>
      <c r="BP136" s="36"/>
      <c r="BQ136" s="19"/>
      <c r="BR136" s="274"/>
      <c r="BS136" s="231"/>
      <c r="BT136" s="37">
        <f>SUM(L136:BO136)</f>
        <v>881175</v>
      </c>
      <c r="BU136" s="36"/>
      <c r="BV136" s="19"/>
      <c r="BW136" s="274"/>
      <c r="BX136" s="231"/>
      <c r="BY136" s="37">
        <v>0</v>
      </c>
      <c r="BZ136" s="36"/>
      <c r="CA136" s="19"/>
      <c r="CB136" s="274"/>
      <c r="CC136" s="276"/>
      <c r="CD136" s="37">
        <v>0</v>
      </c>
      <c r="CE136" s="36"/>
      <c r="CF136" s="19"/>
      <c r="CG136" s="274"/>
      <c r="CH136" s="231"/>
      <c r="CI136" s="37">
        <v>0</v>
      </c>
      <c r="CJ136" s="36"/>
      <c r="CK136" s="19"/>
      <c r="CL136" s="274"/>
      <c r="CM136" s="231"/>
      <c r="CN136" s="37">
        <v>0</v>
      </c>
      <c r="CO136" s="36"/>
      <c r="CP136" s="19"/>
      <c r="CQ136" s="274"/>
      <c r="CR136" s="231"/>
      <c r="CS136" s="37">
        <v>0</v>
      </c>
      <c r="CT136" s="36"/>
      <c r="CU136" s="19"/>
      <c r="CV136" s="274"/>
      <c r="CW136" s="231"/>
      <c r="CX136" s="37">
        <v>0</v>
      </c>
      <c r="CY136" s="36"/>
      <c r="CZ136" s="19"/>
      <c r="DA136" s="274"/>
      <c r="DB136" s="231"/>
      <c r="DC136" s="37">
        <v>0</v>
      </c>
      <c r="DD136" s="36"/>
      <c r="DE136" s="19"/>
      <c r="DF136" s="274"/>
      <c r="DG136" s="231"/>
      <c r="DH136" s="37">
        <v>0</v>
      </c>
      <c r="DI136" s="36"/>
      <c r="DJ136" s="19"/>
      <c r="DK136" s="274"/>
      <c r="DL136" s="231"/>
      <c r="DM136" s="37">
        <v>0</v>
      </c>
      <c r="DN136" s="36"/>
      <c r="DO136" s="19"/>
      <c r="DP136" s="274"/>
      <c r="DQ136" s="231"/>
      <c r="DR136" s="37">
        <v>0</v>
      </c>
      <c r="DS136" s="36"/>
      <c r="DT136" s="19"/>
      <c r="DU136" s="274"/>
      <c r="DV136" s="231"/>
      <c r="DW136" s="37">
        <v>0</v>
      </c>
      <c r="DX136" s="36"/>
      <c r="DY136" s="19"/>
      <c r="DZ136" s="274"/>
      <c r="EA136" s="231"/>
      <c r="EB136" s="37">
        <v>0</v>
      </c>
      <c r="EC136" s="36"/>
      <c r="ED136" s="19"/>
      <c r="EE136" s="274"/>
      <c r="EF136" s="231"/>
      <c r="EG136" s="37">
        <v>0</v>
      </c>
      <c r="EH136" s="36"/>
      <c r="EI136" s="19"/>
      <c r="EJ136" s="274"/>
      <c r="EK136" s="231"/>
      <c r="EL136" s="37">
        <f>SUM(CD136:EG136)</f>
        <v>0</v>
      </c>
      <c r="EM136" s="36"/>
      <c r="EN136" s="19"/>
      <c r="EO136" s="244"/>
      <c r="ER136" s="451"/>
      <c r="ES136" s="451"/>
    </row>
    <row r="137" spans="4:149" ht="12.75" customHeight="1" x14ac:dyDescent="0.2">
      <c r="D137" s="244"/>
      <c r="G137" s="19"/>
      <c r="H137" s="19"/>
      <c r="I137" s="19"/>
      <c r="J137" s="274"/>
      <c r="K137" s="19"/>
      <c r="L137" s="19"/>
      <c r="M137" s="19"/>
      <c r="N137" s="19"/>
      <c r="O137" s="274"/>
      <c r="P137" s="19"/>
      <c r="Q137" s="19"/>
      <c r="R137" s="19"/>
      <c r="S137" s="19"/>
      <c r="T137" s="274"/>
      <c r="U137" s="19"/>
      <c r="V137" s="19"/>
      <c r="W137" s="19"/>
      <c r="X137" s="19"/>
      <c r="Y137" s="274"/>
      <c r="Z137" s="19"/>
      <c r="AA137" s="19"/>
      <c r="AB137" s="19"/>
      <c r="AC137" s="19"/>
      <c r="AD137" s="274"/>
      <c r="AE137" s="19"/>
      <c r="AF137" s="19"/>
      <c r="AG137" s="19"/>
      <c r="AH137" s="19"/>
      <c r="AI137" s="274"/>
      <c r="AJ137" s="19"/>
      <c r="AK137" s="19"/>
      <c r="AL137" s="19"/>
      <c r="AM137" s="19"/>
      <c r="AN137" s="274"/>
      <c r="AO137" s="19"/>
      <c r="AP137" s="19"/>
      <c r="AQ137" s="19"/>
      <c r="AR137" s="19"/>
      <c r="AS137" s="274"/>
      <c r="AT137" s="19"/>
      <c r="AU137" s="19"/>
      <c r="AV137" s="19"/>
      <c r="AW137" s="19"/>
      <c r="AX137" s="274"/>
      <c r="AY137" s="19"/>
      <c r="AZ137" s="19"/>
      <c r="BA137" s="19"/>
      <c r="BB137" s="19"/>
      <c r="BC137" s="274"/>
      <c r="BD137" s="19"/>
      <c r="BE137" s="19"/>
      <c r="BF137" s="19"/>
      <c r="BG137" s="19"/>
      <c r="BH137" s="274"/>
      <c r="BI137" s="19"/>
      <c r="BJ137" s="19"/>
      <c r="BK137" s="19"/>
      <c r="BL137" s="19"/>
      <c r="BM137" s="274"/>
      <c r="BN137" s="19"/>
      <c r="BO137" s="19"/>
      <c r="BP137" s="19"/>
      <c r="BQ137" s="19"/>
      <c r="BR137" s="274"/>
      <c r="BS137" s="19"/>
      <c r="BT137" s="19"/>
      <c r="BU137" s="19"/>
      <c r="BV137" s="19"/>
      <c r="BW137" s="274"/>
      <c r="BX137" s="19"/>
      <c r="BY137" s="19"/>
      <c r="BZ137" s="19"/>
      <c r="CA137" s="19"/>
      <c r="CB137" s="274"/>
      <c r="CC137" s="19"/>
      <c r="CD137" s="19"/>
      <c r="CE137" s="19"/>
      <c r="CF137" s="19"/>
      <c r="CG137" s="274"/>
      <c r="CH137" s="19"/>
      <c r="CI137" s="19"/>
      <c r="CJ137" s="19"/>
      <c r="CK137" s="19"/>
      <c r="CL137" s="274"/>
      <c r="CM137" s="19"/>
      <c r="CN137" s="19"/>
      <c r="CO137" s="19"/>
      <c r="CP137" s="19"/>
      <c r="CQ137" s="274"/>
      <c r="CR137" s="19"/>
      <c r="CS137" s="19"/>
      <c r="CT137" s="19"/>
      <c r="CU137" s="19"/>
      <c r="CV137" s="274"/>
      <c r="CW137" s="19"/>
      <c r="CX137" s="19"/>
      <c r="CY137" s="19"/>
      <c r="CZ137" s="19"/>
      <c r="DA137" s="274"/>
      <c r="DB137" s="19"/>
      <c r="DC137" s="19"/>
      <c r="DD137" s="19"/>
      <c r="DE137" s="19"/>
      <c r="DF137" s="274"/>
      <c r="DG137" s="19"/>
      <c r="DH137" s="19"/>
      <c r="DI137" s="19"/>
      <c r="DJ137" s="19"/>
      <c r="DK137" s="274"/>
      <c r="DL137" s="19"/>
      <c r="DM137" s="19"/>
      <c r="DN137" s="19"/>
      <c r="DO137" s="19"/>
      <c r="DP137" s="274"/>
      <c r="DQ137" s="19"/>
      <c r="DR137" s="19"/>
      <c r="DS137" s="19"/>
      <c r="DT137" s="19"/>
      <c r="DU137" s="274"/>
      <c r="DV137" s="19"/>
      <c r="DW137" s="19"/>
      <c r="DX137" s="19"/>
      <c r="DY137" s="19"/>
      <c r="DZ137" s="274"/>
      <c r="EA137" s="19"/>
      <c r="EB137" s="19"/>
      <c r="EC137" s="19"/>
      <c r="ED137" s="19"/>
      <c r="EE137" s="274"/>
      <c r="EF137" s="19"/>
      <c r="EG137" s="19"/>
      <c r="EH137" s="19"/>
      <c r="EI137" s="19"/>
      <c r="EJ137" s="274"/>
      <c r="EK137" s="19"/>
      <c r="EL137" s="19"/>
      <c r="EM137" s="19"/>
      <c r="EN137" s="19"/>
      <c r="EO137" s="244"/>
      <c r="ER137" s="451"/>
      <c r="ES137" s="451"/>
    </row>
    <row r="138" spans="4:149" ht="12.75" customHeight="1" x14ac:dyDescent="0.2">
      <c r="D138" s="244" t="s">
        <v>370</v>
      </c>
      <c r="G138" s="19">
        <f>SUM(G139:G141)</f>
        <v>0</v>
      </c>
      <c r="H138" s="19"/>
      <c r="I138" s="19"/>
      <c r="J138" s="274"/>
      <c r="K138" s="19"/>
      <c r="L138" s="19">
        <f>SUM(L139:L141)</f>
        <v>0</v>
      </c>
      <c r="M138" s="19"/>
      <c r="N138" s="19"/>
      <c r="O138" s="274"/>
      <c r="P138" s="19"/>
      <c r="Q138" s="19">
        <f>SUM(Q139:Q141)</f>
        <v>0</v>
      </c>
      <c r="R138" s="19"/>
      <c r="S138" s="19"/>
      <c r="T138" s="274"/>
      <c r="U138" s="19"/>
      <c r="V138" s="19">
        <f>SUM(V139:V141)</f>
        <v>0</v>
      </c>
      <c r="W138" s="19"/>
      <c r="X138" s="19"/>
      <c r="Y138" s="274"/>
      <c r="Z138" s="19"/>
      <c r="AA138" s="19">
        <f>SUM(AA139:AA141)</f>
        <v>0</v>
      </c>
      <c r="AB138" s="19"/>
      <c r="AC138" s="19"/>
      <c r="AD138" s="274"/>
      <c r="AE138" s="19"/>
      <c r="AF138" s="19">
        <f>SUM(AF139:AF141)</f>
        <v>0</v>
      </c>
      <c r="AG138" s="19"/>
      <c r="AH138" s="19"/>
      <c r="AI138" s="274"/>
      <c r="AJ138" s="19"/>
      <c r="AK138" s="19">
        <f>SUM(AK139:AK141)</f>
        <v>0</v>
      </c>
      <c r="AL138" s="19"/>
      <c r="AM138" s="19"/>
      <c r="AN138" s="274"/>
      <c r="AO138" s="19"/>
      <c r="AP138" s="19">
        <f>SUM(AP139:AP141)</f>
        <v>0</v>
      </c>
      <c r="AQ138" s="19"/>
      <c r="AR138" s="19"/>
      <c r="AS138" s="274"/>
      <c r="AT138" s="19"/>
      <c r="AU138" s="19">
        <f>SUM(AU139:AU141)</f>
        <v>0</v>
      </c>
      <c r="AV138" s="19"/>
      <c r="AW138" s="19"/>
      <c r="AX138" s="274"/>
      <c r="AY138" s="19"/>
      <c r="AZ138" s="19">
        <f>SUM(AZ139:AZ141)</f>
        <v>3976000</v>
      </c>
      <c r="BA138" s="19"/>
      <c r="BB138" s="19"/>
      <c r="BC138" s="274"/>
      <c r="BD138" s="19"/>
      <c r="BE138" s="19">
        <f>SUM(BE139:BE141)</f>
        <v>0</v>
      </c>
      <c r="BF138" s="19"/>
      <c r="BG138" s="19"/>
      <c r="BH138" s="274"/>
      <c r="BI138" s="19"/>
      <c r="BJ138" s="19">
        <f>SUM(BJ139:BJ141)</f>
        <v>2483</v>
      </c>
      <c r="BK138" s="19"/>
      <c r="BL138" s="19"/>
      <c r="BM138" s="274"/>
      <c r="BN138" s="19"/>
      <c r="BO138" s="19">
        <f>SUM(BO139:BO141)</f>
        <v>6456000</v>
      </c>
      <c r="BP138" s="19"/>
      <c r="BQ138" s="19"/>
      <c r="BR138" s="274"/>
      <c r="BS138" s="19"/>
      <c r="BT138" s="19">
        <f>SUM(BT139:BT141)</f>
        <v>10434483</v>
      </c>
      <c r="BU138" s="19"/>
      <c r="BV138" s="19"/>
      <c r="BW138" s="274"/>
      <c r="BX138" s="19"/>
      <c r="BY138" s="19">
        <f>SUM(BY139:BY141)</f>
        <v>0</v>
      </c>
      <c r="BZ138" s="19"/>
      <c r="CA138" s="19"/>
      <c r="CB138" s="274"/>
      <c r="CC138" s="19"/>
      <c r="CD138" s="19">
        <f>SUM(CD139:CD141)</f>
        <v>0</v>
      </c>
      <c r="CE138" s="19"/>
      <c r="CF138" s="19"/>
      <c r="CG138" s="274"/>
      <c r="CH138" s="19"/>
      <c r="CI138" s="19">
        <f>SUM(CI139:CI141)</f>
        <v>0</v>
      </c>
      <c r="CJ138" s="19"/>
      <c r="CK138" s="19"/>
      <c r="CL138" s="274"/>
      <c r="CM138" s="19"/>
      <c r="CN138" s="19">
        <f>SUM(CN139:CN141)</f>
        <v>0</v>
      </c>
      <c r="CO138" s="19"/>
      <c r="CP138" s="19"/>
      <c r="CQ138" s="274"/>
      <c r="CR138" s="19"/>
      <c r="CS138" s="19">
        <f>SUM(CS139:CS141)</f>
        <v>0</v>
      </c>
      <c r="CT138" s="19"/>
      <c r="CU138" s="19"/>
      <c r="CV138" s="274"/>
      <c r="CW138" s="19"/>
      <c r="CX138" s="19">
        <f>SUM(CX139:CX141)</f>
        <v>0</v>
      </c>
      <c r="CY138" s="19"/>
      <c r="CZ138" s="19"/>
      <c r="DA138" s="274"/>
      <c r="DB138" s="19"/>
      <c r="DC138" s="19">
        <f>SUM(DC139:DC141)</f>
        <v>0</v>
      </c>
      <c r="DD138" s="19"/>
      <c r="DE138" s="19"/>
      <c r="DF138" s="274"/>
      <c r="DG138" s="19"/>
      <c r="DH138" s="19">
        <f>SUM(DH139:DH141)</f>
        <v>0</v>
      </c>
      <c r="DI138" s="19"/>
      <c r="DJ138" s="19"/>
      <c r="DK138" s="274"/>
      <c r="DL138" s="19"/>
      <c r="DM138" s="19">
        <f>SUM(DM139:DM141)</f>
        <v>0</v>
      </c>
      <c r="DN138" s="19"/>
      <c r="DO138" s="19"/>
      <c r="DP138" s="274"/>
      <c r="DQ138" s="19"/>
      <c r="DR138" s="19">
        <f>SUM(DR139:DR141)</f>
        <v>0</v>
      </c>
      <c r="DS138" s="19"/>
      <c r="DT138" s="19"/>
      <c r="DU138" s="274"/>
      <c r="DV138" s="19"/>
      <c r="DW138" s="19">
        <f>SUM(DW139:DW141)</f>
        <v>0</v>
      </c>
      <c r="DX138" s="19"/>
      <c r="DY138" s="19"/>
      <c r="DZ138" s="274"/>
      <c r="EA138" s="19"/>
      <c r="EB138" s="19">
        <f>SUM(EB139:EB141)</f>
        <v>0</v>
      </c>
      <c r="EC138" s="19"/>
      <c r="ED138" s="19"/>
      <c r="EE138" s="274"/>
      <c r="EF138" s="19"/>
      <c r="EG138" s="19">
        <f>SUM(EG139:EG141)</f>
        <v>0</v>
      </c>
      <c r="EH138" s="19"/>
      <c r="EI138" s="19"/>
      <c r="EJ138" s="274"/>
      <c r="EK138" s="19"/>
      <c r="EL138" s="19">
        <f>SUM(EL139:EL141)</f>
        <v>0</v>
      </c>
      <c r="EM138" s="19"/>
      <c r="EN138" s="19"/>
      <c r="EO138" s="244"/>
      <c r="ER138" s="451"/>
      <c r="ES138" s="451"/>
    </row>
    <row r="139" spans="4:149" ht="12.75" customHeight="1" x14ac:dyDescent="0.2">
      <c r="D139" s="244" t="s">
        <v>344</v>
      </c>
      <c r="F139" s="112"/>
      <c r="G139" s="374">
        <v>0</v>
      </c>
      <c r="H139" s="475"/>
      <c r="I139" s="19"/>
      <c r="J139" s="274"/>
      <c r="K139" s="112"/>
      <c r="L139" s="374">
        <v>0</v>
      </c>
      <c r="M139" s="475"/>
      <c r="N139" s="19"/>
      <c r="O139" s="274"/>
      <c r="P139" s="112"/>
      <c r="Q139" s="374">
        <v>0</v>
      </c>
      <c r="R139" s="475"/>
      <c r="S139" s="19"/>
      <c r="T139" s="274"/>
      <c r="U139" s="112"/>
      <c r="V139" s="374">
        <v>0</v>
      </c>
      <c r="W139" s="475"/>
      <c r="X139" s="19"/>
      <c r="Y139" s="274"/>
      <c r="Z139" s="112"/>
      <c r="AA139" s="374">
        <v>0</v>
      </c>
      <c r="AB139" s="475"/>
      <c r="AC139" s="19"/>
      <c r="AD139" s="274"/>
      <c r="AE139" s="112"/>
      <c r="AF139" s="374">
        <v>0</v>
      </c>
      <c r="AG139" s="475"/>
      <c r="AH139" s="19"/>
      <c r="AI139" s="274"/>
      <c r="AJ139" s="112"/>
      <c r="AK139" s="374">
        <v>0</v>
      </c>
      <c r="AL139" s="475"/>
      <c r="AM139" s="19"/>
      <c r="AN139" s="274"/>
      <c r="AO139" s="112"/>
      <c r="AP139" s="374">
        <v>0</v>
      </c>
      <c r="AQ139" s="475"/>
      <c r="AR139" s="19"/>
      <c r="AS139" s="274"/>
      <c r="AT139" s="173"/>
      <c r="AU139" s="374">
        <v>0</v>
      </c>
      <c r="AV139" s="475"/>
      <c r="AW139" s="19"/>
      <c r="AX139" s="274"/>
      <c r="AY139" s="173"/>
      <c r="AZ139" s="374">
        <f>3976000-641745</f>
        <v>3334255</v>
      </c>
      <c r="BA139" s="475"/>
      <c r="BB139" s="19"/>
      <c r="BC139" s="274"/>
      <c r="BD139" s="173"/>
      <c r="BE139" s="374">
        <v>0</v>
      </c>
      <c r="BF139" s="475"/>
      <c r="BG139" s="19"/>
      <c r="BH139" s="274"/>
      <c r="BI139" s="173"/>
      <c r="BJ139" s="374">
        <f>2483-365</f>
        <v>2118</v>
      </c>
      <c r="BK139" s="475"/>
      <c r="BL139" s="19"/>
      <c r="BM139" s="274"/>
      <c r="BN139" s="173"/>
      <c r="BO139" s="374">
        <f>6456000-1144448</f>
        <v>5311552</v>
      </c>
      <c r="BP139" s="475"/>
      <c r="BQ139" s="19"/>
      <c r="BR139" s="274"/>
      <c r="BS139" s="173"/>
      <c r="BT139" s="374">
        <f>SUM(L139:BO139)</f>
        <v>8647925</v>
      </c>
      <c r="BU139" s="475"/>
      <c r="BV139" s="19"/>
      <c r="BW139" s="274"/>
      <c r="BX139" s="173"/>
      <c r="BY139" s="374">
        <v>0</v>
      </c>
      <c r="BZ139" s="475"/>
      <c r="CA139" s="19"/>
      <c r="CB139" s="274"/>
      <c r="CC139" s="112"/>
      <c r="CD139" s="374">
        <v>0</v>
      </c>
      <c r="CE139" s="475"/>
      <c r="CF139" s="19"/>
      <c r="CG139" s="274"/>
      <c r="CH139" s="112"/>
      <c r="CI139" s="374">
        <v>0</v>
      </c>
      <c r="CJ139" s="475"/>
      <c r="CK139" s="19"/>
      <c r="CL139" s="274"/>
      <c r="CM139" s="112"/>
      <c r="CN139" s="374">
        <v>0</v>
      </c>
      <c r="CO139" s="475"/>
      <c r="CP139" s="19"/>
      <c r="CQ139" s="274"/>
      <c r="CR139" s="112"/>
      <c r="CS139" s="374">
        <v>0</v>
      </c>
      <c r="CT139" s="475"/>
      <c r="CU139" s="19"/>
      <c r="CV139" s="274"/>
      <c r="CW139" s="112"/>
      <c r="CX139" s="374">
        <v>0</v>
      </c>
      <c r="CY139" s="475"/>
      <c r="CZ139" s="19"/>
      <c r="DA139" s="274"/>
      <c r="DB139" s="112"/>
      <c r="DC139" s="374">
        <v>0</v>
      </c>
      <c r="DD139" s="475"/>
      <c r="DE139" s="19"/>
      <c r="DF139" s="274"/>
      <c r="DG139" s="112"/>
      <c r="DH139" s="374">
        <v>0</v>
      </c>
      <c r="DI139" s="475"/>
      <c r="DJ139" s="19"/>
      <c r="DK139" s="274"/>
      <c r="DL139" s="173"/>
      <c r="DM139" s="374">
        <v>0</v>
      </c>
      <c r="DN139" s="475"/>
      <c r="DO139" s="19"/>
      <c r="DP139" s="274"/>
      <c r="DQ139" s="173"/>
      <c r="DR139" s="374">
        <v>0</v>
      </c>
      <c r="DS139" s="475"/>
      <c r="DT139" s="19"/>
      <c r="DU139" s="274"/>
      <c r="DV139" s="173"/>
      <c r="DW139" s="374">
        <v>0</v>
      </c>
      <c r="DX139" s="475"/>
      <c r="DY139" s="19"/>
      <c r="DZ139" s="274"/>
      <c r="EA139" s="173"/>
      <c r="EB139" s="374">
        <v>0</v>
      </c>
      <c r="EC139" s="475"/>
      <c r="ED139" s="19"/>
      <c r="EE139" s="274"/>
      <c r="EF139" s="173"/>
      <c r="EG139" s="374">
        <v>0</v>
      </c>
      <c r="EH139" s="475"/>
      <c r="EI139" s="19"/>
      <c r="EJ139" s="274"/>
      <c r="EK139" s="173"/>
      <c r="EL139" s="374">
        <f>SUM(CD139:EG139)</f>
        <v>0</v>
      </c>
      <c r="EM139" s="475"/>
      <c r="EN139" s="19"/>
      <c r="EO139" s="244"/>
      <c r="ER139" s="451"/>
      <c r="ES139" s="451"/>
    </row>
    <row r="140" spans="4:149" ht="12.75" customHeight="1" x14ac:dyDescent="0.2">
      <c r="D140" s="244" t="s">
        <v>346</v>
      </c>
      <c r="F140" s="82"/>
      <c r="G140" s="19">
        <v>0</v>
      </c>
      <c r="H140" s="18"/>
      <c r="I140" s="19"/>
      <c r="J140" s="274"/>
      <c r="K140" s="82"/>
      <c r="L140" s="19">
        <v>0</v>
      </c>
      <c r="M140" s="18"/>
      <c r="N140" s="19"/>
      <c r="O140" s="274"/>
      <c r="P140" s="82"/>
      <c r="Q140" s="19">
        <v>0</v>
      </c>
      <c r="R140" s="18"/>
      <c r="S140" s="19"/>
      <c r="T140" s="274"/>
      <c r="U140" s="82"/>
      <c r="V140" s="19">
        <v>0</v>
      </c>
      <c r="W140" s="18"/>
      <c r="X140" s="19"/>
      <c r="Y140" s="274"/>
      <c r="Z140" s="82"/>
      <c r="AA140" s="19">
        <v>0</v>
      </c>
      <c r="AB140" s="18"/>
      <c r="AC140" s="19"/>
      <c r="AD140" s="274"/>
      <c r="AE140" s="82"/>
      <c r="AF140" s="19">
        <v>0</v>
      </c>
      <c r="AG140" s="18"/>
      <c r="AH140" s="19"/>
      <c r="AI140" s="274"/>
      <c r="AJ140" s="82"/>
      <c r="AK140" s="19">
        <v>0</v>
      </c>
      <c r="AL140" s="18"/>
      <c r="AM140" s="19"/>
      <c r="AN140" s="274"/>
      <c r="AO140" s="82"/>
      <c r="AP140" s="19">
        <v>0</v>
      </c>
      <c r="AQ140" s="18"/>
      <c r="AR140" s="19"/>
      <c r="AS140" s="274"/>
      <c r="AT140" s="274"/>
      <c r="AU140" s="19">
        <v>0</v>
      </c>
      <c r="AV140" s="18"/>
      <c r="AW140" s="19"/>
      <c r="AX140" s="274"/>
      <c r="AY140" s="274"/>
      <c r="AZ140" s="19">
        <v>641745</v>
      </c>
      <c r="BA140" s="18"/>
      <c r="BB140" s="19"/>
      <c r="BC140" s="274"/>
      <c r="BD140" s="274"/>
      <c r="BE140" s="19">
        <v>0</v>
      </c>
      <c r="BF140" s="18"/>
      <c r="BG140" s="19"/>
      <c r="BH140" s="274"/>
      <c r="BI140" s="274"/>
      <c r="BJ140" s="19">
        <v>365</v>
      </c>
      <c r="BK140" s="18"/>
      <c r="BL140" s="19"/>
      <c r="BM140" s="274"/>
      <c r="BN140" s="274"/>
      <c r="BO140" s="19">
        <v>1144448</v>
      </c>
      <c r="BP140" s="18"/>
      <c r="BQ140" s="19"/>
      <c r="BR140" s="274"/>
      <c r="BS140" s="274"/>
      <c r="BT140" s="19">
        <f>SUM(L140:BO140)</f>
        <v>1786558</v>
      </c>
      <c r="BU140" s="18"/>
      <c r="BV140" s="19"/>
      <c r="BW140" s="274"/>
      <c r="BX140" s="274"/>
      <c r="BY140" s="19">
        <v>0</v>
      </c>
      <c r="BZ140" s="18"/>
      <c r="CA140" s="19"/>
      <c r="CB140" s="274"/>
      <c r="CC140" s="82"/>
      <c r="CD140" s="19">
        <v>0</v>
      </c>
      <c r="CE140" s="18"/>
      <c r="CF140" s="19"/>
      <c r="CG140" s="274"/>
      <c r="CH140" s="82"/>
      <c r="CI140" s="19">
        <v>0</v>
      </c>
      <c r="CJ140" s="18"/>
      <c r="CK140" s="19"/>
      <c r="CL140" s="274"/>
      <c r="CM140" s="82"/>
      <c r="CN140" s="19">
        <v>0</v>
      </c>
      <c r="CO140" s="18"/>
      <c r="CP140" s="19"/>
      <c r="CQ140" s="274"/>
      <c r="CR140" s="82"/>
      <c r="CS140" s="19">
        <v>0</v>
      </c>
      <c r="CT140" s="18"/>
      <c r="CU140" s="19"/>
      <c r="CV140" s="274"/>
      <c r="CW140" s="82"/>
      <c r="CX140" s="19">
        <v>0</v>
      </c>
      <c r="CY140" s="18"/>
      <c r="CZ140" s="19"/>
      <c r="DA140" s="274"/>
      <c r="DB140" s="82"/>
      <c r="DC140" s="19">
        <v>0</v>
      </c>
      <c r="DD140" s="18"/>
      <c r="DE140" s="19"/>
      <c r="DF140" s="274"/>
      <c r="DG140" s="82"/>
      <c r="DH140" s="19">
        <v>0</v>
      </c>
      <c r="DI140" s="18"/>
      <c r="DJ140" s="19"/>
      <c r="DK140" s="274"/>
      <c r="DL140" s="274"/>
      <c r="DM140" s="19">
        <v>0</v>
      </c>
      <c r="DN140" s="18"/>
      <c r="DO140" s="19"/>
      <c r="DP140" s="274"/>
      <c r="DQ140" s="274"/>
      <c r="DR140" s="19">
        <v>0</v>
      </c>
      <c r="DS140" s="18"/>
      <c r="DT140" s="19"/>
      <c r="DU140" s="274"/>
      <c r="DV140" s="274"/>
      <c r="DW140" s="19">
        <v>0</v>
      </c>
      <c r="DX140" s="18"/>
      <c r="DY140" s="19"/>
      <c r="DZ140" s="274"/>
      <c r="EA140" s="274"/>
      <c r="EB140" s="19">
        <v>0</v>
      </c>
      <c r="EC140" s="18"/>
      <c r="ED140" s="19"/>
      <c r="EE140" s="274"/>
      <c r="EF140" s="274"/>
      <c r="EG140" s="19">
        <v>0</v>
      </c>
      <c r="EH140" s="18"/>
      <c r="EI140" s="19"/>
      <c r="EJ140" s="274"/>
      <c r="EK140" s="274"/>
      <c r="EL140" s="19">
        <f>SUM(CD140:EG140)</f>
        <v>0</v>
      </c>
      <c r="EM140" s="18"/>
      <c r="EN140" s="19"/>
      <c r="EO140" s="244"/>
      <c r="ER140" s="451"/>
      <c r="ES140" s="451"/>
    </row>
    <row r="141" spans="4:149" ht="12.75" customHeight="1" x14ac:dyDescent="0.2">
      <c r="D141" s="244" t="s">
        <v>347</v>
      </c>
      <c r="F141" s="276"/>
      <c r="G141" s="37">
        <v>0</v>
      </c>
      <c r="H141" s="36"/>
      <c r="I141" s="19"/>
      <c r="J141" s="274"/>
      <c r="K141" s="276"/>
      <c r="L141" s="37">
        <v>0</v>
      </c>
      <c r="M141" s="36"/>
      <c r="N141" s="19"/>
      <c r="O141" s="274"/>
      <c r="P141" s="276"/>
      <c r="Q141" s="37">
        <v>0</v>
      </c>
      <c r="R141" s="36"/>
      <c r="S141" s="19"/>
      <c r="T141" s="274"/>
      <c r="U141" s="276"/>
      <c r="V141" s="37">
        <v>0</v>
      </c>
      <c r="W141" s="36"/>
      <c r="X141" s="19"/>
      <c r="Y141" s="274"/>
      <c r="Z141" s="276"/>
      <c r="AA141" s="37">
        <v>0</v>
      </c>
      <c r="AB141" s="36"/>
      <c r="AC141" s="19"/>
      <c r="AD141" s="274"/>
      <c r="AE141" s="276"/>
      <c r="AF141" s="37">
        <v>0</v>
      </c>
      <c r="AG141" s="36"/>
      <c r="AH141" s="19"/>
      <c r="AI141" s="274"/>
      <c r="AJ141" s="276"/>
      <c r="AK141" s="37">
        <v>0</v>
      </c>
      <c r="AL141" s="36"/>
      <c r="AM141" s="19"/>
      <c r="AN141" s="274"/>
      <c r="AO141" s="276"/>
      <c r="AP141" s="37">
        <v>0</v>
      </c>
      <c r="AQ141" s="36"/>
      <c r="AR141" s="19"/>
      <c r="AS141" s="274"/>
      <c r="AT141" s="231"/>
      <c r="AU141" s="37">
        <v>0</v>
      </c>
      <c r="AV141" s="36"/>
      <c r="AW141" s="19"/>
      <c r="AX141" s="274"/>
      <c r="AY141" s="231"/>
      <c r="AZ141" s="37">
        <v>0</v>
      </c>
      <c r="BA141" s="36"/>
      <c r="BB141" s="19"/>
      <c r="BC141" s="274"/>
      <c r="BD141" s="231"/>
      <c r="BE141" s="37">
        <v>0</v>
      </c>
      <c r="BF141" s="36"/>
      <c r="BG141" s="19"/>
      <c r="BH141" s="274"/>
      <c r="BI141" s="231"/>
      <c r="BJ141" s="37">
        <v>0</v>
      </c>
      <c r="BK141" s="36"/>
      <c r="BL141" s="19"/>
      <c r="BM141" s="274"/>
      <c r="BN141" s="231"/>
      <c r="BO141" s="37">
        <v>0</v>
      </c>
      <c r="BP141" s="36"/>
      <c r="BQ141" s="19"/>
      <c r="BR141" s="274"/>
      <c r="BS141" s="231"/>
      <c r="BT141" s="37">
        <f>SUM(L141:BO141)</f>
        <v>0</v>
      </c>
      <c r="BU141" s="36"/>
      <c r="BV141" s="19"/>
      <c r="BW141" s="274"/>
      <c r="BX141" s="231"/>
      <c r="BY141" s="37">
        <v>0</v>
      </c>
      <c r="BZ141" s="36"/>
      <c r="CA141" s="19"/>
      <c r="CB141" s="274"/>
      <c r="CC141" s="276"/>
      <c r="CD141" s="37">
        <v>0</v>
      </c>
      <c r="CE141" s="36"/>
      <c r="CF141" s="19"/>
      <c r="CG141" s="274"/>
      <c r="CH141" s="276"/>
      <c r="CI141" s="37">
        <v>0</v>
      </c>
      <c r="CJ141" s="36"/>
      <c r="CK141" s="19"/>
      <c r="CL141" s="274"/>
      <c r="CM141" s="276"/>
      <c r="CN141" s="37">
        <v>0</v>
      </c>
      <c r="CO141" s="36"/>
      <c r="CP141" s="19"/>
      <c r="CQ141" s="274"/>
      <c r="CR141" s="276"/>
      <c r="CS141" s="37">
        <v>0</v>
      </c>
      <c r="CT141" s="36"/>
      <c r="CU141" s="19"/>
      <c r="CV141" s="274"/>
      <c r="CW141" s="276"/>
      <c r="CX141" s="37">
        <v>0</v>
      </c>
      <c r="CY141" s="36"/>
      <c r="CZ141" s="19"/>
      <c r="DA141" s="274"/>
      <c r="DB141" s="276"/>
      <c r="DC141" s="37">
        <v>0</v>
      </c>
      <c r="DD141" s="36"/>
      <c r="DE141" s="19"/>
      <c r="DF141" s="274"/>
      <c r="DG141" s="276"/>
      <c r="DH141" s="37">
        <v>0</v>
      </c>
      <c r="DI141" s="36"/>
      <c r="DJ141" s="19"/>
      <c r="DK141" s="274"/>
      <c r="DL141" s="231"/>
      <c r="DM141" s="37">
        <v>0</v>
      </c>
      <c r="DN141" s="36"/>
      <c r="DO141" s="19"/>
      <c r="DP141" s="274"/>
      <c r="DQ141" s="231"/>
      <c r="DR141" s="37">
        <v>0</v>
      </c>
      <c r="DS141" s="36"/>
      <c r="DT141" s="19"/>
      <c r="DU141" s="274"/>
      <c r="DV141" s="231"/>
      <c r="DW141" s="37">
        <v>0</v>
      </c>
      <c r="DX141" s="36"/>
      <c r="DY141" s="19"/>
      <c r="DZ141" s="274"/>
      <c r="EA141" s="231"/>
      <c r="EB141" s="37">
        <v>0</v>
      </c>
      <c r="EC141" s="36"/>
      <c r="ED141" s="19"/>
      <c r="EE141" s="274"/>
      <c r="EF141" s="231"/>
      <c r="EG141" s="37">
        <v>0</v>
      </c>
      <c r="EH141" s="36"/>
      <c r="EI141" s="19"/>
      <c r="EJ141" s="274"/>
      <c r="EK141" s="231"/>
      <c r="EL141" s="37">
        <f>SUM(CD141:EG141)</f>
        <v>0</v>
      </c>
      <c r="EM141" s="36"/>
      <c r="EN141" s="19"/>
      <c r="EO141" s="244"/>
      <c r="ER141" s="451"/>
      <c r="ES141" s="451"/>
    </row>
    <row r="142" spans="4:149" ht="12.75" customHeight="1" x14ac:dyDescent="0.2">
      <c r="D142" s="244"/>
      <c r="G142" s="19"/>
      <c r="H142" s="19"/>
      <c r="I142" s="19"/>
      <c r="J142" s="274"/>
      <c r="K142" s="19"/>
      <c r="L142" s="19"/>
      <c r="M142" s="19"/>
      <c r="N142" s="19"/>
      <c r="O142" s="274"/>
      <c r="P142" s="19"/>
      <c r="Q142" s="19"/>
      <c r="R142" s="19"/>
      <c r="S142" s="19"/>
      <c r="T142" s="274"/>
      <c r="U142" s="19"/>
      <c r="V142" s="19"/>
      <c r="W142" s="19"/>
      <c r="X142" s="19"/>
      <c r="Y142" s="274"/>
      <c r="Z142" s="19"/>
      <c r="AA142" s="19"/>
      <c r="AB142" s="19"/>
      <c r="AC142" s="19"/>
      <c r="AD142" s="274"/>
      <c r="AE142" s="19"/>
      <c r="AF142" s="19"/>
      <c r="AG142" s="19"/>
      <c r="AH142" s="19"/>
      <c r="AI142" s="274"/>
      <c r="AJ142" s="19"/>
      <c r="AK142" s="19"/>
      <c r="AL142" s="19"/>
      <c r="AM142" s="19"/>
      <c r="AN142" s="274"/>
      <c r="AO142" s="19"/>
      <c r="AP142" s="19"/>
      <c r="AQ142" s="19"/>
      <c r="AR142" s="19"/>
      <c r="AS142" s="274"/>
      <c r="AT142" s="19"/>
      <c r="AU142" s="19"/>
      <c r="AV142" s="19"/>
      <c r="AW142" s="19"/>
      <c r="AX142" s="274"/>
      <c r="AY142" s="19"/>
      <c r="AZ142" s="19"/>
      <c r="BA142" s="19"/>
      <c r="BB142" s="19"/>
      <c r="BC142" s="274"/>
      <c r="BD142" s="19"/>
      <c r="BE142" s="19"/>
      <c r="BF142" s="19"/>
      <c r="BG142" s="19"/>
      <c r="BH142" s="274"/>
      <c r="BI142" s="19"/>
      <c r="BJ142" s="19"/>
      <c r="BK142" s="19"/>
      <c r="BL142" s="19"/>
      <c r="BM142" s="274"/>
      <c r="BN142" s="19"/>
      <c r="BO142" s="19"/>
      <c r="BP142" s="19"/>
      <c r="BQ142" s="19"/>
      <c r="BR142" s="274"/>
      <c r="BS142" s="19"/>
      <c r="BT142" s="19"/>
      <c r="BU142" s="19"/>
      <c r="BV142" s="19"/>
      <c r="BW142" s="274"/>
      <c r="BX142" s="19"/>
      <c r="BY142" s="19"/>
      <c r="BZ142" s="19"/>
      <c r="CA142" s="19"/>
      <c r="CB142" s="274"/>
      <c r="CC142" s="19"/>
      <c r="CD142" s="19"/>
      <c r="CE142" s="19"/>
      <c r="CF142" s="19"/>
      <c r="CG142" s="274"/>
      <c r="CH142" s="19"/>
      <c r="CI142" s="19"/>
      <c r="CJ142" s="19"/>
      <c r="CK142" s="19"/>
      <c r="CL142" s="274"/>
      <c r="CM142" s="19"/>
      <c r="CN142" s="19"/>
      <c r="CO142" s="19"/>
      <c r="CP142" s="19"/>
      <c r="CQ142" s="274"/>
      <c r="CR142" s="19"/>
      <c r="CS142" s="19"/>
      <c r="CT142" s="19"/>
      <c r="CU142" s="19"/>
      <c r="CV142" s="274"/>
      <c r="CW142" s="19"/>
      <c r="CX142" s="19"/>
      <c r="CY142" s="19"/>
      <c r="CZ142" s="19"/>
      <c r="DA142" s="274"/>
      <c r="DB142" s="19"/>
      <c r="DC142" s="19"/>
      <c r="DD142" s="19"/>
      <c r="DE142" s="19"/>
      <c r="DF142" s="274"/>
      <c r="DG142" s="19"/>
      <c r="DH142" s="19"/>
      <c r="DI142" s="19"/>
      <c r="DJ142" s="19"/>
      <c r="DK142" s="274"/>
      <c r="DL142" s="19"/>
      <c r="DM142" s="19"/>
      <c r="DN142" s="19"/>
      <c r="DO142" s="19"/>
      <c r="DP142" s="274"/>
      <c r="DQ142" s="19"/>
      <c r="DR142" s="19"/>
      <c r="DS142" s="19"/>
      <c r="DT142" s="19"/>
      <c r="DU142" s="274"/>
      <c r="DV142" s="19"/>
      <c r="DW142" s="19"/>
      <c r="DX142" s="19"/>
      <c r="DY142" s="19"/>
      <c r="DZ142" s="274"/>
      <c r="EA142" s="19"/>
      <c r="EB142" s="19"/>
      <c r="EC142" s="19"/>
      <c r="ED142" s="19"/>
      <c r="EE142" s="274"/>
      <c r="EF142" s="19"/>
      <c r="EG142" s="19"/>
      <c r="EH142" s="19"/>
      <c r="EI142" s="19"/>
      <c r="EJ142" s="274"/>
      <c r="EK142" s="19"/>
      <c r="EL142" s="19"/>
      <c r="EM142" s="19"/>
      <c r="EN142" s="19"/>
      <c r="EO142" s="244"/>
      <c r="ER142" s="451"/>
      <c r="ES142" s="451"/>
    </row>
    <row r="143" spans="4:149" ht="12.75" customHeight="1" x14ac:dyDescent="0.2">
      <c r="D143" s="244" t="s">
        <v>371</v>
      </c>
      <c r="G143" s="19">
        <f>SUM(G144:G146)</f>
        <v>0</v>
      </c>
      <c r="H143" s="19"/>
      <c r="I143" s="19"/>
      <c r="J143" s="274"/>
      <c r="K143" s="19"/>
      <c r="L143" s="19">
        <f>SUM(L144:L146)</f>
        <v>0</v>
      </c>
      <c r="M143" s="19"/>
      <c r="N143" s="19"/>
      <c r="O143" s="274"/>
      <c r="P143" s="19"/>
      <c r="Q143" s="19">
        <f>SUM(Q144:Q146)</f>
        <v>0</v>
      </c>
      <c r="R143" s="19"/>
      <c r="S143" s="19"/>
      <c r="T143" s="274"/>
      <c r="U143" s="19"/>
      <c r="V143" s="19">
        <f>SUM(V144:V146)</f>
        <v>0</v>
      </c>
      <c r="W143" s="19"/>
      <c r="X143" s="19"/>
      <c r="Y143" s="274"/>
      <c r="Z143" s="19"/>
      <c r="AA143" s="19">
        <f>SUM(AA144:AA146)</f>
        <v>0</v>
      </c>
      <c r="AB143" s="19"/>
      <c r="AC143" s="19"/>
      <c r="AD143" s="274"/>
      <c r="AE143" s="19"/>
      <c r="AF143" s="19">
        <f>SUM(AF144:AF146)</f>
        <v>0</v>
      </c>
      <c r="AG143" s="19"/>
      <c r="AH143" s="19"/>
      <c r="AI143" s="274"/>
      <c r="AJ143" s="19"/>
      <c r="AK143" s="19">
        <f>SUM(AK144:AK146)</f>
        <v>0</v>
      </c>
      <c r="AL143" s="19"/>
      <c r="AM143" s="19"/>
      <c r="AN143" s="274"/>
      <c r="AO143" s="19"/>
      <c r="AP143" s="19">
        <f>SUM(AP144:AP146)</f>
        <v>0</v>
      </c>
      <c r="AQ143" s="19"/>
      <c r="AR143" s="19"/>
      <c r="AS143" s="274"/>
      <c r="AT143" s="19"/>
      <c r="AU143" s="19">
        <f>SUM(AU144:AU146)</f>
        <v>0</v>
      </c>
      <c r="AV143" s="19"/>
      <c r="AW143" s="19"/>
      <c r="AX143" s="274"/>
      <c r="AY143" s="19"/>
      <c r="AZ143" s="19">
        <f>SUM(AZ144:AZ146)</f>
        <v>0</v>
      </c>
      <c r="BA143" s="19"/>
      <c r="BB143" s="19"/>
      <c r="BC143" s="274"/>
      <c r="BD143" s="19"/>
      <c r="BE143" s="19">
        <f>SUM(BE144:BE146)</f>
        <v>0</v>
      </c>
      <c r="BF143" s="19"/>
      <c r="BG143" s="19"/>
      <c r="BH143" s="274"/>
      <c r="BI143" s="19"/>
      <c r="BJ143" s="19">
        <f>SUM(BJ144:BJ146)</f>
        <v>0</v>
      </c>
      <c r="BK143" s="19"/>
      <c r="BL143" s="19"/>
      <c r="BM143" s="274"/>
      <c r="BN143" s="19"/>
      <c r="BO143" s="19">
        <f>SUM(BO144:BO146)</f>
        <v>0</v>
      </c>
      <c r="BP143" s="19"/>
      <c r="BQ143" s="19"/>
      <c r="BR143" s="274"/>
      <c r="BS143" s="19"/>
      <c r="BT143" s="19">
        <f>SUM(BT144:BT146)</f>
        <v>0</v>
      </c>
      <c r="BU143" s="19"/>
      <c r="BV143" s="19"/>
      <c r="BW143" s="274"/>
      <c r="BX143" s="19"/>
      <c r="BY143" s="19">
        <f>SUM(BY144:BY146)</f>
        <v>1592</v>
      </c>
      <c r="BZ143" s="19"/>
      <c r="CA143" s="19"/>
      <c r="CB143" s="274"/>
      <c r="CC143" s="19"/>
      <c r="CD143" s="19">
        <f>SUM(CD144:CD146)</f>
        <v>0</v>
      </c>
      <c r="CE143" s="19"/>
      <c r="CF143" s="19"/>
      <c r="CG143" s="274"/>
      <c r="CH143" s="19"/>
      <c r="CI143" s="19">
        <f>SUM(CI144:CI146)</f>
        <v>1592</v>
      </c>
      <c r="CJ143" s="19"/>
      <c r="CK143" s="19"/>
      <c r="CL143" s="274"/>
      <c r="CM143" s="19"/>
      <c r="CN143" s="19">
        <f>SUM(CN144:CN146)</f>
        <v>0</v>
      </c>
      <c r="CO143" s="19"/>
      <c r="CP143" s="19"/>
      <c r="CQ143" s="274"/>
      <c r="CR143" s="19"/>
      <c r="CS143" s="19">
        <f>SUM(CS144:CS146)</f>
        <v>0</v>
      </c>
      <c r="CT143" s="19"/>
      <c r="CU143" s="19"/>
      <c r="CV143" s="274"/>
      <c r="CW143" s="19"/>
      <c r="CX143" s="19">
        <f>SUM(CX144:CX146)</f>
        <v>0</v>
      </c>
      <c r="CY143" s="19"/>
      <c r="CZ143" s="19"/>
      <c r="DA143" s="274"/>
      <c r="DB143" s="19"/>
      <c r="DC143" s="19">
        <f>SUM(DC144:DC146)</f>
        <v>0</v>
      </c>
      <c r="DD143" s="19"/>
      <c r="DE143" s="19"/>
      <c r="DF143" s="274"/>
      <c r="DG143" s="19"/>
      <c r="DH143" s="19">
        <f>SUM(DH144:DH146)</f>
        <v>0</v>
      </c>
      <c r="DI143" s="19"/>
      <c r="DJ143" s="19"/>
      <c r="DK143" s="274"/>
      <c r="DL143" s="19"/>
      <c r="DM143" s="19">
        <f>SUM(DM144:DM146)</f>
        <v>0</v>
      </c>
      <c r="DN143" s="19"/>
      <c r="DO143" s="19"/>
      <c r="DP143" s="274"/>
      <c r="DQ143" s="19"/>
      <c r="DR143" s="19">
        <f>SUM(DR144:DR146)</f>
        <v>0</v>
      </c>
      <c r="DS143" s="19"/>
      <c r="DT143" s="19"/>
      <c r="DU143" s="274"/>
      <c r="DV143" s="19"/>
      <c r="DW143" s="19">
        <f>SUM(DW144:DW146)</f>
        <v>0</v>
      </c>
      <c r="DX143" s="19"/>
      <c r="DY143" s="19"/>
      <c r="DZ143" s="274"/>
      <c r="EA143" s="19"/>
      <c r="EB143" s="19">
        <f>SUM(EB144:EB146)</f>
        <v>0</v>
      </c>
      <c r="EC143" s="19"/>
      <c r="ED143" s="19"/>
      <c r="EE143" s="274"/>
      <c r="EF143" s="19"/>
      <c r="EG143" s="19">
        <f>SUM(EG144:EG146)</f>
        <v>0</v>
      </c>
      <c r="EH143" s="19"/>
      <c r="EI143" s="19"/>
      <c r="EJ143" s="274"/>
      <c r="EK143" s="19"/>
      <c r="EL143" s="19">
        <f>SUM(EL144:EL146)</f>
        <v>1592</v>
      </c>
      <c r="EM143" s="19"/>
      <c r="EN143" s="19"/>
      <c r="EO143" s="244"/>
      <c r="ER143" s="451"/>
      <c r="ES143" s="451"/>
    </row>
    <row r="144" spans="4:149" ht="12.75" customHeight="1" x14ac:dyDescent="0.2">
      <c r="D144" s="244" t="s">
        <v>344</v>
      </c>
      <c r="F144" s="112"/>
      <c r="G144" s="374">
        <v>0</v>
      </c>
      <c r="H144" s="475"/>
      <c r="I144" s="19"/>
      <c r="J144" s="274"/>
      <c r="K144" s="173"/>
      <c r="L144" s="374">
        <v>0</v>
      </c>
      <c r="M144" s="475"/>
      <c r="N144" s="19"/>
      <c r="O144" s="274"/>
      <c r="P144" s="173"/>
      <c r="Q144" s="374">
        <v>0</v>
      </c>
      <c r="R144" s="475"/>
      <c r="S144" s="19"/>
      <c r="T144" s="274"/>
      <c r="U144" s="173"/>
      <c r="V144" s="374">
        <v>0</v>
      </c>
      <c r="W144" s="475"/>
      <c r="X144" s="19"/>
      <c r="Y144" s="274"/>
      <c r="Z144" s="173"/>
      <c r="AA144" s="374">
        <v>0</v>
      </c>
      <c r="AB144" s="475"/>
      <c r="AC144" s="19"/>
      <c r="AD144" s="274"/>
      <c r="AE144" s="173"/>
      <c r="AF144" s="374">
        <v>0</v>
      </c>
      <c r="AG144" s="475"/>
      <c r="AH144" s="19"/>
      <c r="AI144" s="274"/>
      <c r="AJ144" s="173"/>
      <c r="AK144" s="374">
        <v>0</v>
      </c>
      <c r="AL144" s="475"/>
      <c r="AM144" s="19"/>
      <c r="AN144" s="274"/>
      <c r="AO144" s="173"/>
      <c r="AP144" s="374">
        <v>0</v>
      </c>
      <c r="AQ144" s="475"/>
      <c r="AR144" s="19"/>
      <c r="AS144" s="274"/>
      <c r="AT144" s="173"/>
      <c r="AU144" s="374">
        <v>0</v>
      </c>
      <c r="AV144" s="475"/>
      <c r="AW144" s="19"/>
      <c r="AX144" s="274"/>
      <c r="AY144" s="173"/>
      <c r="AZ144" s="374">
        <v>0</v>
      </c>
      <c r="BA144" s="475"/>
      <c r="BB144" s="19"/>
      <c r="BC144" s="274"/>
      <c r="BD144" s="173"/>
      <c r="BE144" s="374">
        <v>0</v>
      </c>
      <c r="BF144" s="475"/>
      <c r="BG144" s="19"/>
      <c r="BH144" s="274"/>
      <c r="BI144" s="173"/>
      <c r="BJ144" s="374">
        <v>0</v>
      </c>
      <c r="BK144" s="475"/>
      <c r="BL144" s="19"/>
      <c r="BM144" s="274"/>
      <c r="BN144" s="173"/>
      <c r="BO144" s="374">
        <v>0</v>
      </c>
      <c r="BP144" s="475"/>
      <c r="BQ144" s="19"/>
      <c r="BR144" s="274"/>
      <c r="BS144" s="173"/>
      <c r="BT144" s="374">
        <f>SUM(L144:BO144)</f>
        <v>0</v>
      </c>
      <c r="BU144" s="475"/>
      <c r="BV144" s="19"/>
      <c r="BW144" s="274"/>
      <c r="BX144" s="173"/>
      <c r="BY144" s="374">
        <v>1123</v>
      </c>
      <c r="BZ144" s="475"/>
      <c r="CA144" s="19"/>
      <c r="CB144" s="274"/>
      <c r="CC144" s="173"/>
      <c r="CD144" s="374">
        <v>0</v>
      </c>
      <c r="CE144" s="475"/>
      <c r="CF144" s="19"/>
      <c r="CG144" s="274"/>
      <c r="CH144" s="173"/>
      <c r="CI144" s="374">
        <f>1592-469</f>
        <v>1123</v>
      </c>
      <c r="CJ144" s="475"/>
      <c r="CK144" s="19"/>
      <c r="CL144" s="274"/>
      <c r="CM144" s="173"/>
      <c r="CN144" s="374">
        <v>0</v>
      </c>
      <c r="CO144" s="475"/>
      <c r="CP144" s="19"/>
      <c r="CQ144" s="274"/>
      <c r="CR144" s="173"/>
      <c r="CS144" s="374">
        <v>0</v>
      </c>
      <c r="CT144" s="475"/>
      <c r="CU144" s="19"/>
      <c r="CV144" s="274"/>
      <c r="CW144" s="173"/>
      <c r="CX144" s="374">
        <v>0</v>
      </c>
      <c r="CY144" s="475"/>
      <c r="CZ144" s="19"/>
      <c r="DA144" s="274"/>
      <c r="DB144" s="173"/>
      <c r="DC144" s="374">
        <v>0</v>
      </c>
      <c r="DD144" s="475"/>
      <c r="DE144" s="19"/>
      <c r="DF144" s="274"/>
      <c r="DG144" s="173"/>
      <c r="DH144" s="374">
        <v>0</v>
      </c>
      <c r="DI144" s="475"/>
      <c r="DJ144" s="19"/>
      <c r="DK144" s="274"/>
      <c r="DL144" s="173"/>
      <c r="DM144" s="374">
        <v>0</v>
      </c>
      <c r="DN144" s="475"/>
      <c r="DO144" s="19"/>
      <c r="DP144" s="274"/>
      <c r="DQ144" s="173"/>
      <c r="DR144" s="374">
        <v>0</v>
      </c>
      <c r="DS144" s="475"/>
      <c r="DT144" s="19"/>
      <c r="DU144" s="274"/>
      <c r="DV144" s="173"/>
      <c r="DW144" s="374">
        <v>0</v>
      </c>
      <c r="DX144" s="475"/>
      <c r="DY144" s="19"/>
      <c r="DZ144" s="274"/>
      <c r="EA144" s="173"/>
      <c r="EB144" s="374">
        <v>0</v>
      </c>
      <c r="EC144" s="475"/>
      <c r="ED144" s="19"/>
      <c r="EE144" s="274"/>
      <c r="EF144" s="173"/>
      <c r="EG144" s="374">
        <v>0</v>
      </c>
      <c r="EH144" s="475"/>
      <c r="EI144" s="19"/>
      <c r="EJ144" s="274"/>
      <c r="EK144" s="173"/>
      <c r="EL144" s="374">
        <f>SUM(CD144:EG144)</f>
        <v>1123</v>
      </c>
      <c r="EM144" s="475"/>
      <c r="EN144" s="19"/>
      <c r="EO144" s="244"/>
      <c r="ER144" s="451"/>
      <c r="ES144" s="451"/>
    </row>
    <row r="145" spans="4:149" ht="12.75" customHeight="1" x14ac:dyDescent="0.2">
      <c r="D145" s="244" t="s">
        <v>346</v>
      </c>
      <c r="F145" s="82"/>
      <c r="G145" s="19">
        <v>0</v>
      </c>
      <c r="H145" s="18"/>
      <c r="I145" s="19"/>
      <c r="J145" s="274"/>
      <c r="K145" s="274"/>
      <c r="L145" s="19">
        <v>0</v>
      </c>
      <c r="M145" s="18"/>
      <c r="N145" s="19"/>
      <c r="O145" s="274"/>
      <c r="P145" s="274"/>
      <c r="Q145" s="19">
        <v>0</v>
      </c>
      <c r="R145" s="18"/>
      <c r="S145" s="19"/>
      <c r="T145" s="274"/>
      <c r="U145" s="274"/>
      <c r="V145" s="19">
        <v>0</v>
      </c>
      <c r="W145" s="18"/>
      <c r="X145" s="19"/>
      <c r="Y145" s="274"/>
      <c r="Z145" s="274"/>
      <c r="AA145" s="19">
        <v>0</v>
      </c>
      <c r="AB145" s="18"/>
      <c r="AC145" s="19"/>
      <c r="AD145" s="274"/>
      <c r="AE145" s="274"/>
      <c r="AF145" s="19">
        <v>0</v>
      </c>
      <c r="AG145" s="18"/>
      <c r="AH145" s="19"/>
      <c r="AI145" s="274"/>
      <c r="AJ145" s="274"/>
      <c r="AK145" s="19">
        <v>0</v>
      </c>
      <c r="AL145" s="18"/>
      <c r="AM145" s="19"/>
      <c r="AN145" s="274"/>
      <c r="AO145" s="274"/>
      <c r="AP145" s="19">
        <v>0</v>
      </c>
      <c r="AQ145" s="18"/>
      <c r="AR145" s="19"/>
      <c r="AS145" s="274"/>
      <c r="AT145" s="274"/>
      <c r="AU145" s="19">
        <v>0</v>
      </c>
      <c r="AV145" s="18"/>
      <c r="AW145" s="19"/>
      <c r="AX145" s="274"/>
      <c r="AY145" s="274"/>
      <c r="AZ145" s="19">
        <v>0</v>
      </c>
      <c r="BA145" s="18"/>
      <c r="BB145" s="19"/>
      <c r="BC145" s="274"/>
      <c r="BD145" s="274"/>
      <c r="BE145" s="19">
        <v>0</v>
      </c>
      <c r="BF145" s="18"/>
      <c r="BG145" s="19"/>
      <c r="BH145" s="274"/>
      <c r="BI145" s="274"/>
      <c r="BJ145" s="19">
        <v>0</v>
      </c>
      <c r="BK145" s="18"/>
      <c r="BL145" s="19"/>
      <c r="BM145" s="274"/>
      <c r="BN145" s="274"/>
      <c r="BO145" s="19">
        <v>0</v>
      </c>
      <c r="BP145" s="18"/>
      <c r="BQ145" s="19"/>
      <c r="BR145" s="274"/>
      <c r="BS145" s="274"/>
      <c r="BT145" s="19">
        <f>SUM(L145:BO145)</f>
        <v>0</v>
      </c>
      <c r="BU145" s="18"/>
      <c r="BV145" s="19"/>
      <c r="BW145" s="274"/>
      <c r="BX145" s="274"/>
      <c r="BY145" s="19">
        <v>469</v>
      </c>
      <c r="BZ145" s="18"/>
      <c r="CA145" s="19"/>
      <c r="CB145" s="274"/>
      <c r="CC145" s="274"/>
      <c r="CD145" s="19">
        <v>0</v>
      </c>
      <c r="CE145" s="18"/>
      <c r="CF145" s="19"/>
      <c r="CG145" s="274"/>
      <c r="CH145" s="274"/>
      <c r="CI145" s="19">
        <v>469</v>
      </c>
      <c r="CJ145" s="18"/>
      <c r="CK145" s="19"/>
      <c r="CL145" s="274"/>
      <c r="CM145" s="274"/>
      <c r="CN145" s="19">
        <v>0</v>
      </c>
      <c r="CO145" s="18"/>
      <c r="CP145" s="19"/>
      <c r="CQ145" s="274"/>
      <c r="CR145" s="274"/>
      <c r="CS145" s="19">
        <v>0</v>
      </c>
      <c r="CT145" s="18"/>
      <c r="CU145" s="19"/>
      <c r="CV145" s="274"/>
      <c r="CW145" s="274"/>
      <c r="CX145" s="19">
        <v>0</v>
      </c>
      <c r="CY145" s="18"/>
      <c r="CZ145" s="19"/>
      <c r="DA145" s="274"/>
      <c r="DB145" s="274"/>
      <c r="DC145" s="19">
        <v>0</v>
      </c>
      <c r="DD145" s="18"/>
      <c r="DE145" s="19"/>
      <c r="DF145" s="274"/>
      <c r="DG145" s="274"/>
      <c r="DH145" s="19">
        <v>0</v>
      </c>
      <c r="DI145" s="18"/>
      <c r="DJ145" s="19"/>
      <c r="DK145" s="274"/>
      <c r="DL145" s="274"/>
      <c r="DM145" s="19">
        <v>0</v>
      </c>
      <c r="DN145" s="18"/>
      <c r="DO145" s="19"/>
      <c r="DP145" s="274"/>
      <c r="DQ145" s="274"/>
      <c r="DR145" s="19">
        <v>0</v>
      </c>
      <c r="DS145" s="18"/>
      <c r="DT145" s="19"/>
      <c r="DU145" s="274"/>
      <c r="DV145" s="274"/>
      <c r="DW145" s="19">
        <v>0</v>
      </c>
      <c r="DX145" s="18"/>
      <c r="DY145" s="19"/>
      <c r="DZ145" s="274"/>
      <c r="EA145" s="274"/>
      <c r="EB145" s="19">
        <v>0</v>
      </c>
      <c r="EC145" s="18"/>
      <c r="ED145" s="19"/>
      <c r="EE145" s="274"/>
      <c r="EF145" s="274"/>
      <c r="EG145" s="19">
        <v>0</v>
      </c>
      <c r="EH145" s="18"/>
      <c r="EI145" s="19"/>
      <c r="EJ145" s="274"/>
      <c r="EK145" s="274"/>
      <c r="EL145" s="19">
        <f>SUM(CD145:EG145)</f>
        <v>469</v>
      </c>
      <c r="EM145" s="18"/>
      <c r="EN145" s="19"/>
      <c r="EO145" s="244"/>
      <c r="ER145" s="451"/>
      <c r="ES145" s="451"/>
    </row>
    <row r="146" spans="4:149" ht="12.75" customHeight="1" x14ac:dyDescent="0.2">
      <c r="D146" s="244" t="s">
        <v>347</v>
      </c>
      <c r="F146" s="276"/>
      <c r="G146" s="37">
        <v>0</v>
      </c>
      <c r="H146" s="36"/>
      <c r="I146" s="19"/>
      <c r="J146" s="274"/>
      <c r="K146" s="231"/>
      <c r="L146" s="37">
        <v>0</v>
      </c>
      <c r="M146" s="36"/>
      <c r="N146" s="19"/>
      <c r="O146" s="274"/>
      <c r="P146" s="231"/>
      <c r="Q146" s="37">
        <v>0</v>
      </c>
      <c r="R146" s="36"/>
      <c r="S146" s="19"/>
      <c r="T146" s="274"/>
      <c r="U146" s="231"/>
      <c r="V146" s="37">
        <v>0</v>
      </c>
      <c r="W146" s="36"/>
      <c r="X146" s="19"/>
      <c r="Y146" s="274"/>
      <c r="Z146" s="231"/>
      <c r="AA146" s="37">
        <v>0</v>
      </c>
      <c r="AB146" s="36"/>
      <c r="AC146" s="19"/>
      <c r="AD146" s="274"/>
      <c r="AE146" s="231"/>
      <c r="AF146" s="37">
        <v>0</v>
      </c>
      <c r="AG146" s="36"/>
      <c r="AH146" s="19"/>
      <c r="AI146" s="274"/>
      <c r="AJ146" s="231"/>
      <c r="AK146" s="37">
        <v>0</v>
      </c>
      <c r="AL146" s="36"/>
      <c r="AM146" s="19"/>
      <c r="AN146" s="274"/>
      <c r="AO146" s="231"/>
      <c r="AP146" s="37">
        <v>0</v>
      </c>
      <c r="AQ146" s="36"/>
      <c r="AR146" s="19"/>
      <c r="AS146" s="274"/>
      <c r="AT146" s="231"/>
      <c r="AU146" s="37">
        <v>0</v>
      </c>
      <c r="AV146" s="36"/>
      <c r="AW146" s="19"/>
      <c r="AX146" s="274"/>
      <c r="AY146" s="231"/>
      <c r="AZ146" s="37">
        <v>0</v>
      </c>
      <c r="BA146" s="36"/>
      <c r="BB146" s="19"/>
      <c r="BC146" s="274"/>
      <c r="BD146" s="231"/>
      <c r="BE146" s="37">
        <v>0</v>
      </c>
      <c r="BF146" s="36"/>
      <c r="BG146" s="19"/>
      <c r="BH146" s="274"/>
      <c r="BI146" s="231"/>
      <c r="BJ146" s="37">
        <v>0</v>
      </c>
      <c r="BK146" s="36"/>
      <c r="BL146" s="19"/>
      <c r="BM146" s="274"/>
      <c r="BN146" s="231"/>
      <c r="BO146" s="37">
        <v>0</v>
      </c>
      <c r="BP146" s="36"/>
      <c r="BQ146" s="19"/>
      <c r="BR146" s="274"/>
      <c r="BS146" s="231"/>
      <c r="BT146" s="37">
        <f>SUM(L146:BO146)</f>
        <v>0</v>
      </c>
      <c r="BU146" s="36"/>
      <c r="BV146" s="19"/>
      <c r="BW146" s="274"/>
      <c r="BX146" s="231"/>
      <c r="BY146" s="37">
        <v>0</v>
      </c>
      <c r="BZ146" s="36"/>
      <c r="CA146" s="19"/>
      <c r="CB146" s="274"/>
      <c r="CC146" s="231"/>
      <c r="CD146" s="37">
        <v>0</v>
      </c>
      <c r="CE146" s="36"/>
      <c r="CF146" s="19"/>
      <c r="CG146" s="274"/>
      <c r="CH146" s="231"/>
      <c r="CI146" s="37">
        <v>0</v>
      </c>
      <c r="CJ146" s="36"/>
      <c r="CK146" s="19"/>
      <c r="CL146" s="274"/>
      <c r="CM146" s="231"/>
      <c r="CN146" s="37">
        <v>0</v>
      </c>
      <c r="CO146" s="36"/>
      <c r="CP146" s="19"/>
      <c r="CQ146" s="274"/>
      <c r="CR146" s="231"/>
      <c r="CS146" s="37">
        <v>0</v>
      </c>
      <c r="CT146" s="36"/>
      <c r="CU146" s="19"/>
      <c r="CV146" s="274"/>
      <c r="CW146" s="231"/>
      <c r="CX146" s="37">
        <v>0</v>
      </c>
      <c r="CY146" s="36"/>
      <c r="CZ146" s="19"/>
      <c r="DA146" s="274"/>
      <c r="DB146" s="231"/>
      <c r="DC146" s="37">
        <v>0</v>
      </c>
      <c r="DD146" s="36"/>
      <c r="DE146" s="19"/>
      <c r="DF146" s="274"/>
      <c r="DG146" s="231"/>
      <c r="DH146" s="37">
        <v>0</v>
      </c>
      <c r="DI146" s="36"/>
      <c r="DJ146" s="19"/>
      <c r="DK146" s="274"/>
      <c r="DL146" s="231"/>
      <c r="DM146" s="37">
        <v>0</v>
      </c>
      <c r="DN146" s="36"/>
      <c r="DO146" s="19"/>
      <c r="DP146" s="274"/>
      <c r="DQ146" s="231"/>
      <c r="DR146" s="37">
        <v>0</v>
      </c>
      <c r="DS146" s="36"/>
      <c r="DT146" s="19"/>
      <c r="DU146" s="274"/>
      <c r="DV146" s="231"/>
      <c r="DW146" s="37">
        <v>0</v>
      </c>
      <c r="DX146" s="36"/>
      <c r="DY146" s="19"/>
      <c r="DZ146" s="274"/>
      <c r="EA146" s="231"/>
      <c r="EB146" s="37">
        <v>0</v>
      </c>
      <c r="EC146" s="36"/>
      <c r="ED146" s="19"/>
      <c r="EE146" s="274"/>
      <c r="EF146" s="231"/>
      <c r="EG146" s="37">
        <v>0</v>
      </c>
      <c r="EH146" s="36"/>
      <c r="EI146" s="19"/>
      <c r="EJ146" s="274"/>
      <c r="EK146" s="231"/>
      <c r="EL146" s="37">
        <f>SUM(CD146:EG146)</f>
        <v>0</v>
      </c>
      <c r="EM146" s="36"/>
      <c r="EN146" s="19"/>
      <c r="EO146" s="244"/>
      <c r="ER146" s="451"/>
      <c r="ES146" s="451"/>
    </row>
    <row r="147" spans="4:149" ht="12.75" customHeight="1" x14ac:dyDescent="0.2">
      <c r="D147" s="244"/>
      <c r="G147" s="19"/>
      <c r="H147" s="19"/>
      <c r="I147" s="19"/>
      <c r="J147" s="274"/>
      <c r="K147" s="19"/>
      <c r="L147" s="19"/>
      <c r="M147" s="19"/>
      <c r="N147" s="19"/>
      <c r="O147" s="274"/>
      <c r="P147" s="19"/>
      <c r="Q147" s="19"/>
      <c r="R147" s="19"/>
      <c r="S147" s="19"/>
      <c r="T147" s="274"/>
      <c r="U147" s="19"/>
      <c r="V147" s="19"/>
      <c r="W147" s="19"/>
      <c r="X147" s="19"/>
      <c r="Y147" s="274"/>
      <c r="Z147" s="19"/>
      <c r="AA147" s="19"/>
      <c r="AB147" s="19"/>
      <c r="AC147" s="19"/>
      <c r="AD147" s="274"/>
      <c r="AE147" s="19"/>
      <c r="AF147" s="19"/>
      <c r="AG147" s="19"/>
      <c r="AH147" s="19"/>
      <c r="AI147" s="274"/>
      <c r="AJ147" s="19"/>
      <c r="AK147" s="19"/>
      <c r="AL147" s="19"/>
      <c r="AM147" s="19"/>
      <c r="AN147" s="274"/>
      <c r="AO147" s="19"/>
      <c r="AP147" s="19"/>
      <c r="AQ147" s="19"/>
      <c r="AR147" s="19"/>
      <c r="AS147" s="274"/>
      <c r="AT147" s="19"/>
      <c r="AU147" s="19"/>
      <c r="AV147" s="19"/>
      <c r="AW147" s="19"/>
      <c r="AX147" s="274"/>
      <c r="AY147" s="19"/>
      <c r="AZ147" s="19"/>
      <c r="BA147" s="19"/>
      <c r="BB147" s="19"/>
      <c r="BC147" s="274"/>
      <c r="BD147" s="19"/>
      <c r="BE147" s="19"/>
      <c r="BF147" s="19"/>
      <c r="BG147" s="19"/>
      <c r="BH147" s="274"/>
      <c r="BI147" s="19"/>
      <c r="BJ147" s="19"/>
      <c r="BK147" s="19"/>
      <c r="BL147" s="19"/>
      <c r="BM147" s="274"/>
      <c r="BN147" s="19"/>
      <c r="BO147" s="19"/>
      <c r="BP147" s="19"/>
      <c r="BQ147" s="19"/>
      <c r="BR147" s="274"/>
      <c r="BS147" s="19"/>
      <c r="BT147" s="19"/>
      <c r="BU147" s="19"/>
      <c r="BV147" s="19"/>
      <c r="BW147" s="274"/>
      <c r="BX147" s="19"/>
      <c r="BY147" s="19"/>
      <c r="BZ147" s="19"/>
      <c r="CA147" s="19"/>
      <c r="CB147" s="274"/>
      <c r="CC147" s="19"/>
      <c r="CD147" s="19"/>
      <c r="CE147" s="19"/>
      <c r="CF147" s="19"/>
      <c r="CG147" s="274"/>
      <c r="CH147" s="19"/>
      <c r="CI147" s="19"/>
      <c r="CJ147" s="19"/>
      <c r="CK147" s="19"/>
      <c r="CL147" s="274"/>
      <c r="CM147" s="19"/>
      <c r="CN147" s="19"/>
      <c r="CO147" s="19"/>
      <c r="CP147" s="19"/>
      <c r="CQ147" s="274"/>
      <c r="CR147" s="19"/>
      <c r="CS147" s="19"/>
      <c r="CT147" s="19"/>
      <c r="CU147" s="19"/>
      <c r="CV147" s="274"/>
      <c r="CW147" s="19"/>
      <c r="CX147" s="19"/>
      <c r="CY147" s="19"/>
      <c r="CZ147" s="19"/>
      <c r="DA147" s="274"/>
      <c r="DB147" s="19"/>
      <c r="DC147" s="19"/>
      <c r="DD147" s="19"/>
      <c r="DE147" s="19"/>
      <c r="DF147" s="274"/>
      <c r="DG147" s="19"/>
      <c r="DH147" s="19"/>
      <c r="DI147" s="19"/>
      <c r="DJ147" s="19"/>
      <c r="DK147" s="274"/>
      <c r="DL147" s="19"/>
      <c r="DM147" s="19"/>
      <c r="DN147" s="19"/>
      <c r="DO147" s="19"/>
      <c r="DP147" s="274"/>
      <c r="DQ147" s="19"/>
      <c r="DR147" s="19"/>
      <c r="DS147" s="19"/>
      <c r="DT147" s="19"/>
      <c r="DU147" s="274"/>
      <c r="DV147" s="19"/>
      <c r="DW147" s="19"/>
      <c r="DX147" s="19"/>
      <c r="DY147" s="19"/>
      <c r="DZ147" s="274"/>
      <c r="EA147" s="19"/>
      <c r="EB147" s="19"/>
      <c r="EC147" s="19"/>
      <c r="ED147" s="19"/>
      <c r="EE147" s="274"/>
      <c r="EF147" s="19"/>
      <c r="EG147" s="19"/>
      <c r="EH147" s="19"/>
      <c r="EI147" s="19"/>
      <c r="EJ147" s="274"/>
      <c r="EK147" s="19"/>
      <c r="EL147" s="19"/>
      <c r="EM147" s="19"/>
      <c r="EN147" s="19"/>
      <c r="EO147" s="244"/>
      <c r="ER147" s="451"/>
      <c r="ES147" s="451"/>
    </row>
    <row r="148" spans="4:149" ht="12.75" customHeight="1" x14ac:dyDescent="0.2">
      <c r="D148" s="244" t="s">
        <v>372</v>
      </c>
      <c r="G148" s="19">
        <f>SUM(G149:G151)</f>
        <v>0</v>
      </c>
      <c r="H148" s="19"/>
      <c r="I148" s="19"/>
      <c r="J148" s="274"/>
      <c r="K148" s="19"/>
      <c r="L148" s="19">
        <f>SUM(L149:L151)</f>
        <v>5260000</v>
      </c>
      <c r="M148" s="19"/>
      <c r="N148" s="19"/>
      <c r="O148" s="274"/>
      <c r="P148" s="19"/>
      <c r="Q148" s="19">
        <f>SUM(Q149:Q151)</f>
        <v>6040000</v>
      </c>
      <c r="R148" s="19"/>
      <c r="S148" s="19"/>
      <c r="T148" s="274"/>
      <c r="U148" s="19"/>
      <c r="V148" s="19">
        <f>SUM(V149:V151)</f>
        <v>0</v>
      </c>
      <c r="W148" s="19"/>
      <c r="X148" s="19"/>
      <c r="Y148" s="274"/>
      <c r="Z148" s="19"/>
      <c r="AA148" s="19">
        <f>SUM(AA149:AA151)</f>
        <v>0</v>
      </c>
      <c r="AB148" s="19"/>
      <c r="AC148" s="19"/>
      <c r="AD148" s="274"/>
      <c r="AE148" s="19"/>
      <c r="AF148" s="19">
        <f>SUM(AF149:AF151)</f>
        <v>0</v>
      </c>
      <c r="AG148" s="19"/>
      <c r="AH148" s="19"/>
      <c r="AI148" s="274"/>
      <c r="AJ148" s="19"/>
      <c r="AK148" s="19">
        <f>SUM(AK149:AK151)</f>
        <v>0</v>
      </c>
      <c r="AL148" s="19"/>
      <c r="AM148" s="19"/>
      <c r="AN148" s="274"/>
      <c r="AO148" s="19"/>
      <c r="AP148" s="19">
        <f>SUM(AP149:AP151)</f>
        <v>0</v>
      </c>
      <c r="AQ148" s="19"/>
      <c r="AR148" s="19"/>
      <c r="AS148" s="274"/>
      <c r="AT148" s="19"/>
      <c r="AU148" s="19">
        <f>SUM(AU149:AU151)</f>
        <v>0</v>
      </c>
      <c r="AV148" s="19"/>
      <c r="AW148" s="19"/>
      <c r="AX148" s="274"/>
      <c r="AY148" s="19"/>
      <c r="AZ148" s="19">
        <f>SUM(AZ149:AZ151)</f>
        <v>0</v>
      </c>
      <c r="BA148" s="19"/>
      <c r="BB148" s="19"/>
      <c r="BC148" s="274"/>
      <c r="BD148" s="19"/>
      <c r="BE148" s="19">
        <f>SUM(BE149:BE151)</f>
        <v>0</v>
      </c>
      <c r="BF148" s="19"/>
      <c r="BG148" s="19"/>
      <c r="BH148" s="274"/>
      <c r="BI148" s="19"/>
      <c r="BJ148" s="19">
        <f>SUM(BJ149:BJ151)</f>
        <v>0</v>
      </c>
      <c r="BK148" s="19"/>
      <c r="BL148" s="19"/>
      <c r="BM148" s="274"/>
      <c r="BN148" s="19"/>
      <c r="BO148" s="19">
        <f>SUM(BO149:BO151)</f>
        <v>0</v>
      </c>
      <c r="BP148" s="19"/>
      <c r="BQ148" s="19"/>
      <c r="BR148" s="274"/>
      <c r="BS148" s="19"/>
      <c r="BT148" s="19">
        <f>SUM(BT149:BT151)</f>
        <v>11300000</v>
      </c>
      <c r="BU148" s="19"/>
      <c r="BV148" s="19"/>
      <c r="BW148" s="274"/>
      <c r="BX148" s="19"/>
      <c r="BY148" s="19">
        <f>SUM(BY149:BY151)</f>
        <v>24103092</v>
      </c>
      <c r="BZ148" s="19"/>
      <c r="CA148" s="19"/>
      <c r="CB148" s="274"/>
      <c r="CC148" s="19"/>
      <c r="CD148" s="19">
        <f>SUM(CD149:CD151)</f>
        <v>2541000</v>
      </c>
      <c r="CE148" s="19"/>
      <c r="CF148" s="19"/>
      <c r="CG148" s="274"/>
      <c r="CH148" s="19"/>
      <c r="CI148" s="19">
        <f>SUM(CI149:CI151)</f>
        <v>5976092</v>
      </c>
      <c r="CJ148" s="19"/>
      <c r="CK148" s="19"/>
      <c r="CL148" s="274"/>
      <c r="CM148" s="19"/>
      <c r="CN148" s="19">
        <f>SUM(CN149:CN151)</f>
        <v>496000</v>
      </c>
      <c r="CO148" s="19"/>
      <c r="CP148" s="19"/>
      <c r="CQ148" s="274"/>
      <c r="CR148" s="19"/>
      <c r="CS148" s="19">
        <f>SUM(CS149:CS151)</f>
        <v>1653000</v>
      </c>
      <c r="CT148" s="19"/>
      <c r="CU148" s="19"/>
      <c r="CV148" s="274"/>
      <c r="CW148" s="19"/>
      <c r="CX148" s="19">
        <f>SUM(CX149:CX151)</f>
        <v>0</v>
      </c>
      <c r="CY148" s="19"/>
      <c r="CZ148" s="19"/>
      <c r="DA148" s="274"/>
      <c r="DB148" s="19"/>
      <c r="DC148" s="19">
        <f>SUM(DC149:DC151)</f>
        <v>3238000</v>
      </c>
      <c r="DD148" s="19"/>
      <c r="DE148" s="19"/>
      <c r="DF148" s="274"/>
      <c r="DG148" s="19"/>
      <c r="DH148" s="19">
        <f>SUM(DH149:DH151)</f>
        <v>4911000</v>
      </c>
      <c r="DI148" s="19"/>
      <c r="DJ148" s="19"/>
      <c r="DK148" s="274"/>
      <c r="DL148" s="19"/>
      <c r="DM148" s="19">
        <f>SUM(DM149:DM151)</f>
        <v>1510000</v>
      </c>
      <c r="DN148" s="19"/>
      <c r="DO148" s="19"/>
      <c r="DP148" s="274"/>
      <c r="DQ148" s="19"/>
      <c r="DR148" s="19">
        <f>SUM(DR149:DR151)</f>
        <v>3778000</v>
      </c>
      <c r="DS148" s="19"/>
      <c r="DT148" s="19"/>
      <c r="DU148" s="274"/>
      <c r="DV148" s="19"/>
      <c r="DW148" s="19">
        <f>SUM(DW149:DW151)</f>
        <v>0</v>
      </c>
      <c r="DX148" s="19"/>
      <c r="DY148" s="19"/>
      <c r="DZ148" s="274"/>
      <c r="EA148" s="19"/>
      <c r="EB148" s="19">
        <f>SUM(EB149:EB151)</f>
        <v>0</v>
      </c>
      <c r="EC148" s="19"/>
      <c r="ED148" s="19"/>
      <c r="EE148" s="274"/>
      <c r="EF148" s="19"/>
      <c r="EG148" s="19">
        <f>SUM(EG149:EG151)</f>
        <v>0</v>
      </c>
      <c r="EH148" s="19"/>
      <c r="EI148" s="19"/>
      <c r="EJ148" s="274"/>
      <c r="EK148" s="19"/>
      <c r="EL148" s="19">
        <f>SUM(EL149:EL151)</f>
        <v>24103092</v>
      </c>
      <c r="EM148" s="19"/>
      <c r="EN148" s="19"/>
      <c r="EO148" s="244"/>
      <c r="ER148" s="451"/>
      <c r="ES148" s="451"/>
    </row>
    <row r="149" spans="4:149" ht="12.75" customHeight="1" x14ac:dyDescent="0.2">
      <c r="D149" s="244" t="s">
        <v>344</v>
      </c>
      <c r="F149" s="112"/>
      <c r="G149" s="374">
        <v>0</v>
      </c>
      <c r="H149" s="475"/>
      <c r="I149" s="19"/>
      <c r="J149" s="274"/>
      <c r="K149" s="173"/>
      <c r="L149" s="374">
        <f>5260000+82405</f>
        <v>5342405</v>
      </c>
      <c r="M149" s="475"/>
      <c r="N149" s="19"/>
      <c r="O149" s="274"/>
      <c r="P149" s="173"/>
      <c r="Q149" s="374">
        <f>6040000+364741</f>
        <v>6404741</v>
      </c>
      <c r="R149" s="475"/>
      <c r="S149" s="19"/>
      <c r="T149" s="274"/>
      <c r="U149" s="173"/>
      <c r="V149" s="374">
        <v>0</v>
      </c>
      <c r="W149" s="475"/>
      <c r="X149" s="19"/>
      <c r="Y149" s="274"/>
      <c r="Z149" s="173"/>
      <c r="AA149" s="374">
        <v>0</v>
      </c>
      <c r="AB149" s="475"/>
      <c r="AC149" s="19"/>
      <c r="AD149" s="274"/>
      <c r="AE149" s="173"/>
      <c r="AF149" s="374">
        <v>0</v>
      </c>
      <c r="AG149" s="475"/>
      <c r="AH149" s="19"/>
      <c r="AI149" s="274"/>
      <c r="AJ149" s="173"/>
      <c r="AK149" s="374">
        <v>0</v>
      </c>
      <c r="AL149" s="475"/>
      <c r="AM149" s="19"/>
      <c r="AN149" s="274"/>
      <c r="AO149" s="173"/>
      <c r="AP149" s="374">
        <v>0</v>
      </c>
      <c r="AQ149" s="475"/>
      <c r="AR149" s="19"/>
      <c r="AS149" s="274"/>
      <c r="AT149" s="173"/>
      <c r="AU149" s="374">
        <v>0</v>
      </c>
      <c r="AV149" s="475"/>
      <c r="AW149" s="19"/>
      <c r="AX149" s="274"/>
      <c r="AY149" s="173"/>
      <c r="AZ149" s="374">
        <v>0</v>
      </c>
      <c r="BA149" s="475"/>
      <c r="BB149" s="19"/>
      <c r="BC149" s="274"/>
      <c r="BD149" s="173"/>
      <c r="BE149" s="374">
        <v>0</v>
      </c>
      <c r="BF149" s="475"/>
      <c r="BG149" s="19"/>
      <c r="BH149" s="274"/>
      <c r="BI149" s="173"/>
      <c r="BJ149" s="374">
        <v>0</v>
      </c>
      <c r="BK149" s="475"/>
      <c r="BL149" s="19"/>
      <c r="BM149" s="274"/>
      <c r="BN149" s="173"/>
      <c r="BO149" s="374">
        <v>0</v>
      </c>
      <c r="BP149" s="475"/>
      <c r="BQ149" s="19"/>
      <c r="BR149" s="274"/>
      <c r="BS149" s="173"/>
      <c r="BT149" s="374">
        <f>SUM(L149:BO149)</f>
        <v>11747146</v>
      </c>
      <c r="BU149" s="475"/>
      <c r="BV149" s="19"/>
      <c r="BW149" s="274"/>
      <c r="BX149" s="173"/>
      <c r="BY149" s="374">
        <v>24337729</v>
      </c>
      <c r="BZ149" s="475"/>
      <c r="CA149" s="19"/>
      <c r="CB149" s="274"/>
      <c r="CC149" s="173"/>
      <c r="CD149" s="374">
        <f>2541000+10556</f>
        <v>2551556</v>
      </c>
      <c r="CE149" s="475"/>
      <c r="CF149" s="19"/>
      <c r="CG149" s="274"/>
      <c r="CH149" s="173"/>
      <c r="CI149" s="374">
        <f>5976092-6+24173</f>
        <v>6000259</v>
      </c>
      <c r="CJ149" s="475"/>
      <c r="CK149" s="19"/>
      <c r="CL149" s="274"/>
      <c r="CM149" s="173"/>
      <c r="CN149" s="374">
        <f>496000+3328</f>
        <v>499328</v>
      </c>
      <c r="CO149" s="475"/>
      <c r="CP149" s="19"/>
      <c r="CQ149" s="274"/>
      <c r="CR149" s="173"/>
      <c r="CS149" s="374">
        <f>1676387</f>
        <v>1676387</v>
      </c>
      <c r="CT149" s="475"/>
      <c r="CU149" s="19"/>
      <c r="CV149" s="274"/>
      <c r="CW149" s="173"/>
      <c r="CX149" s="374">
        <v>0</v>
      </c>
      <c r="CY149" s="475"/>
      <c r="CZ149" s="19"/>
      <c r="DA149" s="274"/>
      <c r="DB149" s="173"/>
      <c r="DC149" s="374">
        <f>3238000+44207</f>
        <v>3282207</v>
      </c>
      <c r="DD149" s="475"/>
      <c r="DE149" s="19"/>
      <c r="DF149" s="274"/>
      <c r="DG149" s="173"/>
      <c r="DH149" s="374">
        <f>4911000+54544</f>
        <v>4965544</v>
      </c>
      <c r="DI149" s="475"/>
      <c r="DJ149" s="19"/>
      <c r="DK149" s="274"/>
      <c r="DL149" s="173"/>
      <c r="DM149" s="374">
        <f>1510000+21022</f>
        <v>1531022</v>
      </c>
      <c r="DN149" s="475"/>
      <c r="DO149" s="19"/>
      <c r="DP149" s="274"/>
      <c r="DQ149" s="173"/>
      <c r="DR149" s="374">
        <f>3778000+53426</f>
        <v>3831426</v>
      </c>
      <c r="DS149" s="475"/>
      <c r="DT149" s="19"/>
      <c r="DU149" s="274"/>
      <c r="DV149" s="173"/>
      <c r="DW149" s="374">
        <v>0</v>
      </c>
      <c r="DX149" s="475"/>
      <c r="DY149" s="19"/>
      <c r="DZ149" s="274"/>
      <c r="EA149" s="173"/>
      <c r="EB149" s="374">
        <v>0</v>
      </c>
      <c r="EC149" s="475"/>
      <c r="ED149" s="19"/>
      <c r="EE149" s="274"/>
      <c r="EF149" s="173"/>
      <c r="EG149" s="374">
        <v>0</v>
      </c>
      <c r="EH149" s="475"/>
      <c r="EI149" s="19"/>
      <c r="EJ149" s="274"/>
      <c r="EK149" s="173"/>
      <c r="EL149" s="374">
        <f>SUM(CD149:EG149)</f>
        <v>24337729</v>
      </c>
      <c r="EM149" s="475"/>
      <c r="EN149" s="19"/>
      <c r="EO149" s="244"/>
      <c r="ER149" s="451"/>
      <c r="ES149" s="451"/>
    </row>
    <row r="150" spans="4:149" ht="12.75" customHeight="1" x14ac:dyDescent="0.2">
      <c r="D150" s="244" t="s">
        <v>346</v>
      </c>
      <c r="F150" s="82"/>
      <c r="G150" s="19">
        <v>0</v>
      </c>
      <c r="H150" s="18"/>
      <c r="I150" s="19"/>
      <c r="J150" s="274"/>
      <c r="K150" s="274"/>
      <c r="L150" s="19">
        <v>0</v>
      </c>
      <c r="M150" s="18"/>
      <c r="N150" s="19"/>
      <c r="O150" s="274"/>
      <c r="P150" s="274"/>
      <c r="Q150" s="19">
        <v>0</v>
      </c>
      <c r="R150" s="18"/>
      <c r="S150" s="19"/>
      <c r="T150" s="274"/>
      <c r="U150" s="274"/>
      <c r="V150" s="19">
        <v>0</v>
      </c>
      <c r="W150" s="18"/>
      <c r="X150" s="19"/>
      <c r="Y150" s="274"/>
      <c r="Z150" s="274"/>
      <c r="AA150" s="19">
        <v>0</v>
      </c>
      <c r="AB150" s="18"/>
      <c r="AC150" s="19"/>
      <c r="AD150" s="274"/>
      <c r="AE150" s="274"/>
      <c r="AF150" s="19">
        <v>0</v>
      </c>
      <c r="AG150" s="18"/>
      <c r="AH150" s="19"/>
      <c r="AI150" s="274"/>
      <c r="AJ150" s="274"/>
      <c r="AK150" s="19">
        <v>0</v>
      </c>
      <c r="AL150" s="18"/>
      <c r="AM150" s="19"/>
      <c r="AN150" s="274"/>
      <c r="AO150" s="274"/>
      <c r="AP150" s="19">
        <v>0</v>
      </c>
      <c r="AQ150" s="18"/>
      <c r="AR150" s="19"/>
      <c r="AS150" s="274"/>
      <c r="AT150" s="274"/>
      <c r="AU150" s="19">
        <v>0</v>
      </c>
      <c r="AV150" s="18"/>
      <c r="AW150" s="19"/>
      <c r="AX150" s="274"/>
      <c r="AY150" s="274"/>
      <c r="AZ150" s="19">
        <v>0</v>
      </c>
      <c r="BA150" s="18"/>
      <c r="BB150" s="19"/>
      <c r="BC150" s="274"/>
      <c r="BD150" s="274"/>
      <c r="BE150" s="19">
        <v>0</v>
      </c>
      <c r="BF150" s="18"/>
      <c r="BG150" s="19"/>
      <c r="BH150" s="274"/>
      <c r="BI150" s="274"/>
      <c r="BJ150" s="19">
        <v>0</v>
      </c>
      <c r="BK150" s="18"/>
      <c r="BL150" s="19"/>
      <c r="BM150" s="274"/>
      <c r="BN150" s="274"/>
      <c r="BO150" s="19">
        <v>0</v>
      </c>
      <c r="BP150" s="18"/>
      <c r="BQ150" s="19"/>
      <c r="BR150" s="274"/>
      <c r="BS150" s="274"/>
      <c r="BT150" s="19">
        <f>SUM(L150:BO150)</f>
        <v>0</v>
      </c>
      <c r="BU150" s="18"/>
      <c r="BV150" s="19"/>
      <c r="BW150" s="274"/>
      <c r="BX150" s="274"/>
      <c r="BY150" s="19">
        <v>6</v>
      </c>
      <c r="BZ150" s="18"/>
      <c r="CA150" s="19"/>
      <c r="CB150" s="274"/>
      <c r="CC150" s="274"/>
      <c r="CD150" s="19">
        <v>0</v>
      </c>
      <c r="CE150" s="18"/>
      <c r="CF150" s="19"/>
      <c r="CG150" s="274"/>
      <c r="CH150" s="274"/>
      <c r="CI150" s="19">
        <v>6</v>
      </c>
      <c r="CJ150" s="18"/>
      <c r="CK150" s="19"/>
      <c r="CL150" s="274"/>
      <c r="CM150" s="274"/>
      <c r="CN150" s="19">
        <v>0</v>
      </c>
      <c r="CO150" s="18"/>
      <c r="CP150" s="19"/>
      <c r="CQ150" s="274"/>
      <c r="CR150" s="274"/>
      <c r="CS150" s="19">
        <v>0</v>
      </c>
      <c r="CT150" s="18"/>
      <c r="CU150" s="19"/>
      <c r="CV150" s="274"/>
      <c r="CW150" s="274"/>
      <c r="CX150" s="19">
        <v>0</v>
      </c>
      <c r="CY150" s="18"/>
      <c r="CZ150" s="19"/>
      <c r="DA150" s="274"/>
      <c r="DB150" s="274"/>
      <c r="DC150" s="19">
        <v>0</v>
      </c>
      <c r="DD150" s="18"/>
      <c r="DE150" s="19"/>
      <c r="DF150" s="274"/>
      <c r="DG150" s="274"/>
      <c r="DH150" s="19">
        <v>0</v>
      </c>
      <c r="DI150" s="18"/>
      <c r="DJ150" s="19"/>
      <c r="DK150" s="274"/>
      <c r="DL150" s="274"/>
      <c r="DM150" s="19">
        <v>0</v>
      </c>
      <c r="DN150" s="18"/>
      <c r="DO150" s="19"/>
      <c r="DP150" s="274"/>
      <c r="DQ150" s="274"/>
      <c r="DR150" s="19">
        <v>0</v>
      </c>
      <c r="DS150" s="18"/>
      <c r="DT150" s="19"/>
      <c r="DU150" s="274"/>
      <c r="DV150" s="274"/>
      <c r="DW150" s="19">
        <v>0</v>
      </c>
      <c r="DX150" s="18"/>
      <c r="DY150" s="19"/>
      <c r="DZ150" s="274"/>
      <c r="EA150" s="274"/>
      <c r="EB150" s="19">
        <v>0</v>
      </c>
      <c r="EC150" s="18"/>
      <c r="ED150" s="19"/>
      <c r="EE150" s="274"/>
      <c r="EF150" s="274"/>
      <c r="EG150" s="19">
        <v>0</v>
      </c>
      <c r="EH150" s="18"/>
      <c r="EI150" s="19"/>
      <c r="EJ150" s="274"/>
      <c r="EK150" s="274"/>
      <c r="EL150" s="19">
        <f>SUM(CD150:EG150)</f>
        <v>6</v>
      </c>
      <c r="EM150" s="18"/>
      <c r="EN150" s="19"/>
      <c r="EO150" s="244"/>
      <c r="ER150" s="451"/>
      <c r="ES150" s="451"/>
    </row>
    <row r="151" spans="4:149" ht="12.75" customHeight="1" x14ac:dyDescent="0.2">
      <c r="D151" s="244" t="s">
        <v>347</v>
      </c>
      <c r="F151" s="276"/>
      <c r="G151" s="37">
        <v>0</v>
      </c>
      <c r="H151" s="36"/>
      <c r="I151" s="19"/>
      <c r="J151" s="274"/>
      <c r="K151" s="231"/>
      <c r="L151" s="37">
        <v>-82405</v>
      </c>
      <c r="M151" s="36"/>
      <c r="N151" s="19"/>
      <c r="O151" s="274"/>
      <c r="P151" s="231"/>
      <c r="Q151" s="37">
        <v>-364741</v>
      </c>
      <c r="R151" s="36"/>
      <c r="S151" s="19"/>
      <c r="T151" s="274"/>
      <c r="U151" s="231"/>
      <c r="V151" s="37">
        <v>0</v>
      </c>
      <c r="W151" s="36"/>
      <c r="X151" s="19"/>
      <c r="Y151" s="274"/>
      <c r="Z151" s="231"/>
      <c r="AA151" s="37">
        <v>0</v>
      </c>
      <c r="AB151" s="36"/>
      <c r="AC151" s="19"/>
      <c r="AD151" s="274"/>
      <c r="AE151" s="231"/>
      <c r="AF151" s="37">
        <v>0</v>
      </c>
      <c r="AG151" s="36"/>
      <c r="AH151" s="19"/>
      <c r="AI151" s="274"/>
      <c r="AJ151" s="231"/>
      <c r="AK151" s="37">
        <v>0</v>
      </c>
      <c r="AL151" s="36"/>
      <c r="AM151" s="19"/>
      <c r="AN151" s="274"/>
      <c r="AO151" s="231"/>
      <c r="AP151" s="37">
        <v>0</v>
      </c>
      <c r="AQ151" s="36"/>
      <c r="AR151" s="19"/>
      <c r="AS151" s="274"/>
      <c r="AT151" s="231"/>
      <c r="AU151" s="37">
        <v>0</v>
      </c>
      <c r="AV151" s="36"/>
      <c r="AW151" s="19"/>
      <c r="AX151" s="274"/>
      <c r="AY151" s="231"/>
      <c r="AZ151" s="37">
        <v>0</v>
      </c>
      <c r="BA151" s="36"/>
      <c r="BB151" s="19"/>
      <c r="BC151" s="274"/>
      <c r="BD151" s="231"/>
      <c r="BE151" s="37">
        <v>0</v>
      </c>
      <c r="BF151" s="36"/>
      <c r="BG151" s="19"/>
      <c r="BH151" s="274"/>
      <c r="BI151" s="231"/>
      <c r="BJ151" s="37">
        <v>0</v>
      </c>
      <c r="BK151" s="36"/>
      <c r="BL151" s="19"/>
      <c r="BM151" s="274"/>
      <c r="BN151" s="231"/>
      <c r="BO151" s="37">
        <v>0</v>
      </c>
      <c r="BP151" s="36"/>
      <c r="BQ151" s="19"/>
      <c r="BR151" s="274"/>
      <c r="BS151" s="231"/>
      <c r="BT151" s="37">
        <f>SUM(L151:BO151)</f>
        <v>-447146</v>
      </c>
      <c r="BU151" s="36"/>
      <c r="BV151" s="19"/>
      <c r="BW151" s="274"/>
      <c r="BX151" s="231"/>
      <c r="BY151" s="37">
        <v>-234643</v>
      </c>
      <c r="BZ151" s="36"/>
      <c r="CA151" s="19"/>
      <c r="CB151" s="274"/>
      <c r="CC151" s="231"/>
      <c r="CD151" s="37">
        <v>-10556</v>
      </c>
      <c r="CE151" s="36"/>
      <c r="CF151" s="19"/>
      <c r="CG151" s="274"/>
      <c r="CH151" s="231"/>
      <c r="CI151" s="37">
        <v>-24173</v>
      </c>
      <c r="CJ151" s="36"/>
      <c r="CK151" s="19"/>
      <c r="CL151" s="274"/>
      <c r="CM151" s="231"/>
      <c r="CN151" s="37">
        <v>-3328</v>
      </c>
      <c r="CO151" s="36"/>
      <c r="CP151" s="19"/>
      <c r="CQ151" s="274"/>
      <c r="CR151" s="231"/>
      <c r="CS151" s="37">
        <v>-23387</v>
      </c>
      <c r="CT151" s="36"/>
      <c r="CU151" s="19"/>
      <c r="CV151" s="274"/>
      <c r="CW151" s="231"/>
      <c r="CX151" s="37">
        <v>0</v>
      </c>
      <c r="CY151" s="36"/>
      <c r="CZ151" s="19"/>
      <c r="DA151" s="274"/>
      <c r="DB151" s="231"/>
      <c r="DC151" s="37">
        <v>-44207</v>
      </c>
      <c r="DD151" s="36"/>
      <c r="DE151" s="19"/>
      <c r="DF151" s="274"/>
      <c r="DG151" s="231"/>
      <c r="DH151" s="37">
        <v>-54544</v>
      </c>
      <c r="DI151" s="36"/>
      <c r="DJ151" s="19"/>
      <c r="DK151" s="274"/>
      <c r="DL151" s="231"/>
      <c r="DM151" s="37">
        <v>-21022</v>
      </c>
      <c r="DN151" s="36"/>
      <c r="DO151" s="19"/>
      <c r="DP151" s="274"/>
      <c r="DQ151" s="231"/>
      <c r="DR151" s="37">
        <v>-53426</v>
      </c>
      <c r="DS151" s="36"/>
      <c r="DT151" s="19"/>
      <c r="DU151" s="274"/>
      <c r="DV151" s="231"/>
      <c r="DW151" s="37">
        <v>0</v>
      </c>
      <c r="DX151" s="36"/>
      <c r="DY151" s="19"/>
      <c r="DZ151" s="274"/>
      <c r="EA151" s="231"/>
      <c r="EB151" s="37">
        <v>0</v>
      </c>
      <c r="EC151" s="36"/>
      <c r="ED151" s="19"/>
      <c r="EE151" s="274"/>
      <c r="EF151" s="231"/>
      <c r="EG151" s="37">
        <v>0</v>
      </c>
      <c r="EH151" s="36"/>
      <c r="EI151" s="19"/>
      <c r="EJ151" s="274"/>
      <c r="EK151" s="231"/>
      <c r="EL151" s="37">
        <f>SUM(CD151:EG151)</f>
        <v>-234643</v>
      </c>
      <c r="EM151" s="36"/>
      <c r="EN151" s="19"/>
      <c r="EO151" s="244"/>
      <c r="ER151" s="451"/>
      <c r="ES151" s="451"/>
    </row>
    <row r="152" spans="4:149" ht="12.75" customHeight="1" x14ac:dyDescent="0.2">
      <c r="D152" s="244"/>
      <c r="G152" s="19"/>
      <c r="H152" s="19"/>
      <c r="I152" s="19"/>
      <c r="J152" s="274"/>
      <c r="K152" s="19"/>
      <c r="L152" s="19"/>
      <c r="M152" s="19"/>
      <c r="N152" s="19"/>
      <c r="O152" s="274"/>
      <c r="P152" s="19"/>
      <c r="Q152" s="19"/>
      <c r="R152" s="19"/>
      <c r="S152" s="19"/>
      <c r="T152" s="274"/>
      <c r="U152" s="19"/>
      <c r="V152" s="19"/>
      <c r="W152" s="19"/>
      <c r="X152" s="19"/>
      <c r="Y152" s="274"/>
      <c r="Z152" s="19"/>
      <c r="AA152" s="19"/>
      <c r="AB152" s="19"/>
      <c r="AC152" s="19"/>
      <c r="AD152" s="274"/>
      <c r="AE152" s="19"/>
      <c r="AF152" s="19"/>
      <c r="AG152" s="19"/>
      <c r="AH152" s="19"/>
      <c r="AI152" s="274"/>
      <c r="AJ152" s="19"/>
      <c r="AK152" s="19"/>
      <c r="AL152" s="19"/>
      <c r="AM152" s="19"/>
      <c r="AN152" s="274"/>
      <c r="AO152" s="19"/>
      <c r="AP152" s="19"/>
      <c r="AQ152" s="19"/>
      <c r="AR152" s="19"/>
      <c r="AS152" s="274"/>
      <c r="AT152" s="19"/>
      <c r="AU152" s="19"/>
      <c r="AV152" s="19"/>
      <c r="AW152" s="19"/>
      <c r="AX152" s="274"/>
      <c r="AY152" s="19"/>
      <c r="AZ152" s="19"/>
      <c r="BA152" s="19"/>
      <c r="BB152" s="19"/>
      <c r="BC152" s="274"/>
      <c r="BD152" s="19"/>
      <c r="BE152" s="19"/>
      <c r="BF152" s="19"/>
      <c r="BG152" s="19"/>
      <c r="BH152" s="274"/>
      <c r="BI152" s="19"/>
      <c r="BJ152" s="19"/>
      <c r="BK152" s="19"/>
      <c r="BL152" s="19"/>
      <c r="BM152" s="274"/>
      <c r="BN152" s="19"/>
      <c r="BO152" s="19"/>
      <c r="BP152" s="19"/>
      <c r="BQ152" s="19"/>
      <c r="BR152" s="274"/>
      <c r="BS152" s="19"/>
      <c r="BT152" s="19"/>
      <c r="BU152" s="19"/>
      <c r="BV152" s="19"/>
      <c r="BW152" s="274"/>
      <c r="BX152" s="19"/>
      <c r="BY152" s="19"/>
      <c r="BZ152" s="19"/>
      <c r="CA152" s="19"/>
      <c r="CB152" s="274"/>
      <c r="CC152" s="19"/>
      <c r="CD152" s="19"/>
      <c r="CE152" s="19"/>
      <c r="CF152" s="19"/>
      <c r="CG152" s="274"/>
      <c r="CH152" s="19"/>
      <c r="CI152" s="19"/>
      <c r="CJ152" s="19"/>
      <c r="CK152" s="19"/>
      <c r="CL152" s="274"/>
      <c r="CM152" s="19"/>
      <c r="CN152" s="19"/>
      <c r="CO152" s="19"/>
      <c r="CP152" s="19"/>
      <c r="CQ152" s="274"/>
      <c r="CR152" s="19"/>
      <c r="CS152" s="19"/>
      <c r="CT152" s="19"/>
      <c r="CU152" s="19"/>
      <c r="CV152" s="274"/>
      <c r="CW152" s="19"/>
      <c r="CX152" s="19"/>
      <c r="CY152" s="19"/>
      <c r="CZ152" s="19"/>
      <c r="DA152" s="274"/>
      <c r="DB152" s="19"/>
      <c r="DC152" s="19"/>
      <c r="DD152" s="19"/>
      <c r="DE152" s="19"/>
      <c r="DF152" s="274"/>
      <c r="DG152" s="19"/>
      <c r="DH152" s="19"/>
      <c r="DI152" s="19"/>
      <c r="DJ152" s="19"/>
      <c r="DK152" s="274"/>
      <c r="DL152" s="19"/>
      <c r="DM152" s="19"/>
      <c r="DN152" s="19"/>
      <c r="DO152" s="19"/>
      <c r="DP152" s="274"/>
      <c r="DQ152" s="19"/>
      <c r="DR152" s="19"/>
      <c r="DS152" s="19"/>
      <c r="DT152" s="19"/>
      <c r="DU152" s="274"/>
      <c r="DV152" s="19"/>
      <c r="DW152" s="19"/>
      <c r="DX152" s="19"/>
      <c r="DY152" s="19"/>
      <c r="DZ152" s="274"/>
      <c r="EA152" s="19"/>
      <c r="EB152" s="19"/>
      <c r="EC152" s="19"/>
      <c r="ED152" s="19"/>
      <c r="EE152" s="274"/>
      <c r="EF152" s="19"/>
      <c r="EG152" s="19"/>
      <c r="EH152" s="19"/>
      <c r="EI152" s="19"/>
      <c r="EJ152" s="274"/>
      <c r="EK152" s="19"/>
      <c r="EL152" s="19"/>
      <c r="EM152" s="19"/>
      <c r="EN152" s="19"/>
      <c r="EO152" s="244"/>
      <c r="ER152" s="451"/>
      <c r="ES152" s="451"/>
    </row>
    <row r="153" spans="4:149" ht="12.75" customHeight="1" x14ac:dyDescent="0.2">
      <c r="D153" s="244" t="s">
        <v>373</v>
      </c>
      <c r="G153" s="19">
        <f>SUM(G154:G156)</f>
        <v>0</v>
      </c>
      <c r="H153" s="19"/>
      <c r="I153" s="19"/>
      <c r="J153" s="274"/>
      <c r="K153" s="19"/>
      <c r="L153" s="19">
        <f>SUM(L154:L156)</f>
        <v>6792000</v>
      </c>
      <c r="M153" s="19"/>
      <c r="N153" s="19"/>
      <c r="O153" s="274"/>
      <c r="P153" s="19"/>
      <c r="Q153" s="19">
        <f>SUM(Q154:Q156)</f>
        <v>11547000</v>
      </c>
      <c r="R153" s="19"/>
      <c r="S153" s="19"/>
      <c r="T153" s="274"/>
      <c r="U153" s="19"/>
      <c r="V153" s="19">
        <f>SUM(V154:V156)</f>
        <v>15028000</v>
      </c>
      <c r="W153" s="19"/>
      <c r="X153" s="19"/>
      <c r="Y153" s="274"/>
      <c r="Z153" s="19"/>
      <c r="AA153" s="19">
        <f>SUM(AA154:AA156)</f>
        <v>14865000</v>
      </c>
      <c r="AB153" s="19"/>
      <c r="AC153" s="19"/>
      <c r="AD153" s="274"/>
      <c r="AE153" s="19"/>
      <c r="AF153" s="19">
        <f>SUM(AF154:AF156)</f>
        <v>2200000</v>
      </c>
      <c r="AG153" s="19"/>
      <c r="AH153" s="19"/>
      <c r="AI153" s="274"/>
      <c r="AJ153" s="19"/>
      <c r="AK153" s="19">
        <f>SUM(AK154:AK156)</f>
        <v>3111000</v>
      </c>
      <c r="AL153" s="19"/>
      <c r="AM153" s="19"/>
      <c r="AN153" s="274"/>
      <c r="AO153" s="19"/>
      <c r="AP153" s="19">
        <f>SUM(AP154:AP156)</f>
        <v>11827000</v>
      </c>
      <c r="AQ153" s="19"/>
      <c r="AR153" s="19"/>
      <c r="AS153" s="274"/>
      <c r="AT153" s="19"/>
      <c r="AU153" s="19">
        <f>SUM(AU154:AU156)</f>
        <v>8851000</v>
      </c>
      <c r="AV153" s="19"/>
      <c r="AW153" s="19"/>
      <c r="AX153" s="274"/>
      <c r="AY153" s="19"/>
      <c r="AZ153" s="19">
        <f>SUM(AZ154:AZ156)</f>
        <v>6551000</v>
      </c>
      <c r="BA153" s="19"/>
      <c r="BB153" s="19"/>
      <c r="BC153" s="274"/>
      <c r="BD153" s="19"/>
      <c r="BE153" s="19">
        <f>SUM(BE154:BE156)</f>
        <v>6603000</v>
      </c>
      <c r="BF153" s="19"/>
      <c r="BG153" s="19"/>
      <c r="BH153" s="274"/>
      <c r="BI153" s="19"/>
      <c r="BJ153" s="19">
        <f>SUM(BJ154:BJ156)</f>
        <v>2201527</v>
      </c>
      <c r="BK153" s="19"/>
      <c r="BL153" s="19"/>
      <c r="BM153" s="274"/>
      <c r="BN153" s="19"/>
      <c r="BO153" s="19">
        <f>SUM(BO154:BO156)</f>
        <v>5108000</v>
      </c>
      <c r="BP153" s="19"/>
      <c r="BQ153" s="19"/>
      <c r="BR153" s="274"/>
      <c r="BS153" s="19"/>
      <c r="BT153" s="19">
        <f>SUM(BT154:BT156)</f>
        <v>94684527</v>
      </c>
      <c r="BU153" s="19"/>
      <c r="BV153" s="19"/>
      <c r="BW153" s="274"/>
      <c r="BX153" s="19"/>
      <c r="BY153" s="19">
        <f>SUM(BY154:BY156)</f>
        <v>56753812</v>
      </c>
      <c r="BZ153" s="19"/>
      <c r="CA153" s="19"/>
      <c r="CB153" s="274"/>
      <c r="CC153" s="19"/>
      <c r="CD153" s="19">
        <f>SUM(CD154:CD156)</f>
        <v>3309000</v>
      </c>
      <c r="CE153" s="19"/>
      <c r="CF153" s="19"/>
      <c r="CG153" s="274"/>
      <c r="CH153" s="19"/>
      <c r="CI153" s="19">
        <f>SUM(CI154:CI156)</f>
        <v>4309812</v>
      </c>
      <c r="CJ153" s="19"/>
      <c r="CK153" s="19"/>
      <c r="CL153" s="274"/>
      <c r="CM153" s="19"/>
      <c r="CN153" s="19">
        <f>SUM(CN154:CN156)</f>
        <v>5250000</v>
      </c>
      <c r="CO153" s="19"/>
      <c r="CP153" s="19"/>
      <c r="CQ153" s="274"/>
      <c r="CR153" s="19"/>
      <c r="CS153" s="19">
        <f>SUM(CS154:CS156)</f>
        <v>6123000</v>
      </c>
      <c r="CT153" s="19"/>
      <c r="CU153" s="19"/>
      <c r="CV153" s="274"/>
      <c r="CW153" s="19"/>
      <c r="CX153" s="19">
        <f>SUM(CX154:CX156)</f>
        <v>6039000</v>
      </c>
      <c r="CY153" s="19"/>
      <c r="CZ153" s="19"/>
      <c r="DA153" s="274"/>
      <c r="DB153" s="19"/>
      <c r="DC153" s="19">
        <f>SUM(DC154:DC156)</f>
        <v>2269000</v>
      </c>
      <c r="DD153" s="19"/>
      <c r="DE153" s="19"/>
      <c r="DF153" s="274"/>
      <c r="DG153" s="19"/>
      <c r="DH153" s="19">
        <f>SUM(DH154:DH156)</f>
        <v>2186000</v>
      </c>
      <c r="DI153" s="19"/>
      <c r="DJ153" s="19"/>
      <c r="DK153" s="274"/>
      <c r="DL153" s="19"/>
      <c r="DM153" s="19">
        <f>SUM(DM154:DM156)</f>
        <v>6046000</v>
      </c>
      <c r="DN153" s="19"/>
      <c r="DO153" s="19"/>
      <c r="DP153" s="274"/>
      <c r="DQ153" s="19"/>
      <c r="DR153" s="19">
        <f>SUM(DR154:DR156)</f>
        <v>6796000</v>
      </c>
      <c r="DS153" s="19"/>
      <c r="DT153" s="19"/>
      <c r="DU153" s="274"/>
      <c r="DV153" s="19"/>
      <c r="DW153" s="19">
        <f>SUM(DW154:DW156)</f>
        <v>1510000</v>
      </c>
      <c r="DX153" s="19"/>
      <c r="DY153" s="19"/>
      <c r="DZ153" s="274"/>
      <c r="EA153" s="19"/>
      <c r="EB153" s="19">
        <f>SUM(EB154:EB156)</f>
        <v>6046000</v>
      </c>
      <c r="EC153" s="19"/>
      <c r="ED153" s="19"/>
      <c r="EE153" s="274"/>
      <c r="EF153" s="19"/>
      <c r="EG153" s="19">
        <f>SUM(EG154:EG156)</f>
        <v>6870000</v>
      </c>
      <c r="EH153" s="19"/>
      <c r="EI153" s="19"/>
      <c r="EJ153" s="274"/>
      <c r="EK153" s="19"/>
      <c r="EL153" s="19">
        <f>SUM(EL154:EL156)</f>
        <v>56753812</v>
      </c>
      <c r="EM153" s="19"/>
      <c r="EN153" s="19"/>
      <c r="EO153" s="244"/>
      <c r="ER153" s="451"/>
      <c r="ES153" s="451"/>
    </row>
    <row r="154" spans="4:149" ht="12.75" customHeight="1" x14ac:dyDescent="0.2">
      <c r="D154" s="244" t="s">
        <v>344</v>
      </c>
      <c r="F154" s="112"/>
      <c r="G154" s="374">
        <v>0</v>
      </c>
      <c r="H154" s="475"/>
      <c r="I154" s="19"/>
      <c r="J154" s="274"/>
      <c r="K154" s="173"/>
      <c r="L154" s="374">
        <f>6792000-1194431</f>
        <v>5597569</v>
      </c>
      <c r="M154" s="475"/>
      <c r="N154" s="19"/>
      <c r="O154" s="274"/>
      <c r="P154" s="173"/>
      <c r="Q154" s="374">
        <f>11547000-1251316</f>
        <v>10295684</v>
      </c>
      <c r="R154" s="475"/>
      <c r="S154" s="19"/>
      <c r="T154" s="274"/>
      <c r="U154" s="173"/>
      <c r="V154" s="374">
        <f>15028000-993433</f>
        <v>14034567</v>
      </c>
      <c r="W154" s="475"/>
      <c r="X154" s="19"/>
      <c r="Y154" s="274"/>
      <c r="Z154" s="173"/>
      <c r="AA154" s="374">
        <f>14865000-1307191</f>
        <v>13557809</v>
      </c>
      <c r="AB154" s="475"/>
      <c r="AC154" s="19"/>
      <c r="AD154" s="274"/>
      <c r="AE154" s="173"/>
      <c r="AF154" s="374">
        <f>2200000-172161</f>
        <v>2027839</v>
      </c>
      <c r="AG154" s="475"/>
      <c r="AH154" s="19"/>
      <c r="AI154" s="274"/>
      <c r="AJ154" s="173"/>
      <c r="AK154" s="374">
        <f>3111000-234069</f>
        <v>2876931</v>
      </c>
      <c r="AL154" s="475"/>
      <c r="AM154" s="19"/>
      <c r="AN154" s="274"/>
      <c r="AO154" s="173"/>
      <c r="AP154" s="374">
        <f>11827000-1025025</f>
        <v>10801975</v>
      </c>
      <c r="AQ154" s="475"/>
      <c r="AR154" s="19"/>
      <c r="AS154" s="274"/>
      <c r="AT154" s="173"/>
      <c r="AU154" s="374">
        <f>8851000-578195</f>
        <v>8272805</v>
      </c>
      <c r="AV154" s="475"/>
      <c r="AW154" s="19"/>
      <c r="AX154" s="274"/>
      <c r="AY154" s="173"/>
      <c r="AZ154" s="374">
        <f>6551000-320116</f>
        <v>6230884</v>
      </c>
      <c r="BA154" s="475"/>
      <c r="BB154" s="19"/>
      <c r="BC154" s="274"/>
      <c r="BD154" s="173"/>
      <c r="BE154" s="374">
        <f>6603000-320584</f>
        <v>6282416</v>
      </c>
      <c r="BF154" s="475"/>
      <c r="BG154" s="19"/>
      <c r="BH154" s="274"/>
      <c r="BI154" s="173"/>
      <c r="BJ154" s="374">
        <f>2201527-108560</f>
        <v>2092967</v>
      </c>
      <c r="BK154" s="475"/>
      <c r="BL154" s="19"/>
      <c r="BM154" s="274"/>
      <c r="BN154" s="173"/>
      <c r="BO154" s="374">
        <f>5108000-419145</f>
        <v>4688855</v>
      </c>
      <c r="BP154" s="475"/>
      <c r="BQ154" s="19"/>
      <c r="BR154" s="274"/>
      <c r="BS154" s="173"/>
      <c r="BT154" s="374">
        <f>SUM(L154:BO154)</f>
        <v>86760301</v>
      </c>
      <c r="BU154" s="475"/>
      <c r="BV154" s="19"/>
      <c r="BW154" s="274"/>
      <c r="BX154" s="173"/>
      <c r="BY154" s="374">
        <v>52436479</v>
      </c>
      <c r="BZ154" s="475"/>
      <c r="CA154" s="19"/>
      <c r="CB154" s="274"/>
      <c r="CC154" s="173"/>
      <c r="CD154" s="374">
        <f>3309000-234758</f>
        <v>3074242</v>
      </c>
      <c r="CE154" s="475"/>
      <c r="CF154" s="19"/>
      <c r="CG154" s="274"/>
      <c r="CH154" s="173"/>
      <c r="CI154" s="374">
        <f>4309812-322734</f>
        <v>3987078</v>
      </c>
      <c r="CJ154" s="475"/>
      <c r="CK154" s="19"/>
      <c r="CL154" s="274"/>
      <c r="CM154" s="173"/>
      <c r="CN154" s="374">
        <f>5250000-363141</f>
        <v>4886859</v>
      </c>
      <c r="CO154" s="475"/>
      <c r="CP154" s="19"/>
      <c r="CQ154" s="274"/>
      <c r="CR154" s="173"/>
      <c r="CS154" s="374">
        <f>6123000-324811</f>
        <v>5798189</v>
      </c>
      <c r="CT154" s="475"/>
      <c r="CU154" s="19"/>
      <c r="CV154" s="274"/>
      <c r="CW154" s="173"/>
      <c r="CX154" s="374">
        <f>6039000-431027</f>
        <v>5607973</v>
      </c>
      <c r="CY154" s="475"/>
      <c r="CZ154" s="19"/>
      <c r="DA154" s="274"/>
      <c r="DB154" s="173"/>
      <c r="DC154" s="374">
        <f>2269000-150922</f>
        <v>2118078</v>
      </c>
      <c r="DD154" s="475"/>
      <c r="DE154" s="19"/>
      <c r="DF154" s="274"/>
      <c r="DG154" s="173"/>
      <c r="DH154" s="374">
        <f>2186000-137762</f>
        <v>2048238</v>
      </c>
      <c r="DI154" s="475"/>
      <c r="DJ154" s="19"/>
      <c r="DK154" s="274"/>
      <c r="DL154" s="173"/>
      <c r="DM154" s="374">
        <f>6046000-410944</f>
        <v>5635056</v>
      </c>
      <c r="DN154" s="475"/>
      <c r="DO154" s="19"/>
      <c r="DP154" s="274"/>
      <c r="DQ154" s="173"/>
      <c r="DR154" s="374">
        <f>6796000-516754</f>
        <v>6279246</v>
      </c>
      <c r="DS154" s="475"/>
      <c r="DT154" s="19"/>
      <c r="DU154" s="274"/>
      <c r="DV154" s="173"/>
      <c r="DW154" s="374">
        <f>1510000-105700</f>
        <v>1404300</v>
      </c>
      <c r="DX154" s="475"/>
      <c r="DY154" s="19"/>
      <c r="DZ154" s="274"/>
      <c r="EA154" s="173"/>
      <c r="EB154" s="374">
        <f>6046000-348463</f>
        <v>5697537</v>
      </c>
      <c r="EC154" s="475"/>
      <c r="ED154" s="19"/>
      <c r="EE154" s="274"/>
      <c r="EF154" s="173"/>
      <c r="EG154" s="374">
        <f>6870000-970317</f>
        <v>5899683</v>
      </c>
      <c r="EH154" s="475"/>
      <c r="EI154" s="19"/>
      <c r="EJ154" s="274"/>
      <c r="EK154" s="173"/>
      <c r="EL154" s="374">
        <f>SUM(CD154:EG154)</f>
        <v>52436479</v>
      </c>
      <c r="EM154" s="475"/>
      <c r="EN154" s="19"/>
      <c r="EO154" s="244"/>
      <c r="ER154" s="451"/>
      <c r="ES154" s="451"/>
    </row>
    <row r="155" spans="4:149" ht="12.75" customHeight="1" x14ac:dyDescent="0.2">
      <c r="D155" s="244" t="s">
        <v>346</v>
      </c>
      <c r="F155" s="82"/>
      <c r="G155" s="19">
        <v>0</v>
      </c>
      <c r="H155" s="18"/>
      <c r="I155" s="19"/>
      <c r="J155" s="274"/>
      <c r="K155" s="274"/>
      <c r="L155" s="19">
        <v>1194431</v>
      </c>
      <c r="M155" s="18"/>
      <c r="N155" s="19"/>
      <c r="O155" s="274"/>
      <c r="P155" s="274"/>
      <c r="Q155" s="19">
        <v>1251316</v>
      </c>
      <c r="R155" s="18"/>
      <c r="S155" s="19"/>
      <c r="T155" s="274"/>
      <c r="U155" s="274"/>
      <c r="V155" s="19">
        <v>993433</v>
      </c>
      <c r="W155" s="18"/>
      <c r="X155" s="19"/>
      <c r="Y155" s="274"/>
      <c r="Z155" s="274"/>
      <c r="AA155" s="19">
        <v>1307191</v>
      </c>
      <c r="AB155" s="18"/>
      <c r="AC155" s="19"/>
      <c r="AD155" s="274"/>
      <c r="AE155" s="274"/>
      <c r="AF155" s="19">
        <v>172161</v>
      </c>
      <c r="AG155" s="18"/>
      <c r="AH155" s="19"/>
      <c r="AI155" s="274"/>
      <c r="AJ155" s="274"/>
      <c r="AK155" s="19">
        <v>234069</v>
      </c>
      <c r="AL155" s="18"/>
      <c r="AM155" s="19"/>
      <c r="AN155" s="274"/>
      <c r="AO155" s="274"/>
      <c r="AP155" s="19">
        <v>1025025</v>
      </c>
      <c r="AQ155" s="18"/>
      <c r="AR155" s="19"/>
      <c r="AS155" s="274"/>
      <c r="AT155" s="274"/>
      <c r="AU155" s="19">
        <v>578195</v>
      </c>
      <c r="AV155" s="18"/>
      <c r="AW155" s="19"/>
      <c r="AX155" s="274"/>
      <c r="AY155" s="274"/>
      <c r="AZ155" s="19">
        <v>320116</v>
      </c>
      <c r="BA155" s="18"/>
      <c r="BB155" s="19"/>
      <c r="BC155" s="274"/>
      <c r="BD155" s="274"/>
      <c r="BE155" s="19">
        <v>320584</v>
      </c>
      <c r="BF155" s="18"/>
      <c r="BG155" s="19"/>
      <c r="BH155" s="274"/>
      <c r="BI155" s="274"/>
      <c r="BJ155" s="19">
        <v>108560</v>
      </c>
      <c r="BK155" s="18"/>
      <c r="BL155" s="19"/>
      <c r="BM155" s="274"/>
      <c r="BN155" s="274"/>
      <c r="BO155" s="19">
        <v>419145</v>
      </c>
      <c r="BP155" s="18"/>
      <c r="BQ155" s="19"/>
      <c r="BR155" s="274"/>
      <c r="BS155" s="274"/>
      <c r="BT155" s="19">
        <f>SUM(L155:BO155)</f>
        <v>7924226</v>
      </c>
      <c r="BU155" s="18"/>
      <c r="BV155" s="19"/>
      <c r="BW155" s="274"/>
      <c r="BX155" s="274"/>
      <c r="BY155" s="19">
        <v>4317333</v>
      </c>
      <c r="BZ155" s="18"/>
      <c r="CA155" s="19"/>
      <c r="CB155" s="274"/>
      <c r="CC155" s="274"/>
      <c r="CD155" s="19">
        <v>234758</v>
      </c>
      <c r="CE155" s="18"/>
      <c r="CF155" s="19"/>
      <c r="CG155" s="274"/>
      <c r="CH155" s="274"/>
      <c r="CI155" s="19">
        <v>322734</v>
      </c>
      <c r="CJ155" s="18"/>
      <c r="CK155" s="19"/>
      <c r="CL155" s="274"/>
      <c r="CM155" s="274"/>
      <c r="CN155" s="19">
        <v>363141</v>
      </c>
      <c r="CO155" s="18"/>
      <c r="CP155" s="19"/>
      <c r="CQ155" s="274"/>
      <c r="CR155" s="274"/>
      <c r="CS155" s="19">
        <v>324811</v>
      </c>
      <c r="CT155" s="18"/>
      <c r="CU155" s="19"/>
      <c r="CV155" s="274"/>
      <c r="CW155" s="274"/>
      <c r="CX155" s="19">
        <v>431027</v>
      </c>
      <c r="CY155" s="18"/>
      <c r="CZ155" s="19"/>
      <c r="DA155" s="274"/>
      <c r="DB155" s="274"/>
      <c r="DC155" s="19">
        <v>150922</v>
      </c>
      <c r="DD155" s="18"/>
      <c r="DE155" s="19"/>
      <c r="DF155" s="274"/>
      <c r="DG155" s="274"/>
      <c r="DH155" s="19">
        <v>137762</v>
      </c>
      <c r="DI155" s="18"/>
      <c r="DJ155" s="19"/>
      <c r="DK155" s="274"/>
      <c r="DL155" s="274"/>
      <c r="DM155" s="19">
        <v>410944</v>
      </c>
      <c r="DN155" s="18"/>
      <c r="DO155" s="19"/>
      <c r="DP155" s="274"/>
      <c r="DQ155" s="274"/>
      <c r="DR155" s="19">
        <v>516754</v>
      </c>
      <c r="DS155" s="18"/>
      <c r="DT155" s="19"/>
      <c r="DU155" s="274"/>
      <c r="DV155" s="274"/>
      <c r="DW155" s="19">
        <v>105700</v>
      </c>
      <c r="DX155" s="18"/>
      <c r="DY155" s="19"/>
      <c r="DZ155" s="274"/>
      <c r="EA155" s="274"/>
      <c r="EB155" s="19">
        <v>348463</v>
      </c>
      <c r="EC155" s="18"/>
      <c r="ED155" s="19"/>
      <c r="EE155" s="274"/>
      <c r="EF155" s="274"/>
      <c r="EG155" s="19">
        <v>970317</v>
      </c>
      <c r="EH155" s="18"/>
      <c r="EI155" s="19"/>
      <c r="EJ155" s="274"/>
      <c r="EK155" s="274"/>
      <c r="EL155" s="19">
        <f>SUM(CD155:EG155)</f>
        <v>4317333</v>
      </c>
      <c r="EM155" s="18"/>
      <c r="EN155" s="19"/>
      <c r="EO155" s="244"/>
      <c r="ER155" s="451"/>
      <c r="ES155" s="451"/>
    </row>
    <row r="156" spans="4:149" ht="12.75" customHeight="1" x14ac:dyDescent="0.2">
      <c r="D156" s="244" t="s">
        <v>347</v>
      </c>
      <c r="F156" s="276"/>
      <c r="G156" s="37">
        <v>0</v>
      </c>
      <c r="H156" s="36"/>
      <c r="I156" s="19"/>
      <c r="J156" s="274"/>
      <c r="K156" s="231"/>
      <c r="L156" s="37">
        <v>0</v>
      </c>
      <c r="M156" s="36"/>
      <c r="N156" s="19"/>
      <c r="O156" s="274"/>
      <c r="P156" s="231"/>
      <c r="Q156" s="37">
        <v>0</v>
      </c>
      <c r="R156" s="36"/>
      <c r="S156" s="19"/>
      <c r="T156" s="274"/>
      <c r="U156" s="231"/>
      <c r="V156" s="37">
        <v>0</v>
      </c>
      <c r="W156" s="36"/>
      <c r="X156" s="19"/>
      <c r="Y156" s="274"/>
      <c r="Z156" s="231"/>
      <c r="AA156" s="37">
        <v>0</v>
      </c>
      <c r="AB156" s="36"/>
      <c r="AC156" s="19"/>
      <c r="AD156" s="274"/>
      <c r="AE156" s="231"/>
      <c r="AF156" s="37">
        <v>0</v>
      </c>
      <c r="AG156" s="36"/>
      <c r="AH156" s="19"/>
      <c r="AI156" s="274"/>
      <c r="AJ156" s="231"/>
      <c r="AK156" s="37">
        <v>0</v>
      </c>
      <c r="AL156" s="36"/>
      <c r="AM156" s="19"/>
      <c r="AN156" s="274"/>
      <c r="AO156" s="231"/>
      <c r="AP156" s="37">
        <v>0</v>
      </c>
      <c r="AQ156" s="36"/>
      <c r="AR156" s="19"/>
      <c r="AS156" s="274"/>
      <c r="AT156" s="231"/>
      <c r="AU156" s="37">
        <v>0</v>
      </c>
      <c r="AV156" s="36"/>
      <c r="AW156" s="19"/>
      <c r="AX156" s="274"/>
      <c r="AY156" s="231"/>
      <c r="AZ156" s="37">
        <v>0</v>
      </c>
      <c r="BA156" s="36"/>
      <c r="BB156" s="19"/>
      <c r="BC156" s="274"/>
      <c r="BD156" s="231"/>
      <c r="BE156" s="37">
        <v>0</v>
      </c>
      <c r="BF156" s="36"/>
      <c r="BG156" s="19"/>
      <c r="BH156" s="274"/>
      <c r="BI156" s="231"/>
      <c r="BJ156" s="37">
        <v>0</v>
      </c>
      <c r="BK156" s="36"/>
      <c r="BL156" s="19"/>
      <c r="BM156" s="274"/>
      <c r="BN156" s="231"/>
      <c r="BO156" s="37">
        <v>0</v>
      </c>
      <c r="BP156" s="36"/>
      <c r="BQ156" s="19"/>
      <c r="BR156" s="274"/>
      <c r="BS156" s="231"/>
      <c r="BT156" s="37">
        <f>SUM(L156:BO156)</f>
        <v>0</v>
      </c>
      <c r="BU156" s="36"/>
      <c r="BV156" s="19"/>
      <c r="BW156" s="274"/>
      <c r="BX156" s="231"/>
      <c r="BY156" s="37">
        <v>0</v>
      </c>
      <c r="BZ156" s="36"/>
      <c r="CA156" s="19"/>
      <c r="CB156" s="274"/>
      <c r="CC156" s="231"/>
      <c r="CD156" s="37">
        <v>0</v>
      </c>
      <c r="CE156" s="36"/>
      <c r="CF156" s="19"/>
      <c r="CG156" s="274"/>
      <c r="CH156" s="231"/>
      <c r="CI156" s="37">
        <v>0</v>
      </c>
      <c r="CJ156" s="36"/>
      <c r="CK156" s="19"/>
      <c r="CL156" s="274"/>
      <c r="CM156" s="231"/>
      <c r="CN156" s="37">
        <v>0</v>
      </c>
      <c r="CO156" s="36"/>
      <c r="CP156" s="19"/>
      <c r="CQ156" s="274"/>
      <c r="CR156" s="231"/>
      <c r="CS156" s="37">
        <v>0</v>
      </c>
      <c r="CT156" s="36"/>
      <c r="CU156" s="19"/>
      <c r="CV156" s="274"/>
      <c r="CW156" s="231"/>
      <c r="CX156" s="37">
        <v>0</v>
      </c>
      <c r="CY156" s="36"/>
      <c r="CZ156" s="19"/>
      <c r="DA156" s="274"/>
      <c r="DB156" s="231"/>
      <c r="DC156" s="37">
        <v>0</v>
      </c>
      <c r="DD156" s="36"/>
      <c r="DE156" s="19"/>
      <c r="DF156" s="274"/>
      <c r="DG156" s="231"/>
      <c r="DH156" s="37">
        <v>0</v>
      </c>
      <c r="DI156" s="36"/>
      <c r="DJ156" s="19"/>
      <c r="DK156" s="274"/>
      <c r="DL156" s="231"/>
      <c r="DM156" s="37">
        <v>0</v>
      </c>
      <c r="DN156" s="36"/>
      <c r="DO156" s="19"/>
      <c r="DP156" s="274"/>
      <c r="DQ156" s="231"/>
      <c r="DR156" s="37">
        <v>0</v>
      </c>
      <c r="DS156" s="36"/>
      <c r="DT156" s="19"/>
      <c r="DU156" s="274"/>
      <c r="DV156" s="231"/>
      <c r="DW156" s="37">
        <v>0</v>
      </c>
      <c r="DX156" s="36"/>
      <c r="DY156" s="19"/>
      <c r="DZ156" s="274"/>
      <c r="EA156" s="231"/>
      <c r="EB156" s="37">
        <v>0</v>
      </c>
      <c r="EC156" s="36"/>
      <c r="ED156" s="19"/>
      <c r="EE156" s="274"/>
      <c r="EF156" s="231"/>
      <c r="EG156" s="37">
        <v>0</v>
      </c>
      <c r="EH156" s="36"/>
      <c r="EI156" s="19"/>
      <c r="EJ156" s="274"/>
      <c r="EK156" s="231"/>
      <c r="EL156" s="37">
        <f>SUM(CD156:EG156)</f>
        <v>0</v>
      </c>
      <c r="EM156" s="36"/>
      <c r="EN156" s="19"/>
      <c r="EO156" s="244"/>
      <c r="ER156" s="451"/>
      <c r="ES156" s="451"/>
    </row>
    <row r="157" spans="4:149" ht="12.75" customHeight="1" x14ac:dyDescent="0.2">
      <c r="D157" s="244"/>
      <c r="G157" s="19"/>
      <c r="H157" s="19"/>
      <c r="I157" s="19"/>
      <c r="J157" s="274"/>
      <c r="K157" s="19"/>
      <c r="L157" s="19"/>
      <c r="M157" s="19"/>
      <c r="N157" s="19"/>
      <c r="O157" s="274"/>
      <c r="P157" s="19"/>
      <c r="Q157" s="19"/>
      <c r="R157" s="19"/>
      <c r="S157" s="19"/>
      <c r="T157" s="274"/>
      <c r="U157" s="19"/>
      <c r="V157" s="19"/>
      <c r="W157" s="19"/>
      <c r="X157" s="19"/>
      <c r="Y157" s="274"/>
      <c r="Z157" s="19"/>
      <c r="AA157" s="19"/>
      <c r="AB157" s="19"/>
      <c r="AC157" s="19"/>
      <c r="AD157" s="274"/>
      <c r="AE157" s="19"/>
      <c r="AF157" s="19"/>
      <c r="AG157" s="19"/>
      <c r="AH157" s="19"/>
      <c r="AI157" s="274"/>
      <c r="AJ157" s="19"/>
      <c r="AK157" s="19"/>
      <c r="AL157" s="19"/>
      <c r="AM157" s="19"/>
      <c r="AN157" s="274"/>
      <c r="AO157" s="19"/>
      <c r="AP157" s="19"/>
      <c r="AQ157" s="19"/>
      <c r="AR157" s="19"/>
      <c r="AS157" s="274"/>
      <c r="AT157" s="19"/>
      <c r="AU157" s="19"/>
      <c r="AV157" s="19"/>
      <c r="AW157" s="19"/>
      <c r="AX157" s="274"/>
      <c r="AY157" s="19"/>
      <c r="AZ157" s="19"/>
      <c r="BA157" s="19"/>
      <c r="BB157" s="19"/>
      <c r="BC157" s="274"/>
      <c r="BD157" s="19"/>
      <c r="BE157" s="19"/>
      <c r="BF157" s="19"/>
      <c r="BG157" s="19"/>
      <c r="BH157" s="274"/>
      <c r="BI157" s="19"/>
      <c r="BJ157" s="19"/>
      <c r="BK157" s="19"/>
      <c r="BL157" s="19"/>
      <c r="BM157" s="274"/>
      <c r="BN157" s="19"/>
      <c r="BO157" s="19"/>
      <c r="BP157" s="19"/>
      <c r="BQ157" s="19"/>
      <c r="BR157" s="274"/>
      <c r="BS157" s="19"/>
      <c r="BT157" s="19"/>
      <c r="BU157" s="19"/>
      <c r="BV157" s="19"/>
      <c r="BW157" s="274"/>
      <c r="BX157" s="19"/>
      <c r="BY157" s="19"/>
      <c r="BZ157" s="19"/>
      <c r="CA157" s="19"/>
      <c r="CB157" s="274"/>
      <c r="CC157" s="19"/>
      <c r="CD157" s="19"/>
      <c r="CE157" s="19"/>
      <c r="CF157" s="19"/>
      <c r="CG157" s="274"/>
      <c r="CH157" s="19"/>
      <c r="CI157" s="19"/>
      <c r="CJ157" s="19"/>
      <c r="CK157" s="19"/>
      <c r="CL157" s="274"/>
      <c r="CM157" s="19"/>
      <c r="CN157" s="19"/>
      <c r="CO157" s="19"/>
      <c r="CP157" s="19"/>
      <c r="CQ157" s="274"/>
      <c r="CR157" s="19"/>
      <c r="CS157" s="19"/>
      <c r="CT157" s="19"/>
      <c r="CU157" s="19"/>
      <c r="CV157" s="274"/>
      <c r="CW157" s="19"/>
      <c r="CX157" s="19"/>
      <c r="CY157" s="19"/>
      <c r="CZ157" s="19"/>
      <c r="DA157" s="274"/>
      <c r="DB157" s="19"/>
      <c r="DC157" s="19"/>
      <c r="DD157" s="19"/>
      <c r="DE157" s="19"/>
      <c r="DF157" s="274"/>
      <c r="DG157" s="19"/>
      <c r="DH157" s="19"/>
      <c r="DI157" s="19"/>
      <c r="DJ157" s="19"/>
      <c r="DK157" s="274"/>
      <c r="DL157" s="19"/>
      <c r="DM157" s="19"/>
      <c r="DN157" s="19"/>
      <c r="DO157" s="19"/>
      <c r="DP157" s="274"/>
      <c r="DQ157" s="19"/>
      <c r="DR157" s="19"/>
      <c r="DS157" s="19"/>
      <c r="DT157" s="19"/>
      <c r="DU157" s="274"/>
      <c r="DV157" s="19"/>
      <c r="DW157" s="19"/>
      <c r="DX157" s="19"/>
      <c r="DY157" s="19"/>
      <c r="DZ157" s="274"/>
      <c r="EA157" s="19"/>
      <c r="EB157" s="19"/>
      <c r="EC157" s="19"/>
      <c r="ED157" s="19"/>
      <c r="EE157" s="274"/>
      <c r="EF157" s="19"/>
      <c r="EG157" s="19"/>
      <c r="EH157" s="19"/>
      <c r="EI157" s="19"/>
      <c r="EJ157" s="274"/>
      <c r="EK157" s="19"/>
      <c r="EL157" s="19">
        <f>SUM(CD157:EG157)</f>
        <v>0</v>
      </c>
      <c r="EM157" s="19"/>
      <c r="EN157" s="19"/>
      <c r="EO157" s="244"/>
      <c r="ER157" s="451"/>
      <c r="ES157" s="451"/>
    </row>
    <row r="158" spans="4:149" ht="12.75" customHeight="1" x14ac:dyDescent="0.2">
      <c r="D158" s="244" t="s">
        <v>374</v>
      </c>
      <c r="G158" s="19">
        <f>SUM(G159:G161)</f>
        <v>0</v>
      </c>
      <c r="H158" s="19"/>
      <c r="I158" s="19"/>
      <c r="J158" s="274"/>
      <c r="K158" s="19"/>
      <c r="L158" s="19">
        <f>SUM(L159:L161)</f>
        <v>6024000</v>
      </c>
      <c r="M158" s="19"/>
      <c r="N158" s="19"/>
      <c r="O158" s="274"/>
      <c r="P158" s="19"/>
      <c r="Q158" s="19">
        <f>SUM(Q159:Q161)</f>
        <v>3019000</v>
      </c>
      <c r="R158" s="19"/>
      <c r="S158" s="19"/>
      <c r="T158" s="274"/>
      <c r="U158" s="19"/>
      <c r="V158" s="19">
        <f>SUM(V159:V161)</f>
        <v>2872000</v>
      </c>
      <c r="W158" s="19"/>
      <c r="X158" s="19"/>
      <c r="Y158" s="274"/>
      <c r="Z158" s="19"/>
      <c r="AA158" s="19">
        <f>SUM(AA159:AA161)</f>
        <v>6600000</v>
      </c>
      <c r="AB158" s="19"/>
      <c r="AC158" s="19"/>
      <c r="AD158" s="274"/>
      <c r="AE158" s="19"/>
      <c r="AF158" s="19">
        <f>SUM(AF159:AF161)</f>
        <v>9277000</v>
      </c>
      <c r="AG158" s="19"/>
      <c r="AH158" s="19"/>
      <c r="AI158" s="274"/>
      <c r="AJ158" s="19"/>
      <c r="AK158" s="19">
        <f>SUM(AK159:AK161)</f>
        <v>8807000</v>
      </c>
      <c r="AL158" s="19"/>
      <c r="AM158" s="19"/>
      <c r="AN158" s="274"/>
      <c r="AO158" s="19"/>
      <c r="AP158" s="19">
        <f>SUM(AP159:AP161)</f>
        <v>4111000</v>
      </c>
      <c r="AQ158" s="19"/>
      <c r="AR158" s="19"/>
      <c r="AS158" s="274"/>
      <c r="AT158" s="19"/>
      <c r="AU158" s="19">
        <f>SUM(AU159:AU161)</f>
        <v>4400000</v>
      </c>
      <c r="AV158" s="19"/>
      <c r="AW158" s="19"/>
      <c r="AX158" s="274"/>
      <c r="AY158" s="19"/>
      <c r="AZ158" s="19">
        <f>SUM(AZ159:AZ161)</f>
        <v>2329000</v>
      </c>
      <c r="BA158" s="19"/>
      <c r="BB158" s="19"/>
      <c r="BC158" s="274"/>
      <c r="BD158" s="19"/>
      <c r="BE158" s="19">
        <f>SUM(BE159:BE161)</f>
        <v>4398000</v>
      </c>
      <c r="BF158" s="19"/>
      <c r="BG158" s="19"/>
      <c r="BH158" s="274"/>
      <c r="BI158" s="19"/>
      <c r="BJ158" s="19">
        <f>SUM(BJ159:BJ161)</f>
        <v>8804581</v>
      </c>
      <c r="BK158" s="19"/>
      <c r="BL158" s="19"/>
      <c r="BM158" s="274"/>
      <c r="BN158" s="19"/>
      <c r="BO158" s="19">
        <f>SUM(BO159:BO161)</f>
        <v>7413000</v>
      </c>
      <c r="BP158" s="19"/>
      <c r="BQ158" s="19"/>
      <c r="BR158" s="274"/>
      <c r="BS158" s="19"/>
      <c r="BT158" s="19">
        <f>SUM(BT159:BT161)</f>
        <v>68054581</v>
      </c>
      <c r="BU158" s="19"/>
      <c r="BV158" s="19"/>
      <c r="BW158" s="274"/>
      <c r="BX158" s="19"/>
      <c r="BY158" s="19">
        <f>SUM(BY159:BY161)</f>
        <v>23420081</v>
      </c>
      <c r="BZ158" s="19"/>
      <c r="CA158" s="19"/>
      <c r="CB158" s="274"/>
      <c r="CC158" s="19"/>
      <c r="CD158" s="19">
        <f>SUM(CD159:CD161)</f>
        <v>800000</v>
      </c>
      <c r="CE158" s="19"/>
      <c r="CF158" s="19"/>
      <c r="CG158" s="274"/>
      <c r="CH158" s="19"/>
      <c r="CI158" s="19">
        <f>SUM(CI159:CI161)</f>
        <v>2081</v>
      </c>
      <c r="CJ158" s="19"/>
      <c r="CK158" s="19"/>
      <c r="CL158" s="274"/>
      <c r="CM158" s="19"/>
      <c r="CN158" s="19">
        <f>SUM(CN159:CN161)</f>
        <v>1100000</v>
      </c>
      <c r="CO158" s="19"/>
      <c r="CP158" s="19"/>
      <c r="CQ158" s="274"/>
      <c r="CR158" s="19"/>
      <c r="CS158" s="19">
        <f>SUM(CS159:CS161)</f>
        <v>2750000</v>
      </c>
      <c r="CT158" s="19"/>
      <c r="CU158" s="19"/>
      <c r="CV158" s="274"/>
      <c r="CW158" s="19"/>
      <c r="CX158" s="19">
        <f>SUM(CX159:CX161)</f>
        <v>0</v>
      </c>
      <c r="CY158" s="19"/>
      <c r="CZ158" s="19"/>
      <c r="DA158" s="274"/>
      <c r="DB158" s="19"/>
      <c r="DC158" s="19">
        <f>SUM(DC159:DC161)</f>
        <v>4533000</v>
      </c>
      <c r="DD158" s="19"/>
      <c r="DE158" s="19"/>
      <c r="DF158" s="274"/>
      <c r="DG158" s="19"/>
      <c r="DH158" s="19">
        <f>SUM(DH159:DH161)</f>
        <v>3780000</v>
      </c>
      <c r="DI158" s="19"/>
      <c r="DJ158" s="19"/>
      <c r="DK158" s="274"/>
      <c r="DL158" s="19"/>
      <c r="DM158" s="19">
        <f>SUM(DM159:DM161)</f>
        <v>2268000</v>
      </c>
      <c r="DN158" s="19"/>
      <c r="DO158" s="19"/>
      <c r="DP158" s="274"/>
      <c r="DQ158" s="19"/>
      <c r="DR158" s="19">
        <f>SUM(DR159:DR161)</f>
        <v>0</v>
      </c>
      <c r="DS158" s="19"/>
      <c r="DT158" s="19"/>
      <c r="DU158" s="274"/>
      <c r="DV158" s="19"/>
      <c r="DW158" s="19">
        <f>SUM(DW159:DW161)</f>
        <v>4412000</v>
      </c>
      <c r="DX158" s="19"/>
      <c r="DY158" s="19"/>
      <c r="DZ158" s="274"/>
      <c r="EA158" s="19"/>
      <c r="EB158" s="19">
        <f>SUM(EB159:EB161)</f>
        <v>2265000</v>
      </c>
      <c r="EC158" s="19"/>
      <c r="ED158" s="19"/>
      <c r="EE158" s="274"/>
      <c r="EF158" s="19"/>
      <c r="EG158" s="19">
        <f>SUM(EG159:EG161)</f>
        <v>1510000</v>
      </c>
      <c r="EH158" s="19"/>
      <c r="EI158" s="19"/>
      <c r="EJ158" s="274"/>
      <c r="EK158" s="19"/>
      <c r="EL158" s="19">
        <f>SUM(EL159:EL161)</f>
        <v>23420081</v>
      </c>
      <c r="EM158" s="19"/>
      <c r="EN158" s="19"/>
      <c r="EO158" s="244"/>
      <c r="ER158" s="451"/>
      <c r="ES158" s="451"/>
    </row>
    <row r="159" spans="4:149" ht="12.75" customHeight="1" x14ac:dyDescent="0.2">
      <c r="D159" s="244" t="s">
        <v>344</v>
      </c>
      <c r="F159" s="112"/>
      <c r="G159" s="374">
        <v>0</v>
      </c>
      <c r="H159" s="475"/>
      <c r="I159" s="19"/>
      <c r="J159" s="274"/>
      <c r="K159" s="173"/>
      <c r="L159" s="374">
        <f>6024000-1184412</f>
        <v>4839588</v>
      </c>
      <c r="M159" s="475"/>
      <c r="N159" s="19"/>
      <c r="O159" s="274"/>
      <c r="P159" s="173"/>
      <c r="Q159" s="374">
        <f>3019000-467659</f>
        <v>2551341</v>
      </c>
      <c r="R159" s="475"/>
      <c r="S159" s="19"/>
      <c r="T159" s="274"/>
      <c r="U159" s="173"/>
      <c r="V159" s="374">
        <f>2872000-377052</f>
        <v>2494948</v>
      </c>
      <c r="W159" s="475"/>
      <c r="X159" s="19"/>
      <c r="Y159" s="274"/>
      <c r="Z159" s="173"/>
      <c r="AA159" s="374">
        <f>6600000-871152</f>
        <v>5728848</v>
      </c>
      <c r="AB159" s="475"/>
      <c r="AC159" s="19"/>
      <c r="AD159" s="274"/>
      <c r="AE159" s="173"/>
      <c r="AF159" s="374">
        <f>9277000-1225246</f>
        <v>8051754</v>
      </c>
      <c r="AG159" s="475"/>
      <c r="AH159" s="19"/>
      <c r="AI159" s="274"/>
      <c r="AJ159" s="173"/>
      <c r="AK159" s="374">
        <f>8807000-1107949</f>
        <v>7699051</v>
      </c>
      <c r="AL159" s="475"/>
      <c r="AM159" s="19"/>
      <c r="AN159" s="274"/>
      <c r="AO159" s="173"/>
      <c r="AP159" s="374">
        <f>4111000-556622</f>
        <v>3554378</v>
      </c>
      <c r="AQ159" s="475"/>
      <c r="AR159" s="19"/>
      <c r="AS159" s="274"/>
      <c r="AT159" s="173"/>
      <c r="AU159" s="374">
        <f>4400000-474513</f>
        <v>3925487</v>
      </c>
      <c r="AV159" s="475"/>
      <c r="AW159" s="19"/>
      <c r="AX159" s="274"/>
      <c r="AY159" s="173"/>
      <c r="AZ159" s="374">
        <f>2329000-256938</f>
        <v>2072062</v>
      </c>
      <c r="BA159" s="475"/>
      <c r="BB159" s="19"/>
      <c r="BC159" s="274"/>
      <c r="BD159" s="173"/>
      <c r="BE159" s="374">
        <f>4398000-445780</f>
        <v>3952220</v>
      </c>
      <c r="BF159" s="475"/>
      <c r="BG159" s="19"/>
      <c r="BH159" s="274"/>
      <c r="BI159" s="173"/>
      <c r="BJ159" s="374">
        <f>8804581-743596</f>
        <v>8060985</v>
      </c>
      <c r="BK159" s="475"/>
      <c r="BL159" s="19"/>
      <c r="BM159" s="274"/>
      <c r="BN159" s="173"/>
      <c r="BO159" s="374">
        <f>7413000-855495</f>
        <v>6557505</v>
      </c>
      <c r="BP159" s="475"/>
      <c r="BQ159" s="19"/>
      <c r="BR159" s="274"/>
      <c r="BS159" s="173"/>
      <c r="BT159" s="374">
        <f>SUM(L159:BO159)</f>
        <v>59488167</v>
      </c>
      <c r="BU159" s="475"/>
      <c r="BV159" s="19"/>
      <c r="BW159" s="274"/>
      <c r="BX159" s="173"/>
      <c r="BY159" s="374">
        <v>21427492</v>
      </c>
      <c r="BZ159" s="475"/>
      <c r="CA159" s="19"/>
      <c r="CB159" s="274"/>
      <c r="CC159" s="173"/>
      <c r="CD159" s="374">
        <f>800000-62541</f>
        <v>737459</v>
      </c>
      <c r="CE159" s="475"/>
      <c r="CF159" s="19"/>
      <c r="CG159" s="274"/>
      <c r="CH159" s="173"/>
      <c r="CI159" s="374">
        <f>2081-179</f>
        <v>1902</v>
      </c>
      <c r="CJ159" s="475"/>
      <c r="CK159" s="19"/>
      <c r="CL159" s="274"/>
      <c r="CM159" s="173"/>
      <c r="CN159" s="374">
        <f>1100000-88807</f>
        <v>1011193</v>
      </c>
      <c r="CO159" s="475"/>
      <c r="CP159" s="19"/>
      <c r="CQ159" s="274"/>
      <c r="CR159" s="173"/>
      <c r="CS159" s="374">
        <f>2750000-179977</f>
        <v>2570023</v>
      </c>
      <c r="CT159" s="475"/>
      <c r="CU159" s="19"/>
      <c r="CV159" s="274"/>
      <c r="CW159" s="173"/>
      <c r="CX159" s="374">
        <v>0</v>
      </c>
      <c r="CY159" s="475"/>
      <c r="CZ159" s="19"/>
      <c r="DA159" s="274"/>
      <c r="DB159" s="173"/>
      <c r="DC159" s="374">
        <f>4533000-338254</f>
        <v>4194746</v>
      </c>
      <c r="DD159" s="475"/>
      <c r="DE159" s="19"/>
      <c r="DF159" s="274"/>
      <c r="DG159" s="173"/>
      <c r="DH159" s="374">
        <f>3780000-278593</f>
        <v>3501407</v>
      </c>
      <c r="DI159" s="475"/>
      <c r="DJ159" s="19"/>
      <c r="DK159" s="274"/>
      <c r="DL159" s="173"/>
      <c r="DM159" s="374">
        <f>2268000-207289</f>
        <v>2060711</v>
      </c>
      <c r="DN159" s="475"/>
      <c r="DO159" s="19"/>
      <c r="DP159" s="274"/>
      <c r="DQ159" s="173"/>
      <c r="DR159" s="374">
        <v>0</v>
      </c>
      <c r="DS159" s="475"/>
      <c r="DT159" s="19"/>
      <c r="DU159" s="274"/>
      <c r="DV159" s="173"/>
      <c r="DW159" s="374">
        <f>4412000-368545</f>
        <v>4043455</v>
      </c>
      <c r="DX159" s="475"/>
      <c r="DY159" s="19"/>
      <c r="DZ159" s="274"/>
      <c r="EA159" s="173"/>
      <c r="EB159" s="374">
        <f>2265000-174247</f>
        <v>2090753</v>
      </c>
      <c r="EC159" s="475"/>
      <c r="ED159" s="19"/>
      <c r="EE159" s="274"/>
      <c r="EF159" s="173"/>
      <c r="EG159" s="374">
        <f>1510000-294157</f>
        <v>1215843</v>
      </c>
      <c r="EH159" s="475"/>
      <c r="EI159" s="19"/>
      <c r="EJ159" s="274"/>
      <c r="EK159" s="173"/>
      <c r="EL159" s="374">
        <f>SUM(CD159:EG159)</f>
        <v>21427492</v>
      </c>
      <c r="EM159" s="475"/>
      <c r="EN159" s="19"/>
      <c r="EO159" s="244"/>
      <c r="ER159" s="451"/>
      <c r="ES159" s="451"/>
    </row>
    <row r="160" spans="4:149" ht="12.75" customHeight="1" x14ac:dyDescent="0.2">
      <c r="D160" s="244" t="s">
        <v>346</v>
      </c>
      <c r="F160" s="82"/>
      <c r="G160" s="19">
        <v>0</v>
      </c>
      <c r="H160" s="18"/>
      <c r="I160" s="19"/>
      <c r="J160" s="274"/>
      <c r="K160" s="274"/>
      <c r="L160" s="19">
        <v>1184412</v>
      </c>
      <c r="M160" s="18"/>
      <c r="N160" s="19"/>
      <c r="O160" s="274"/>
      <c r="P160" s="274"/>
      <c r="Q160" s="19">
        <v>467659</v>
      </c>
      <c r="R160" s="18"/>
      <c r="S160" s="19"/>
      <c r="T160" s="274"/>
      <c r="U160" s="274"/>
      <c r="V160" s="19">
        <v>377052</v>
      </c>
      <c r="W160" s="18"/>
      <c r="X160" s="19"/>
      <c r="Y160" s="274"/>
      <c r="Z160" s="274"/>
      <c r="AA160" s="19">
        <v>871152</v>
      </c>
      <c r="AB160" s="18"/>
      <c r="AC160" s="19"/>
      <c r="AD160" s="274"/>
      <c r="AE160" s="274"/>
      <c r="AF160" s="19">
        <v>1225246</v>
      </c>
      <c r="AG160" s="18"/>
      <c r="AH160" s="19"/>
      <c r="AI160" s="274"/>
      <c r="AJ160" s="274"/>
      <c r="AK160" s="19">
        <v>1107949</v>
      </c>
      <c r="AL160" s="18"/>
      <c r="AM160" s="19"/>
      <c r="AN160" s="274"/>
      <c r="AO160" s="274"/>
      <c r="AP160" s="19">
        <v>556622</v>
      </c>
      <c r="AQ160" s="18"/>
      <c r="AR160" s="19"/>
      <c r="AS160" s="274"/>
      <c r="AT160" s="274"/>
      <c r="AU160" s="19">
        <v>474513</v>
      </c>
      <c r="AV160" s="18"/>
      <c r="AW160" s="19"/>
      <c r="AX160" s="274"/>
      <c r="AY160" s="274"/>
      <c r="AZ160" s="19">
        <v>256938</v>
      </c>
      <c r="BA160" s="18"/>
      <c r="BB160" s="19"/>
      <c r="BC160" s="274"/>
      <c r="BD160" s="274"/>
      <c r="BE160" s="19">
        <v>445780</v>
      </c>
      <c r="BF160" s="18"/>
      <c r="BG160" s="19"/>
      <c r="BH160" s="274"/>
      <c r="BI160" s="274"/>
      <c r="BJ160" s="19">
        <v>743596</v>
      </c>
      <c r="BK160" s="18"/>
      <c r="BL160" s="19"/>
      <c r="BM160" s="274"/>
      <c r="BN160" s="274"/>
      <c r="BO160" s="19">
        <v>855495</v>
      </c>
      <c r="BP160" s="18"/>
      <c r="BQ160" s="19"/>
      <c r="BR160" s="274"/>
      <c r="BS160" s="274"/>
      <c r="BT160" s="19">
        <f>SUM(L160:BO160)</f>
        <v>8566414</v>
      </c>
      <c r="BU160" s="18"/>
      <c r="BV160" s="19"/>
      <c r="BW160" s="274"/>
      <c r="BX160" s="274"/>
      <c r="BY160" s="19">
        <v>1992589</v>
      </c>
      <c r="BZ160" s="18"/>
      <c r="CA160" s="19"/>
      <c r="CB160" s="274"/>
      <c r="CC160" s="274"/>
      <c r="CD160" s="19">
        <v>62541</v>
      </c>
      <c r="CE160" s="18"/>
      <c r="CF160" s="19"/>
      <c r="CG160" s="274"/>
      <c r="CH160" s="274"/>
      <c r="CI160" s="19">
        <v>179</v>
      </c>
      <c r="CJ160" s="18"/>
      <c r="CK160" s="19"/>
      <c r="CL160" s="274"/>
      <c r="CM160" s="274"/>
      <c r="CN160" s="19">
        <v>88807</v>
      </c>
      <c r="CO160" s="18"/>
      <c r="CP160" s="19"/>
      <c r="CQ160" s="274"/>
      <c r="CR160" s="274"/>
      <c r="CS160" s="19">
        <v>179977</v>
      </c>
      <c r="CT160" s="18"/>
      <c r="CU160" s="19"/>
      <c r="CV160" s="274"/>
      <c r="CW160" s="274"/>
      <c r="CX160" s="19">
        <v>0</v>
      </c>
      <c r="CY160" s="18"/>
      <c r="CZ160" s="19"/>
      <c r="DA160" s="274"/>
      <c r="DB160" s="274"/>
      <c r="DC160" s="19">
        <v>338254</v>
      </c>
      <c r="DD160" s="18"/>
      <c r="DE160" s="19"/>
      <c r="DF160" s="274"/>
      <c r="DG160" s="274"/>
      <c r="DH160" s="19">
        <v>278593</v>
      </c>
      <c r="DI160" s="18"/>
      <c r="DJ160" s="19"/>
      <c r="DK160" s="274"/>
      <c r="DL160" s="274"/>
      <c r="DM160" s="19">
        <v>207289</v>
      </c>
      <c r="DN160" s="18"/>
      <c r="DO160" s="19"/>
      <c r="DP160" s="274"/>
      <c r="DQ160" s="274"/>
      <c r="DR160" s="19">
        <v>0</v>
      </c>
      <c r="DS160" s="18"/>
      <c r="DT160" s="19"/>
      <c r="DU160" s="274"/>
      <c r="DV160" s="274"/>
      <c r="DW160" s="19">
        <v>368545</v>
      </c>
      <c r="DX160" s="18"/>
      <c r="DY160" s="19"/>
      <c r="DZ160" s="274"/>
      <c r="EA160" s="274"/>
      <c r="EB160" s="19">
        <v>174247</v>
      </c>
      <c r="EC160" s="18"/>
      <c r="ED160" s="19"/>
      <c r="EE160" s="274"/>
      <c r="EF160" s="274"/>
      <c r="EG160" s="19">
        <v>294157</v>
      </c>
      <c r="EH160" s="18"/>
      <c r="EI160" s="19"/>
      <c r="EJ160" s="274"/>
      <c r="EK160" s="274"/>
      <c r="EL160" s="19">
        <f>SUM(CD160:EG160)</f>
        <v>1992589</v>
      </c>
      <c r="EM160" s="18"/>
      <c r="EN160" s="19"/>
      <c r="EO160" s="244"/>
      <c r="ER160" s="451"/>
      <c r="ES160" s="451"/>
    </row>
    <row r="161" spans="4:149" ht="12.75" customHeight="1" x14ac:dyDescent="0.2">
      <c r="D161" s="244" t="s">
        <v>347</v>
      </c>
      <c r="F161" s="276"/>
      <c r="G161" s="37">
        <v>0</v>
      </c>
      <c r="H161" s="36"/>
      <c r="I161" s="19"/>
      <c r="J161" s="274"/>
      <c r="K161" s="231"/>
      <c r="L161" s="37">
        <v>0</v>
      </c>
      <c r="M161" s="36"/>
      <c r="N161" s="19"/>
      <c r="O161" s="274"/>
      <c r="P161" s="231"/>
      <c r="Q161" s="37">
        <v>0</v>
      </c>
      <c r="R161" s="36"/>
      <c r="S161" s="19"/>
      <c r="T161" s="274"/>
      <c r="U161" s="231"/>
      <c r="V161" s="37">
        <v>0</v>
      </c>
      <c r="W161" s="36"/>
      <c r="X161" s="19"/>
      <c r="Y161" s="274"/>
      <c r="Z161" s="231"/>
      <c r="AA161" s="37">
        <v>0</v>
      </c>
      <c r="AB161" s="36"/>
      <c r="AC161" s="19"/>
      <c r="AD161" s="274"/>
      <c r="AE161" s="231"/>
      <c r="AF161" s="37">
        <v>0</v>
      </c>
      <c r="AG161" s="36"/>
      <c r="AH161" s="19"/>
      <c r="AI161" s="274"/>
      <c r="AJ161" s="231"/>
      <c r="AK161" s="37">
        <v>0</v>
      </c>
      <c r="AL161" s="36"/>
      <c r="AM161" s="19"/>
      <c r="AN161" s="274"/>
      <c r="AO161" s="231"/>
      <c r="AP161" s="37">
        <v>0</v>
      </c>
      <c r="AQ161" s="36"/>
      <c r="AR161" s="19"/>
      <c r="AS161" s="274"/>
      <c r="AT161" s="231"/>
      <c r="AU161" s="37">
        <v>0</v>
      </c>
      <c r="AV161" s="36"/>
      <c r="AW161" s="19"/>
      <c r="AX161" s="274"/>
      <c r="AY161" s="231"/>
      <c r="AZ161" s="37">
        <v>0</v>
      </c>
      <c r="BA161" s="36"/>
      <c r="BB161" s="19"/>
      <c r="BC161" s="274"/>
      <c r="BD161" s="231"/>
      <c r="BE161" s="37">
        <v>0</v>
      </c>
      <c r="BF161" s="36"/>
      <c r="BG161" s="19"/>
      <c r="BH161" s="274"/>
      <c r="BI161" s="231"/>
      <c r="BJ161" s="37">
        <v>0</v>
      </c>
      <c r="BK161" s="36"/>
      <c r="BL161" s="19"/>
      <c r="BM161" s="274"/>
      <c r="BN161" s="231"/>
      <c r="BO161" s="37">
        <v>0</v>
      </c>
      <c r="BP161" s="36"/>
      <c r="BQ161" s="19"/>
      <c r="BR161" s="274"/>
      <c r="BS161" s="231"/>
      <c r="BT161" s="37">
        <f>SUM(L161:BO161)</f>
        <v>0</v>
      </c>
      <c r="BU161" s="36"/>
      <c r="BV161" s="19"/>
      <c r="BW161" s="274"/>
      <c r="BX161" s="231"/>
      <c r="BY161" s="37">
        <v>0</v>
      </c>
      <c r="BZ161" s="36"/>
      <c r="CA161" s="19"/>
      <c r="CB161" s="274"/>
      <c r="CC161" s="231"/>
      <c r="CD161" s="37">
        <v>0</v>
      </c>
      <c r="CE161" s="36"/>
      <c r="CF161" s="19"/>
      <c r="CG161" s="274"/>
      <c r="CH161" s="231"/>
      <c r="CI161" s="37">
        <v>0</v>
      </c>
      <c r="CJ161" s="36"/>
      <c r="CK161" s="19"/>
      <c r="CL161" s="274"/>
      <c r="CM161" s="231"/>
      <c r="CN161" s="37">
        <v>0</v>
      </c>
      <c r="CO161" s="36"/>
      <c r="CP161" s="19"/>
      <c r="CQ161" s="274"/>
      <c r="CR161" s="231"/>
      <c r="CS161" s="37">
        <v>0</v>
      </c>
      <c r="CT161" s="36"/>
      <c r="CU161" s="19"/>
      <c r="CV161" s="274"/>
      <c r="CW161" s="231"/>
      <c r="CX161" s="37">
        <v>0</v>
      </c>
      <c r="CY161" s="36"/>
      <c r="CZ161" s="19"/>
      <c r="DA161" s="274"/>
      <c r="DB161" s="231"/>
      <c r="DC161" s="37">
        <v>0</v>
      </c>
      <c r="DD161" s="36"/>
      <c r="DE161" s="19"/>
      <c r="DF161" s="274"/>
      <c r="DG161" s="231"/>
      <c r="DH161" s="37">
        <v>0</v>
      </c>
      <c r="DI161" s="36"/>
      <c r="DJ161" s="19"/>
      <c r="DK161" s="274"/>
      <c r="DL161" s="231"/>
      <c r="DM161" s="37">
        <v>0</v>
      </c>
      <c r="DN161" s="36"/>
      <c r="DO161" s="19"/>
      <c r="DP161" s="274"/>
      <c r="DQ161" s="231"/>
      <c r="DR161" s="37">
        <v>0</v>
      </c>
      <c r="DS161" s="36"/>
      <c r="DT161" s="19"/>
      <c r="DU161" s="274"/>
      <c r="DV161" s="231"/>
      <c r="DW161" s="37">
        <v>0</v>
      </c>
      <c r="DX161" s="36"/>
      <c r="DY161" s="19"/>
      <c r="DZ161" s="274"/>
      <c r="EA161" s="231"/>
      <c r="EB161" s="37">
        <v>0</v>
      </c>
      <c r="EC161" s="36"/>
      <c r="ED161" s="19"/>
      <c r="EE161" s="274"/>
      <c r="EF161" s="231"/>
      <c r="EG161" s="37">
        <v>0</v>
      </c>
      <c r="EH161" s="36"/>
      <c r="EI161" s="19"/>
      <c r="EJ161" s="274"/>
      <c r="EK161" s="231"/>
      <c r="EL161" s="37">
        <f>SUM(CD161:EG161)</f>
        <v>0</v>
      </c>
      <c r="EM161" s="36"/>
      <c r="EN161" s="19"/>
      <c r="EO161" s="244"/>
      <c r="ER161" s="451"/>
      <c r="ES161" s="451"/>
    </row>
    <row r="162" spans="4:149" ht="12.75" customHeight="1" x14ac:dyDescent="0.2">
      <c r="D162" s="244"/>
      <c r="G162" s="19"/>
      <c r="H162" s="19"/>
      <c r="I162" s="19"/>
      <c r="J162" s="274"/>
      <c r="K162" s="19"/>
      <c r="L162" s="19"/>
      <c r="M162" s="19"/>
      <c r="N162" s="19"/>
      <c r="O162" s="274"/>
      <c r="P162" s="19"/>
      <c r="Q162" s="19"/>
      <c r="R162" s="19"/>
      <c r="S162" s="19"/>
      <c r="T162" s="274"/>
      <c r="U162" s="19"/>
      <c r="V162" s="19"/>
      <c r="W162" s="19"/>
      <c r="X162" s="19"/>
      <c r="Y162" s="274"/>
      <c r="Z162" s="19"/>
      <c r="AA162" s="19"/>
      <c r="AB162" s="19"/>
      <c r="AC162" s="19"/>
      <c r="AD162" s="274"/>
      <c r="AE162" s="19"/>
      <c r="AF162" s="19"/>
      <c r="AG162" s="19"/>
      <c r="AH162" s="19"/>
      <c r="AI162" s="274"/>
      <c r="AJ162" s="19"/>
      <c r="AK162" s="19"/>
      <c r="AL162" s="19"/>
      <c r="AM162" s="19"/>
      <c r="AN162" s="274"/>
      <c r="AO162" s="19"/>
      <c r="AP162" s="19"/>
      <c r="AQ162" s="19"/>
      <c r="AR162" s="19"/>
      <c r="AS162" s="274"/>
      <c r="AT162" s="19"/>
      <c r="AU162" s="19"/>
      <c r="AV162" s="19"/>
      <c r="AW162" s="19"/>
      <c r="AX162" s="274"/>
      <c r="AY162" s="19"/>
      <c r="AZ162" s="19"/>
      <c r="BA162" s="19"/>
      <c r="BB162" s="19"/>
      <c r="BC162" s="274"/>
      <c r="BD162" s="19"/>
      <c r="BE162" s="19"/>
      <c r="BF162" s="19"/>
      <c r="BG162" s="19"/>
      <c r="BH162" s="274"/>
      <c r="BI162" s="19"/>
      <c r="BJ162" s="19"/>
      <c r="BK162" s="19"/>
      <c r="BL162" s="19"/>
      <c r="BM162" s="274"/>
      <c r="BN162" s="19"/>
      <c r="BO162" s="19"/>
      <c r="BP162" s="19"/>
      <c r="BQ162" s="19"/>
      <c r="BR162" s="274"/>
      <c r="BS162" s="19"/>
      <c r="BT162" s="19"/>
      <c r="BU162" s="19"/>
      <c r="BV162" s="19"/>
      <c r="BW162" s="274"/>
      <c r="BX162" s="19"/>
      <c r="BY162" s="19"/>
      <c r="BZ162" s="19"/>
      <c r="CA162" s="19"/>
      <c r="CB162" s="274"/>
      <c r="CC162" s="19"/>
      <c r="CD162" s="19"/>
      <c r="CE162" s="19"/>
      <c r="CF162" s="19"/>
      <c r="CG162" s="274"/>
      <c r="CH162" s="19"/>
      <c r="CI162" s="19"/>
      <c r="CJ162" s="19"/>
      <c r="CK162" s="19"/>
      <c r="CL162" s="274"/>
      <c r="CM162" s="19"/>
      <c r="CN162" s="19"/>
      <c r="CO162" s="19"/>
      <c r="CP162" s="19"/>
      <c r="CQ162" s="274"/>
      <c r="CR162" s="19"/>
      <c r="CS162" s="19"/>
      <c r="CT162" s="19"/>
      <c r="CU162" s="19"/>
      <c r="CV162" s="274"/>
      <c r="CW162" s="19"/>
      <c r="CX162" s="19"/>
      <c r="CY162" s="19"/>
      <c r="CZ162" s="19"/>
      <c r="DA162" s="274"/>
      <c r="DB162" s="19"/>
      <c r="DC162" s="19"/>
      <c r="DD162" s="19"/>
      <c r="DE162" s="19"/>
      <c r="DF162" s="274"/>
      <c r="DG162" s="19"/>
      <c r="DH162" s="19"/>
      <c r="DI162" s="19"/>
      <c r="DJ162" s="19"/>
      <c r="DK162" s="274"/>
      <c r="DL162" s="19"/>
      <c r="DM162" s="19"/>
      <c r="DN162" s="19"/>
      <c r="DO162" s="19"/>
      <c r="DP162" s="274"/>
      <c r="DQ162" s="19"/>
      <c r="DR162" s="19"/>
      <c r="DS162" s="19"/>
      <c r="DT162" s="19"/>
      <c r="DU162" s="274"/>
      <c r="DV162" s="19"/>
      <c r="DW162" s="19"/>
      <c r="DX162" s="19"/>
      <c r="DY162" s="19"/>
      <c r="DZ162" s="274"/>
      <c r="EA162" s="19"/>
      <c r="EB162" s="19"/>
      <c r="EC162" s="19"/>
      <c r="ED162" s="19"/>
      <c r="EE162" s="274"/>
      <c r="EF162" s="19"/>
      <c r="EG162" s="19"/>
      <c r="EH162" s="19"/>
      <c r="EI162" s="19"/>
      <c r="EJ162" s="274"/>
      <c r="EK162" s="19"/>
      <c r="EL162" s="19"/>
      <c r="EM162" s="19"/>
      <c r="EN162" s="19"/>
      <c r="EO162" s="244"/>
      <c r="ER162" s="451"/>
      <c r="ES162" s="451"/>
    </row>
    <row r="163" spans="4:149" ht="12.75" customHeight="1" x14ac:dyDescent="0.2">
      <c r="D163" s="244" t="s">
        <v>375</v>
      </c>
      <c r="G163" s="19">
        <f>SUM(G164:G166)</f>
        <v>0</v>
      </c>
      <c r="H163" s="19"/>
      <c r="I163" s="19"/>
      <c r="J163" s="274"/>
      <c r="K163" s="19"/>
      <c r="L163" s="19">
        <f>SUM(L164:L166)</f>
        <v>3019000</v>
      </c>
      <c r="M163" s="19"/>
      <c r="N163" s="19"/>
      <c r="O163" s="274"/>
      <c r="P163" s="19"/>
      <c r="Q163" s="19">
        <f>SUM(Q164:Q166)</f>
        <v>0</v>
      </c>
      <c r="R163" s="19"/>
      <c r="S163" s="19"/>
      <c r="T163" s="274"/>
      <c r="U163" s="19"/>
      <c r="V163" s="19">
        <f>SUM(V164:V166)</f>
        <v>4198000</v>
      </c>
      <c r="W163" s="19"/>
      <c r="X163" s="19"/>
      <c r="Y163" s="274"/>
      <c r="Z163" s="19"/>
      <c r="AA163" s="19">
        <f>SUM(AA164:AA166)</f>
        <v>4397000</v>
      </c>
      <c r="AB163" s="19"/>
      <c r="AC163" s="19"/>
      <c r="AD163" s="274"/>
      <c r="AE163" s="19"/>
      <c r="AF163" s="19">
        <f>SUM(AF164:AF166)</f>
        <v>3698000</v>
      </c>
      <c r="AG163" s="19"/>
      <c r="AH163" s="19"/>
      <c r="AI163" s="274"/>
      <c r="AJ163" s="19"/>
      <c r="AK163" s="19">
        <f>SUM(AK164:AK166)</f>
        <v>4400000</v>
      </c>
      <c r="AL163" s="19"/>
      <c r="AM163" s="19"/>
      <c r="AN163" s="274"/>
      <c r="AO163" s="19"/>
      <c r="AP163" s="19">
        <f>SUM(AP164:AP166)</f>
        <v>4176000</v>
      </c>
      <c r="AQ163" s="19"/>
      <c r="AR163" s="19"/>
      <c r="AS163" s="274"/>
      <c r="AT163" s="19"/>
      <c r="AU163" s="19">
        <f>SUM(AU164:AU166)</f>
        <v>0</v>
      </c>
      <c r="AV163" s="19"/>
      <c r="AW163" s="19"/>
      <c r="AX163" s="274"/>
      <c r="AY163" s="19"/>
      <c r="AZ163" s="19">
        <f>SUM(AZ164:AZ166)</f>
        <v>4344000</v>
      </c>
      <c r="BA163" s="19"/>
      <c r="BB163" s="19"/>
      <c r="BC163" s="274"/>
      <c r="BD163" s="19"/>
      <c r="BE163" s="19">
        <f>SUM(BE164:BE166)</f>
        <v>4400000</v>
      </c>
      <c r="BF163" s="19"/>
      <c r="BG163" s="19"/>
      <c r="BH163" s="274"/>
      <c r="BI163" s="19"/>
      <c r="BJ163" s="19">
        <f>SUM(BJ164:BJ166)</f>
        <v>10347287</v>
      </c>
      <c r="BK163" s="19"/>
      <c r="BL163" s="19"/>
      <c r="BM163" s="274"/>
      <c r="BN163" s="19"/>
      <c r="BO163" s="19">
        <f>SUM(BO164:BO166)</f>
        <v>4401000</v>
      </c>
      <c r="BP163" s="19"/>
      <c r="BQ163" s="19"/>
      <c r="BR163" s="274"/>
      <c r="BS163" s="19"/>
      <c r="BT163" s="19">
        <f>SUM(BT164:BT166)</f>
        <v>47380287</v>
      </c>
      <c r="BU163" s="19"/>
      <c r="BV163" s="19"/>
      <c r="BW163" s="274"/>
      <c r="BX163" s="19"/>
      <c r="BY163" s="19">
        <f>SUM(BY164:BY166)</f>
        <v>29152468</v>
      </c>
      <c r="BZ163" s="19"/>
      <c r="CA163" s="19"/>
      <c r="CB163" s="274"/>
      <c r="CC163" s="19"/>
      <c r="CD163" s="19">
        <f>SUM(CD164:CD166)</f>
        <v>800000</v>
      </c>
      <c r="CE163" s="19"/>
      <c r="CF163" s="19"/>
      <c r="CG163" s="274"/>
      <c r="CH163" s="19"/>
      <c r="CI163" s="19">
        <f>SUM(CI164:CI166)</f>
        <v>1648468</v>
      </c>
      <c r="CJ163" s="19"/>
      <c r="CK163" s="19"/>
      <c r="CL163" s="274"/>
      <c r="CM163" s="19"/>
      <c r="CN163" s="19">
        <f>SUM(CN164:CN166)</f>
        <v>0</v>
      </c>
      <c r="CO163" s="19"/>
      <c r="CP163" s="19"/>
      <c r="CQ163" s="274"/>
      <c r="CR163" s="19"/>
      <c r="CS163" s="19">
        <f>SUM(CS164:CS166)</f>
        <v>3292000</v>
      </c>
      <c r="CT163" s="19"/>
      <c r="CU163" s="19"/>
      <c r="CV163" s="274"/>
      <c r="CW163" s="19"/>
      <c r="CX163" s="19">
        <f>SUM(CX164:CX166)</f>
        <v>2823000</v>
      </c>
      <c r="CY163" s="19"/>
      <c r="CZ163" s="19"/>
      <c r="DA163" s="274"/>
      <c r="DB163" s="19"/>
      <c r="DC163" s="19">
        <f>SUM(DC164:DC166)</f>
        <v>1510000</v>
      </c>
      <c r="DD163" s="19"/>
      <c r="DE163" s="19"/>
      <c r="DF163" s="274"/>
      <c r="DG163" s="19"/>
      <c r="DH163" s="19">
        <f>SUM(DH164:DH166)</f>
        <v>1910000</v>
      </c>
      <c r="DI163" s="19"/>
      <c r="DJ163" s="19"/>
      <c r="DK163" s="274"/>
      <c r="DL163" s="19"/>
      <c r="DM163" s="19">
        <f>SUM(DM164:DM166)</f>
        <v>3528000</v>
      </c>
      <c r="DN163" s="19"/>
      <c r="DO163" s="19"/>
      <c r="DP163" s="274"/>
      <c r="DQ163" s="19"/>
      <c r="DR163" s="19">
        <f>SUM(DR164:DR166)</f>
        <v>755000</v>
      </c>
      <c r="DS163" s="19"/>
      <c r="DT163" s="19"/>
      <c r="DU163" s="274"/>
      <c r="DV163" s="19"/>
      <c r="DW163" s="19">
        <f>SUM(DW164:DW166)</f>
        <v>3760000</v>
      </c>
      <c r="DX163" s="19"/>
      <c r="DY163" s="19"/>
      <c r="DZ163" s="274"/>
      <c r="EA163" s="19"/>
      <c r="EB163" s="19">
        <f>SUM(EB164:EB166)</f>
        <v>2264000</v>
      </c>
      <c r="EC163" s="19"/>
      <c r="ED163" s="19"/>
      <c r="EE163" s="274"/>
      <c r="EF163" s="19"/>
      <c r="EG163" s="19">
        <f>SUM(EG164:EG166)</f>
        <v>6862000</v>
      </c>
      <c r="EH163" s="19"/>
      <c r="EI163" s="19"/>
      <c r="EJ163" s="274"/>
      <c r="EK163" s="19"/>
      <c r="EL163" s="19">
        <f>SUM(EL164:EL166)</f>
        <v>29152468</v>
      </c>
      <c r="EM163" s="19"/>
      <c r="EN163" s="19"/>
      <c r="EO163" s="244"/>
      <c r="ER163" s="451"/>
      <c r="ES163" s="451"/>
    </row>
    <row r="164" spans="4:149" ht="12.75" customHeight="1" x14ac:dyDescent="0.2">
      <c r="D164" s="244" t="s">
        <v>344</v>
      </c>
      <c r="F164" s="112"/>
      <c r="G164" s="374">
        <v>0</v>
      </c>
      <c r="H164" s="475"/>
      <c r="I164" s="19"/>
      <c r="J164" s="274"/>
      <c r="K164" s="173"/>
      <c r="L164" s="374">
        <f>3019000-705765</f>
        <v>2313235</v>
      </c>
      <c r="M164" s="475"/>
      <c r="N164" s="19"/>
      <c r="O164" s="274"/>
      <c r="P164" s="173"/>
      <c r="Q164" s="374">
        <v>0</v>
      </c>
      <c r="R164" s="475"/>
      <c r="S164" s="19"/>
      <c r="T164" s="274"/>
      <c r="U164" s="173"/>
      <c r="V164" s="374">
        <f>4198000-671900</f>
        <v>3526100</v>
      </c>
      <c r="W164" s="475"/>
      <c r="X164" s="19"/>
      <c r="Y164" s="274"/>
      <c r="Z164" s="173"/>
      <c r="AA164" s="374">
        <f>4397000-939132</f>
        <v>3457868</v>
      </c>
      <c r="AB164" s="475"/>
      <c r="AC164" s="19"/>
      <c r="AD164" s="274"/>
      <c r="AE164" s="173"/>
      <c r="AF164" s="374">
        <f>3698000-763219</f>
        <v>2934781</v>
      </c>
      <c r="AG164" s="475"/>
      <c r="AH164" s="19"/>
      <c r="AI164" s="274"/>
      <c r="AJ164" s="173"/>
      <c r="AK164" s="374">
        <f>4400000-879677</f>
        <v>3520323</v>
      </c>
      <c r="AL164" s="475"/>
      <c r="AM164" s="19"/>
      <c r="AN164" s="274"/>
      <c r="AO164" s="173"/>
      <c r="AP164" s="374">
        <f>4176000-907864</f>
        <v>3268136</v>
      </c>
      <c r="AQ164" s="475"/>
      <c r="AR164" s="19"/>
      <c r="AS164" s="274"/>
      <c r="AT164" s="173"/>
      <c r="AU164" s="374">
        <v>0</v>
      </c>
      <c r="AV164" s="475"/>
      <c r="AW164" s="19"/>
      <c r="AX164" s="274"/>
      <c r="AY164" s="173"/>
      <c r="AZ164" s="374">
        <f>4344000-828139</f>
        <v>3515861</v>
      </c>
      <c r="BA164" s="475"/>
      <c r="BB164" s="19"/>
      <c r="BC164" s="274"/>
      <c r="BD164" s="173"/>
      <c r="BE164" s="374">
        <f>4400000-768756</f>
        <v>3631244</v>
      </c>
      <c r="BF164" s="475"/>
      <c r="BG164" s="19"/>
      <c r="BH164" s="274"/>
      <c r="BI164" s="173"/>
      <c r="BJ164" s="374">
        <f>10347287-1562924</f>
        <v>8784363</v>
      </c>
      <c r="BK164" s="475"/>
      <c r="BL164" s="19"/>
      <c r="BM164" s="274"/>
      <c r="BN164" s="173"/>
      <c r="BO164" s="374">
        <f>4401000-710310</f>
        <v>3690690</v>
      </c>
      <c r="BP164" s="475"/>
      <c r="BQ164" s="19"/>
      <c r="BR164" s="274"/>
      <c r="BS164" s="173"/>
      <c r="BT164" s="374">
        <f>SUM(L164:BO164)</f>
        <v>38642601</v>
      </c>
      <c r="BU164" s="475"/>
      <c r="BV164" s="19"/>
      <c r="BW164" s="274"/>
      <c r="BX164" s="173"/>
      <c r="BY164" s="374">
        <v>25378456</v>
      </c>
      <c r="BZ164" s="475"/>
      <c r="CA164" s="19"/>
      <c r="CB164" s="274"/>
      <c r="CC164" s="173"/>
      <c r="CD164" s="374">
        <f>800000-75033</f>
        <v>724967</v>
      </c>
      <c r="CE164" s="475"/>
      <c r="CF164" s="19"/>
      <c r="CG164" s="274"/>
      <c r="CH164" s="173"/>
      <c r="CI164" s="374">
        <f>1648468-165869</f>
        <v>1482599</v>
      </c>
      <c r="CJ164" s="475"/>
      <c r="CK164" s="19"/>
      <c r="CL164" s="274"/>
      <c r="CM164" s="173"/>
      <c r="CN164" s="374">
        <v>0</v>
      </c>
      <c r="CO164" s="475"/>
      <c r="CP164" s="19"/>
      <c r="CQ164" s="274"/>
      <c r="CR164" s="173"/>
      <c r="CS164" s="374">
        <f>3292000-271930</f>
        <v>3020070</v>
      </c>
      <c r="CT164" s="475"/>
      <c r="CU164" s="19"/>
      <c r="CV164" s="274"/>
      <c r="CW164" s="173"/>
      <c r="CX164" s="374">
        <f>2823000-313566</f>
        <v>2509434</v>
      </c>
      <c r="CY164" s="475"/>
      <c r="CZ164" s="19"/>
      <c r="DA164" s="274"/>
      <c r="DB164" s="173"/>
      <c r="DC164" s="374">
        <f>1510000-156930</f>
        <v>1353070</v>
      </c>
      <c r="DD164" s="475"/>
      <c r="DE164" s="19"/>
      <c r="DF164" s="274"/>
      <c r="DG164" s="173"/>
      <c r="DH164" s="374">
        <f>1910000-180384</f>
        <v>1729616</v>
      </c>
      <c r="DI164" s="475"/>
      <c r="DJ164" s="19"/>
      <c r="DK164" s="274"/>
      <c r="DL164" s="173"/>
      <c r="DM164" s="374">
        <f>3528000-413024</f>
        <v>3114976</v>
      </c>
      <c r="DN164" s="475"/>
      <c r="DO164" s="19"/>
      <c r="DP164" s="274"/>
      <c r="DQ164" s="173"/>
      <c r="DR164" s="374">
        <f>755000-96806</f>
        <v>658194</v>
      </c>
      <c r="DS164" s="475"/>
      <c r="DT164" s="19"/>
      <c r="DU164" s="274"/>
      <c r="DV164" s="173"/>
      <c r="DW164" s="374">
        <f>3760000-462363</f>
        <v>3297637</v>
      </c>
      <c r="DX164" s="475"/>
      <c r="DY164" s="19"/>
      <c r="DZ164" s="274"/>
      <c r="EA164" s="173"/>
      <c r="EB164" s="374">
        <f>2264000-253083</f>
        <v>2010917</v>
      </c>
      <c r="EC164" s="475"/>
      <c r="ED164" s="19"/>
      <c r="EE164" s="274"/>
      <c r="EF164" s="173"/>
      <c r="EG164" s="374">
        <f>6862000-1385024</f>
        <v>5476976</v>
      </c>
      <c r="EH164" s="475"/>
      <c r="EI164" s="19"/>
      <c r="EJ164" s="274"/>
      <c r="EK164" s="173"/>
      <c r="EL164" s="374">
        <f>SUM(CD164:EG164)</f>
        <v>25378456</v>
      </c>
      <c r="EM164" s="475"/>
      <c r="EN164" s="19"/>
      <c r="EO164" s="244"/>
      <c r="ER164" s="451"/>
      <c r="ES164" s="451"/>
    </row>
    <row r="165" spans="4:149" ht="12.75" customHeight="1" x14ac:dyDescent="0.2">
      <c r="D165" s="244" t="s">
        <v>346</v>
      </c>
      <c r="F165" s="82"/>
      <c r="G165" s="19">
        <v>0</v>
      </c>
      <c r="H165" s="18"/>
      <c r="I165" s="19"/>
      <c r="J165" s="274"/>
      <c r="K165" s="274"/>
      <c r="L165" s="19">
        <v>705765</v>
      </c>
      <c r="M165" s="18"/>
      <c r="N165" s="19"/>
      <c r="O165" s="274"/>
      <c r="P165" s="274"/>
      <c r="Q165" s="19">
        <v>0</v>
      </c>
      <c r="R165" s="18"/>
      <c r="S165" s="19"/>
      <c r="T165" s="274"/>
      <c r="U165" s="274"/>
      <c r="V165" s="19">
        <v>671900</v>
      </c>
      <c r="W165" s="18"/>
      <c r="X165" s="19"/>
      <c r="Y165" s="274"/>
      <c r="Z165" s="274"/>
      <c r="AA165" s="19">
        <v>939132</v>
      </c>
      <c r="AB165" s="18"/>
      <c r="AC165" s="19"/>
      <c r="AD165" s="274"/>
      <c r="AE165" s="274"/>
      <c r="AF165" s="19">
        <v>763219</v>
      </c>
      <c r="AG165" s="18"/>
      <c r="AH165" s="19"/>
      <c r="AI165" s="274"/>
      <c r="AJ165" s="274"/>
      <c r="AK165" s="19">
        <v>879677</v>
      </c>
      <c r="AL165" s="18"/>
      <c r="AM165" s="19"/>
      <c r="AN165" s="274"/>
      <c r="AO165" s="274"/>
      <c r="AP165" s="19">
        <v>907864</v>
      </c>
      <c r="AQ165" s="18"/>
      <c r="AR165" s="19"/>
      <c r="AS165" s="274"/>
      <c r="AT165" s="274"/>
      <c r="AU165" s="19">
        <v>0</v>
      </c>
      <c r="AV165" s="18"/>
      <c r="AW165" s="19"/>
      <c r="AX165" s="274"/>
      <c r="AY165" s="274"/>
      <c r="AZ165" s="19">
        <v>828139</v>
      </c>
      <c r="BA165" s="18"/>
      <c r="BB165" s="19"/>
      <c r="BC165" s="274"/>
      <c r="BD165" s="274"/>
      <c r="BE165" s="19">
        <v>768756</v>
      </c>
      <c r="BF165" s="18"/>
      <c r="BG165" s="19"/>
      <c r="BH165" s="274"/>
      <c r="BI165" s="274"/>
      <c r="BJ165" s="19">
        <v>1562924</v>
      </c>
      <c r="BK165" s="18"/>
      <c r="BL165" s="19"/>
      <c r="BM165" s="274"/>
      <c r="BN165" s="274"/>
      <c r="BO165" s="19">
        <v>710310</v>
      </c>
      <c r="BP165" s="18"/>
      <c r="BQ165" s="19"/>
      <c r="BR165" s="274"/>
      <c r="BS165" s="274"/>
      <c r="BT165" s="19">
        <f>SUM(L165:BO165)</f>
        <v>8737686</v>
      </c>
      <c r="BU165" s="18"/>
      <c r="BV165" s="19"/>
      <c r="BW165" s="274"/>
      <c r="BX165" s="274"/>
      <c r="BY165" s="19">
        <v>3774012</v>
      </c>
      <c r="BZ165" s="18"/>
      <c r="CA165" s="19"/>
      <c r="CB165" s="274"/>
      <c r="CC165" s="274"/>
      <c r="CD165" s="19">
        <v>75033</v>
      </c>
      <c r="CE165" s="18"/>
      <c r="CF165" s="19"/>
      <c r="CG165" s="274"/>
      <c r="CH165" s="274"/>
      <c r="CI165" s="19">
        <v>165869</v>
      </c>
      <c r="CJ165" s="18"/>
      <c r="CK165" s="19"/>
      <c r="CL165" s="274"/>
      <c r="CM165" s="274"/>
      <c r="CN165" s="19">
        <v>0</v>
      </c>
      <c r="CO165" s="18"/>
      <c r="CP165" s="19"/>
      <c r="CQ165" s="274"/>
      <c r="CR165" s="274"/>
      <c r="CS165" s="19">
        <v>271930</v>
      </c>
      <c r="CT165" s="18"/>
      <c r="CU165" s="19"/>
      <c r="CV165" s="274"/>
      <c r="CW165" s="274"/>
      <c r="CX165" s="19">
        <v>313566</v>
      </c>
      <c r="CY165" s="18"/>
      <c r="CZ165" s="19"/>
      <c r="DA165" s="274"/>
      <c r="DB165" s="274"/>
      <c r="DC165" s="19">
        <v>156930</v>
      </c>
      <c r="DD165" s="18"/>
      <c r="DE165" s="19"/>
      <c r="DF165" s="274"/>
      <c r="DG165" s="274"/>
      <c r="DH165" s="19">
        <v>180384</v>
      </c>
      <c r="DI165" s="18"/>
      <c r="DJ165" s="19"/>
      <c r="DK165" s="274"/>
      <c r="DL165" s="274"/>
      <c r="DM165" s="19">
        <v>413024</v>
      </c>
      <c r="DN165" s="18"/>
      <c r="DO165" s="19"/>
      <c r="DP165" s="274"/>
      <c r="DQ165" s="274"/>
      <c r="DR165" s="19">
        <v>96806</v>
      </c>
      <c r="DS165" s="18"/>
      <c r="DT165" s="19"/>
      <c r="DU165" s="274"/>
      <c r="DV165" s="274"/>
      <c r="DW165" s="19">
        <v>462363</v>
      </c>
      <c r="DX165" s="18"/>
      <c r="DY165" s="19"/>
      <c r="DZ165" s="274"/>
      <c r="EA165" s="274"/>
      <c r="EB165" s="19">
        <v>253083</v>
      </c>
      <c r="EC165" s="18"/>
      <c r="ED165" s="19"/>
      <c r="EE165" s="274"/>
      <c r="EF165" s="274"/>
      <c r="EG165" s="19">
        <v>1385024</v>
      </c>
      <c r="EH165" s="18"/>
      <c r="EI165" s="19"/>
      <c r="EJ165" s="274"/>
      <c r="EK165" s="274"/>
      <c r="EL165" s="19">
        <f>SUM(CD165:EG165)</f>
        <v>3774012</v>
      </c>
      <c r="EM165" s="18"/>
      <c r="EN165" s="19"/>
      <c r="EO165" s="244"/>
      <c r="ER165" s="451"/>
      <c r="ES165" s="451"/>
    </row>
    <row r="166" spans="4:149" ht="12.75" customHeight="1" x14ac:dyDescent="0.2">
      <c r="D166" s="244" t="s">
        <v>347</v>
      </c>
      <c r="F166" s="276"/>
      <c r="G166" s="37">
        <v>0</v>
      </c>
      <c r="H166" s="36"/>
      <c r="I166" s="19"/>
      <c r="J166" s="274"/>
      <c r="K166" s="231"/>
      <c r="L166" s="37">
        <v>0</v>
      </c>
      <c r="M166" s="36"/>
      <c r="N166" s="19"/>
      <c r="O166" s="274"/>
      <c r="P166" s="231"/>
      <c r="Q166" s="37">
        <v>0</v>
      </c>
      <c r="R166" s="36"/>
      <c r="S166" s="19"/>
      <c r="T166" s="274"/>
      <c r="U166" s="231"/>
      <c r="V166" s="37">
        <v>0</v>
      </c>
      <c r="W166" s="36"/>
      <c r="X166" s="19"/>
      <c r="Y166" s="274"/>
      <c r="Z166" s="231"/>
      <c r="AA166" s="37">
        <v>0</v>
      </c>
      <c r="AB166" s="36"/>
      <c r="AC166" s="19"/>
      <c r="AD166" s="274"/>
      <c r="AE166" s="231"/>
      <c r="AF166" s="37">
        <v>0</v>
      </c>
      <c r="AG166" s="36"/>
      <c r="AH166" s="19"/>
      <c r="AI166" s="274"/>
      <c r="AJ166" s="231"/>
      <c r="AK166" s="37">
        <v>0</v>
      </c>
      <c r="AL166" s="36"/>
      <c r="AM166" s="19"/>
      <c r="AN166" s="274"/>
      <c r="AO166" s="231"/>
      <c r="AP166" s="37">
        <v>0</v>
      </c>
      <c r="AQ166" s="36"/>
      <c r="AR166" s="19"/>
      <c r="AS166" s="274"/>
      <c r="AT166" s="231"/>
      <c r="AU166" s="37">
        <v>0</v>
      </c>
      <c r="AV166" s="36"/>
      <c r="AW166" s="19"/>
      <c r="AX166" s="274"/>
      <c r="AY166" s="231"/>
      <c r="AZ166" s="37">
        <v>0</v>
      </c>
      <c r="BA166" s="36"/>
      <c r="BB166" s="19"/>
      <c r="BC166" s="274"/>
      <c r="BD166" s="231"/>
      <c r="BE166" s="37">
        <v>0</v>
      </c>
      <c r="BF166" s="36"/>
      <c r="BG166" s="19"/>
      <c r="BH166" s="274"/>
      <c r="BI166" s="231"/>
      <c r="BJ166" s="37">
        <v>0</v>
      </c>
      <c r="BK166" s="36"/>
      <c r="BL166" s="19"/>
      <c r="BM166" s="274"/>
      <c r="BN166" s="231"/>
      <c r="BO166" s="37">
        <v>0</v>
      </c>
      <c r="BP166" s="36"/>
      <c r="BQ166" s="19"/>
      <c r="BR166" s="274"/>
      <c r="BS166" s="231"/>
      <c r="BT166" s="37">
        <f>SUM(L166:BO166)</f>
        <v>0</v>
      </c>
      <c r="BU166" s="36"/>
      <c r="BV166" s="19"/>
      <c r="BW166" s="274"/>
      <c r="BX166" s="231"/>
      <c r="BY166" s="37">
        <v>0</v>
      </c>
      <c r="BZ166" s="36"/>
      <c r="CA166" s="19"/>
      <c r="CB166" s="274"/>
      <c r="CC166" s="231"/>
      <c r="CD166" s="37">
        <v>0</v>
      </c>
      <c r="CE166" s="36"/>
      <c r="CF166" s="19"/>
      <c r="CG166" s="274"/>
      <c r="CH166" s="231"/>
      <c r="CI166" s="37">
        <v>0</v>
      </c>
      <c r="CJ166" s="36"/>
      <c r="CK166" s="19"/>
      <c r="CL166" s="274"/>
      <c r="CM166" s="231"/>
      <c r="CN166" s="37">
        <v>0</v>
      </c>
      <c r="CO166" s="36"/>
      <c r="CP166" s="19"/>
      <c r="CQ166" s="274"/>
      <c r="CR166" s="231"/>
      <c r="CS166" s="37">
        <v>0</v>
      </c>
      <c r="CT166" s="36"/>
      <c r="CU166" s="19"/>
      <c r="CV166" s="274"/>
      <c r="CW166" s="231"/>
      <c r="CX166" s="37">
        <v>0</v>
      </c>
      <c r="CY166" s="36"/>
      <c r="CZ166" s="19"/>
      <c r="DA166" s="274"/>
      <c r="DB166" s="231"/>
      <c r="DC166" s="37">
        <v>0</v>
      </c>
      <c r="DD166" s="36"/>
      <c r="DE166" s="19"/>
      <c r="DF166" s="274"/>
      <c r="DG166" s="231"/>
      <c r="DH166" s="37">
        <v>0</v>
      </c>
      <c r="DI166" s="36"/>
      <c r="DJ166" s="19"/>
      <c r="DK166" s="274"/>
      <c r="DL166" s="231"/>
      <c r="DM166" s="37">
        <v>0</v>
      </c>
      <c r="DN166" s="36"/>
      <c r="DO166" s="19"/>
      <c r="DP166" s="274"/>
      <c r="DQ166" s="231"/>
      <c r="DR166" s="37">
        <v>0</v>
      </c>
      <c r="DS166" s="36"/>
      <c r="DT166" s="19"/>
      <c r="DU166" s="274"/>
      <c r="DV166" s="231"/>
      <c r="DW166" s="37">
        <v>0</v>
      </c>
      <c r="DX166" s="36"/>
      <c r="DY166" s="19"/>
      <c r="DZ166" s="274"/>
      <c r="EA166" s="231"/>
      <c r="EB166" s="37">
        <v>0</v>
      </c>
      <c r="EC166" s="36"/>
      <c r="ED166" s="19"/>
      <c r="EE166" s="274"/>
      <c r="EF166" s="231"/>
      <c r="EG166" s="37">
        <v>0</v>
      </c>
      <c r="EH166" s="36"/>
      <c r="EI166" s="19"/>
      <c r="EJ166" s="274"/>
      <c r="EK166" s="231"/>
      <c r="EL166" s="37">
        <f>SUM(CD166:EG166)</f>
        <v>0</v>
      </c>
      <c r="EM166" s="36"/>
      <c r="EN166" s="19"/>
      <c r="EO166" s="244"/>
      <c r="ER166" s="451"/>
      <c r="ES166" s="451"/>
    </row>
    <row r="167" spans="4:149" ht="12.75" customHeight="1" x14ac:dyDescent="0.2">
      <c r="D167" s="244"/>
      <c r="G167" s="19"/>
      <c r="H167" s="19"/>
      <c r="I167" s="19"/>
      <c r="J167" s="274"/>
      <c r="K167" s="19"/>
      <c r="L167" s="19"/>
      <c r="M167" s="19"/>
      <c r="N167" s="19"/>
      <c r="O167" s="274"/>
      <c r="P167" s="19"/>
      <c r="Q167" s="19"/>
      <c r="R167" s="19"/>
      <c r="S167" s="19"/>
      <c r="T167" s="274"/>
      <c r="U167" s="19"/>
      <c r="V167" s="19"/>
      <c r="W167" s="19"/>
      <c r="X167" s="19"/>
      <c r="Y167" s="274"/>
      <c r="Z167" s="19"/>
      <c r="AA167" s="19"/>
      <c r="AB167" s="19"/>
      <c r="AC167" s="19"/>
      <c r="AD167" s="274"/>
      <c r="AE167" s="19"/>
      <c r="AF167" s="19"/>
      <c r="AG167" s="19"/>
      <c r="AH167" s="19"/>
      <c r="AI167" s="274"/>
      <c r="AJ167" s="19"/>
      <c r="AK167" s="19"/>
      <c r="AL167" s="19"/>
      <c r="AM167" s="19"/>
      <c r="AN167" s="274"/>
      <c r="AO167" s="19"/>
      <c r="AP167" s="19"/>
      <c r="AQ167" s="19"/>
      <c r="AR167" s="19"/>
      <c r="AS167" s="274"/>
      <c r="AT167" s="19"/>
      <c r="AU167" s="19"/>
      <c r="AV167" s="19"/>
      <c r="AW167" s="19"/>
      <c r="AX167" s="274"/>
      <c r="AY167" s="19"/>
      <c r="AZ167" s="19"/>
      <c r="BA167" s="19"/>
      <c r="BB167" s="19"/>
      <c r="BC167" s="274"/>
      <c r="BD167" s="19"/>
      <c r="BE167" s="19"/>
      <c r="BF167" s="19"/>
      <c r="BG167" s="19"/>
      <c r="BH167" s="274"/>
      <c r="BI167" s="19"/>
      <c r="BJ167" s="19"/>
      <c r="BK167" s="19"/>
      <c r="BL167" s="19"/>
      <c r="BM167" s="274"/>
      <c r="BN167" s="19"/>
      <c r="BO167" s="19"/>
      <c r="BP167" s="19"/>
      <c r="BQ167" s="19"/>
      <c r="BR167" s="274"/>
      <c r="BS167" s="19"/>
      <c r="BT167" s="19"/>
      <c r="BU167" s="19"/>
      <c r="BV167" s="19"/>
      <c r="BW167" s="274"/>
      <c r="BX167" s="19"/>
      <c r="BY167" s="19"/>
      <c r="BZ167" s="19"/>
      <c r="CA167" s="19"/>
      <c r="CB167" s="274"/>
      <c r="CC167" s="19"/>
      <c r="CD167" s="19"/>
      <c r="CE167" s="19"/>
      <c r="CF167" s="19"/>
      <c r="CG167" s="274"/>
      <c r="CH167" s="19"/>
      <c r="CI167" s="19"/>
      <c r="CJ167" s="19"/>
      <c r="CK167" s="19"/>
      <c r="CL167" s="274"/>
      <c r="CM167" s="19"/>
      <c r="CN167" s="19"/>
      <c r="CO167" s="19"/>
      <c r="CP167" s="19"/>
      <c r="CQ167" s="274"/>
      <c r="CR167" s="19"/>
      <c r="CS167" s="19"/>
      <c r="CT167" s="19"/>
      <c r="CU167" s="19"/>
      <c r="CV167" s="274"/>
      <c r="CW167" s="19"/>
      <c r="CX167" s="19"/>
      <c r="CY167" s="19"/>
      <c r="CZ167" s="19"/>
      <c r="DA167" s="274"/>
      <c r="DB167" s="19"/>
      <c r="DC167" s="19"/>
      <c r="DD167" s="19"/>
      <c r="DE167" s="19"/>
      <c r="DF167" s="274"/>
      <c r="DG167" s="19"/>
      <c r="DH167" s="19"/>
      <c r="DI167" s="19"/>
      <c r="DJ167" s="19"/>
      <c r="DK167" s="274"/>
      <c r="DL167" s="19"/>
      <c r="DM167" s="19"/>
      <c r="DN167" s="19"/>
      <c r="DO167" s="19"/>
      <c r="DP167" s="274"/>
      <c r="DQ167" s="19"/>
      <c r="DR167" s="19"/>
      <c r="DS167" s="19"/>
      <c r="DT167" s="19"/>
      <c r="DU167" s="274"/>
      <c r="DV167" s="19"/>
      <c r="DW167" s="19"/>
      <c r="DX167" s="19"/>
      <c r="DY167" s="19"/>
      <c r="DZ167" s="274"/>
      <c r="EA167" s="19"/>
      <c r="EB167" s="19"/>
      <c r="EC167" s="19"/>
      <c r="ED167" s="19"/>
      <c r="EE167" s="274"/>
      <c r="EF167" s="19"/>
      <c r="EG167" s="19"/>
      <c r="EH167" s="19"/>
      <c r="EI167" s="19"/>
      <c r="EJ167" s="274"/>
      <c r="EK167" s="19"/>
      <c r="EL167" s="19"/>
      <c r="EM167" s="19"/>
      <c r="EN167" s="19"/>
      <c r="EO167" s="244"/>
      <c r="ER167" s="451"/>
      <c r="ES167" s="451"/>
    </row>
    <row r="168" spans="4:149" ht="12.75" customHeight="1" x14ac:dyDescent="0.2">
      <c r="D168" s="244" t="s">
        <v>376</v>
      </c>
      <c r="G168" s="19">
        <f>SUM(G169:G171)</f>
        <v>0</v>
      </c>
      <c r="H168" s="19"/>
      <c r="I168" s="19"/>
      <c r="J168" s="274"/>
      <c r="K168" s="19"/>
      <c r="L168" s="19">
        <f>SUM(L169:L171)</f>
        <v>0</v>
      </c>
      <c r="M168" s="19"/>
      <c r="N168" s="19"/>
      <c r="O168" s="274"/>
      <c r="P168" s="19"/>
      <c r="Q168" s="19">
        <f>SUM(Q169:Q171)</f>
        <v>0</v>
      </c>
      <c r="R168" s="19"/>
      <c r="S168" s="19"/>
      <c r="T168" s="274"/>
      <c r="U168" s="19"/>
      <c r="V168" s="19">
        <f>SUM(V169:V171)</f>
        <v>0</v>
      </c>
      <c r="W168" s="19"/>
      <c r="X168" s="19"/>
      <c r="Y168" s="274"/>
      <c r="Z168" s="19"/>
      <c r="AA168" s="19">
        <f>SUM(AA169:AA171)</f>
        <v>0</v>
      </c>
      <c r="AB168" s="19"/>
      <c r="AC168" s="19"/>
      <c r="AD168" s="274"/>
      <c r="AE168" s="19"/>
      <c r="AF168" s="19">
        <f>SUM(AF169:AF171)</f>
        <v>2200000</v>
      </c>
      <c r="AG168" s="19"/>
      <c r="AH168" s="19"/>
      <c r="AI168" s="274"/>
      <c r="AJ168" s="19"/>
      <c r="AK168" s="19">
        <f>SUM(AK169:AK171)</f>
        <v>4397000</v>
      </c>
      <c r="AL168" s="19"/>
      <c r="AM168" s="19"/>
      <c r="AN168" s="274"/>
      <c r="AO168" s="19"/>
      <c r="AP168" s="19">
        <f>SUM(AP169:AP171)</f>
        <v>2250000</v>
      </c>
      <c r="AQ168" s="19"/>
      <c r="AR168" s="19"/>
      <c r="AS168" s="274"/>
      <c r="AT168" s="19"/>
      <c r="AU168" s="19">
        <f>SUM(AU169:AU171)</f>
        <v>4177000</v>
      </c>
      <c r="AV168" s="19"/>
      <c r="AW168" s="19"/>
      <c r="AX168" s="274"/>
      <c r="AY168" s="19"/>
      <c r="AZ168" s="19">
        <f>SUM(AZ169:AZ171)</f>
        <v>0</v>
      </c>
      <c r="BA168" s="19"/>
      <c r="BB168" s="19"/>
      <c r="BC168" s="274"/>
      <c r="BD168" s="19"/>
      <c r="BE168" s="19">
        <f>SUM(BE169:BE171)</f>
        <v>0</v>
      </c>
      <c r="BF168" s="19"/>
      <c r="BG168" s="19"/>
      <c r="BH168" s="274"/>
      <c r="BI168" s="19"/>
      <c r="BJ168" s="19">
        <f>SUM(BJ169:BJ171)</f>
        <v>6775000</v>
      </c>
      <c r="BK168" s="19"/>
      <c r="BL168" s="19"/>
      <c r="BM168" s="274"/>
      <c r="BN168" s="19"/>
      <c r="BO168" s="19">
        <f>SUM(BO169:BO171)</f>
        <v>2197000</v>
      </c>
      <c r="BP168" s="19"/>
      <c r="BQ168" s="19"/>
      <c r="BR168" s="274"/>
      <c r="BS168" s="19"/>
      <c r="BT168" s="19">
        <f>SUM(BT169:BT171)</f>
        <v>21996000</v>
      </c>
      <c r="BU168" s="19"/>
      <c r="BV168" s="19"/>
      <c r="BW168" s="274"/>
      <c r="BX168" s="19"/>
      <c r="BY168" s="19">
        <f>SUM(BY169:BY171)</f>
        <v>16284676</v>
      </c>
      <c r="BZ168" s="19"/>
      <c r="CA168" s="19"/>
      <c r="CB168" s="274"/>
      <c r="CC168" s="19"/>
      <c r="CD168" s="19">
        <f>SUM(CD169:CD171)</f>
        <v>1647000</v>
      </c>
      <c r="CE168" s="19"/>
      <c r="CF168" s="19"/>
      <c r="CG168" s="274"/>
      <c r="CH168" s="19"/>
      <c r="CI168" s="19">
        <f>SUM(CI169:CI171)</f>
        <v>1138676</v>
      </c>
      <c r="CJ168" s="19"/>
      <c r="CK168" s="19"/>
      <c r="CL168" s="274"/>
      <c r="CM168" s="19"/>
      <c r="CN168" s="19">
        <f>SUM(CN169:CN171)</f>
        <v>0</v>
      </c>
      <c r="CO168" s="19"/>
      <c r="CP168" s="19"/>
      <c r="CQ168" s="274"/>
      <c r="CR168" s="19"/>
      <c r="CS168" s="19">
        <f>SUM(CS169:CS171)</f>
        <v>0</v>
      </c>
      <c r="CT168" s="19"/>
      <c r="CU168" s="19"/>
      <c r="CV168" s="274"/>
      <c r="CW168" s="19"/>
      <c r="CX168" s="19">
        <f>SUM(CX169:CX171)</f>
        <v>2262000</v>
      </c>
      <c r="CY168" s="19"/>
      <c r="CZ168" s="19"/>
      <c r="DA168" s="274"/>
      <c r="DB168" s="19"/>
      <c r="DC168" s="19">
        <f>SUM(DC169:DC171)</f>
        <v>0</v>
      </c>
      <c r="DD168" s="19"/>
      <c r="DE168" s="19"/>
      <c r="DF168" s="274"/>
      <c r="DG168" s="19"/>
      <c r="DH168" s="19">
        <f>SUM(DH169:DH171)</f>
        <v>0</v>
      </c>
      <c r="DI168" s="19"/>
      <c r="DJ168" s="19"/>
      <c r="DK168" s="274"/>
      <c r="DL168" s="19"/>
      <c r="DM168" s="19">
        <f>SUM(DM169:DM171)</f>
        <v>3773000</v>
      </c>
      <c r="DN168" s="19"/>
      <c r="DO168" s="19"/>
      <c r="DP168" s="274"/>
      <c r="DQ168" s="19"/>
      <c r="DR168" s="19">
        <f>SUM(DR169:DR171)</f>
        <v>752000</v>
      </c>
      <c r="DS168" s="19"/>
      <c r="DT168" s="19"/>
      <c r="DU168" s="274"/>
      <c r="DV168" s="19"/>
      <c r="DW168" s="19">
        <f>SUM(DW169:DW171)</f>
        <v>3698000</v>
      </c>
      <c r="DX168" s="19"/>
      <c r="DY168" s="19"/>
      <c r="DZ168" s="274"/>
      <c r="EA168" s="19"/>
      <c r="EB168" s="19">
        <f>SUM(EB169:EB171)</f>
        <v>3014000</v>
      </c>
      <c r="EC168" s="19"/>
      <c r="ED168" s="19"/>
      <c r="EE168" s="274"/>
      <c r="EF168" s="19"/>
      <c r="EG168" s="19">
        <f>SUM(EG169:EG171)</f>
        <v>0</v>
      </c>
      <c r="EH168" s="19"/>
      <c r="EI168" s="19"/>
      <c r="EJ168" s="274"/>
      <c r="EK168" s="19"/>
      <c r="EL168" s="19">
        <f>SUM(EL169:EL171)</f>
        <v>16284676</v>
      </c>
      <c r="EM168" s="19"/>
      <c r="EN168" s="19"/>
      <c r="EO168" s="244"/>
      <c r="ER168" s="451"/>
      <c r="ES168" s="451"/>
    </row>
    <row r="169" spans="4:149" ht="12.75" customHeight="1" x14ac:dyDescent="0.2">
      <c r="D169" s="244" t="s">
        <v>344</v>
      </c>
      <c r="F169" s="112"/>
      <c r="G169" s="374">
        <v>0</v>
      </c>
      <c r="H169" s="475"/>
      <c r="I169" s="19"/>
      <c r="J169" s="274"/>
      <c r="K169" s="173"/>
      <c r="L169" s="374">
        <v>0</v>
      </c>
      <c r="M169" s="475"/>
      <c r="N169" s="19"/>
      <c r="O169" s="274"/>
      <c r="P169" s="173"/>
      <c r="Q169" s="374">
        <v>0</v>
      </c>
      <c r="R169" s="475"/>
      <c r="S169" s="19"/>
      <c r="T169" s="274"/>
      <c r="U169" s="173"/>
      <c r="V169" s="374">
        <v>0</v>
      </c>
      <c r="W169" s="475"/>
      <c r="X169" s="19"/>
      <c r="Y169" s="274"/>
      <c r="Z169" s="173"/>
      <c r="AA169" s="374">
        <v>0</v>
      </c>
      <c r="AB169" s="475"/>
      <c r="AC169" s="19"/>
      <c r="AD169" s="274"/>
      <c r="AE169" s="173"/>
      <c r="AF169" s="374">
        <f>2200000-491030</f>
        <v>1708970</v>
      </c>
      <c r="AG169" s="475"/>
      <c r="AH169" s="19"/>
      <c r="AI169" s="274"/>
      <c r="AJ169" s="173"/>
      <c r="AK169" s="374">
        <f>4397000-926461</f>
        <v>3470539</v>
      </c>
      <c r="AL169" s="475"/>
      <c r="AM169" s="19"/>
      <c r="AN169" s="274"/>
      <c r="AO169" s="173"/>
      <c r="AP169" s="374">
        <f>2250000-528176</f>
        <v>1721824</v>
      </c>
      <c r="AQ169" s="475"/>
      <c r="AR169" s="19"/>
      <c r="AS169" s="274"/>
      <c r="AT169" s="173"/>
      <c r="AU169" s="374">
        <f>4177000-864039</f>
        <v>3312961</v>
      </c>
      <c r="AV169" s="475"/>
      <c r="AW169" s="19"/>
      <c r="AX169" s="274"/>
      <c r="AY169" s="173"/>
      <c r="AZ169" s="374">
        <v>0</v>
      </c>
      <c r="BA169" s="475"/>
      <c r="BB169" s="19"/>
      <c r="BC169" s="274"/>
      <c r="BD169" s="173"/>
      <c r="BE169" s="374">
        <v>0</v>
      </c>
      <c r="BF169" s="475"/>
      <c r="BG169" s="19"/>
      <c r="BH169" s="274"/>
      <c r="BI169" s="173"/>
      <c r="BJ169" s="374">
        <f>6775000-1135001</f>
        <v>5639999</v>
      </c>
      <c r="BK169" s="475"/>
      <c r="BL169" s="19"/>
      <c r="BM169" s="274"/>
      <c r="BN169" s="173"/>
      <c r="BO169" s="374">
        <f>2197000-401727</f>
        <v>1795273</v>
      </c>
      <c r="BP169" s="475"/>
      <c r="BQ169" s="19"/>
      <c r="BR169" s="274"/>
      <c r="BS169" s="173"/>
      <c r="BT169" s="374">
        <f>SUM(L169:BO169)</f>
        <v>17649566</v>
      </c>
      <c r="BU169" s="475"/>
      <c r="BV169" s="19"/>
      <c r="BW169" s="274"/>
      <c r="BX169" s="173"/>
      <c r="BY169" s="374">
        <v>14295666</v>
      </c>
      <c r="BZ169" s="475"/>
      <c r="CA169" s="19"/>
      <c r="CB169" s="274"/>
      <c r="CC169" s="173"/>
      <c r="CD169" s="374">
        <f>1647000-140372</f>
        <v>1506628</v>
      </c>
      <c r="CE169" s="475"/>
      <c r="CF169" s="19"/>
      <c r="CG169" s="274"/>
      <c r="CH169" s="173"/>
      <c r="CI169" s="374">
        <f>1138676-110643</f>
        <v>1028033</v>
      </c>
      <c r="CJ169" s="475"/>
      <c r="CK169" s="19"/>
      <c r="CL169" s="274"/>
      <c r="CM169" s="173"/>
      <c r="CN169" s="374">
        <v>0</v>
      </c>
      <c r="CO169" s="475"/>
      <c r="CP169" s="19"/>
      <c r="CQ169" s="274"/>
      <c r="CR169" s="173"/>
      <c r="CS169" s="374">
        <v>0</v>
      </c>
      <c r="CT169" s="475"/>
      <c r="CU169" s="19"/>
      <c r="CV169" s="274"/>
      <c r="CW169" s="173"/>
      <c r="CX169" s="374">
        <f>2262000-273679</f>
        <v>1988321</v>
      </c>
      <c r="CY169" s="475"/>
      <c r="CZ169" s="19"/>
      <c r="DA169" s="274"/>
      <c r="DB169" s="173"/>
      <c r="DC169" s="374">
        <v>0</v>
      </c>
      <c r="DD169" s="475"/>
      <c r="DE169" s="19"/>
      <c r="DF169" s="274"/>
      <c r="DG169" s="173"/>
      <c r="DH169" s="374">
        <v>0</v>
      </c>
      <c r="DI169" s="475"/>
      <c r="DJ169" s="19"/>
      <c r="DK169" s="274"/>
      <c r="DL169" s="173"/>
      <c r="DM169" s="374">
        <f>3773000-492118</f>
        <v>3280882</v>
      </c>
      <c r="DN169" s="475"/>
      <c r="DO169" s="19"/>
      <c r="DP169" s="274"/>
      <c r="DQ169" s="173"/>
      <c r="DR169" s="374">
        <f>752000-103238</f>
        <v>648762</v>
      </c>
      <c r="DS169" s="475"/>
      <c r="DT169" s="19"/>
      <c r="DU169" s="274"/>
      <c r="DV169" s="173"/>
      <c r="DW169" s="374">
        <f>3698000-482202</f>
        <v>3215798</v>
      </c>
      <c r="DX169" s="475"/>
      <c r="DY169" s="19"/>
      <c r="DZ169" s="274"/>
      <c r="EA169" s="173"/>
      <c r="EB169" s="374">
        <f>3014000-386758</f>
        <v>2627242</v>
      </c>
      <c r="EC169" s="475"/>
      <c r="ED169" s="19"/>
      <c r="EE169" s="274"/>
      <c r="EF169" s="173"/>
      <c r="EG169" s="374">
        <v>0</v>
      </c>
      <c r="EH169" s="475"/>
      <c r="EI169" s="19"/>
      <c r="EJ169" s="274"/>
      <c r="EK169" s="173"/>
      <c r="EL169" s="374">
        <f>SUM(CD169:EG169)</f>
        <v>14295666</v>
      </c>
      <c r="EM169" s="475"/>
      <c r="EN169" s="19"/>
      <c r="EO169" s="244"/>
      <c r="ER169" s="451"/>
      <c r="ES169" s="451"/>
    </row>
    <row r="170" spans="4:149" ht="12.75" customHeight="1" x14ac:dyDescent="0.2">
      <c r="D170" s="244" t="s">
        <v>346</v>
      </c>
      <c r="F170" s="82"/>
      <c r="G170" s="19">
        <v>0</v>
      </c>
      <c r="H170" s="18"/>
      <c r="I170" s="19"/>
      <c r="J170" s="274"/>
      <c r="K170" s="274"/>
      <c r="L170" s="19">
        <v>0</v>
      </c>
      <c r="M170" s="18"/>
      <c r="N170" s="19"/>
      <c r="O170" s="274"/>
      <c r="P170" s="274"/>
      <c r="Q170" s="19">
        <v>0</v>
      </c>
      <c r="R170" s="18"/>
      <c r="S170" s="19"/>
      <c r="T170" s="274"/>
      <c r="U170" s="274"/>
      <c r="V170" s="19">
        <v>0</v>
      </c>
      <c r="W170" s="18"/>
      <c r="X170" s="19"/>
      <c r="Y170" s="274"/>
      <c r="Z170" s="274"/>
      <c r="AA170" s="19">
        <v>0</v>
      </c>
      <c r="AB170" s="18"/>
      <c r="AC170" s="19"/>
      <c r="AD170" s="274"/>
      <c r="AE170" s="274"/>
      <c r="AF170" s="19">
        <v>491030</v>
      </c>
      <c r="AG170" s="18"/>
      <c r="AH170" s="19"/>
      <c r="AI170" s="274"/>
      <c r="AJ170" s="274"/>
      <c r="AK170" s="19">
        <v>926461</v>
      </c>
      <c r="AL170" s="18"/>
      <c r="AM170" s="19"/>
      <c r="AN170" s="274"/>
      <c r="AO170" s="274"/>
      <c r="AP170" s="19">
        <v>528176</v>
      </c>
      <c r="AQ170" s="18"/>
      <c r="AR170" s="19"/>
      <c r="AS170" s="274"/>
      <c r="AT170" s="274"/>
      <c r="AU170" s="19">
        <v>864039</v>
      </c>
      <c r="AV170" s="18"/>
      <c r="AW170" s="19"/>
      <c r="AX170" s="274"/>
      <c r="AY170" s="274"/>
      <c r="AZ170" s="19">
        <v>0</v>
      </c>
      <c r="BA170" s="18"/>
      <c r="BB170" s="19"/>
      <c r="BC170" s="274"/>
      <c r="BD170" s="274"/>
      <c r="BE170" s="19">
        <v>0</v>
      </c>
      <c r="BF170" s="18"/>
      <c r="BG170" s="19"/>
      <c r="BH170" s="274"/>
      <c r="BI170" s="274"/>
      <c r="BJ170" s="19">
        <v>1135001</v>
      </c>
      <c r="BK170" s="18"/>
      <c r="BL170" s="19"/>
      <c r="BM170" s="274"/>
      <c r="BN170" s="274"/>
      <c r="BO170" s="19">
        <v>401727</v>
      </c>
      <c r="BP170" s="18"/>
      <c r="BQ170" s="19"/>
      <c r="BR170" s="274"/>
      <c r="BS170" s="274"/>
      <c r="BT170" s="19">
        <f>SUM(L170:BO170)</f>
        <v>4346434</v>
      </c>
      <c r="BU170" s="18"/>
      <c r="BV170" s="19"/>
      <c r="BW170" s="274"/>
      <c r="BX170" s="274"/>
      <c r="BY170" s="19">
        <v>1989010</v>
      </c>
      <c r="BZ170" s="18"/>
      <c r="CA170" s="19"/>
      <c r="CB170" s="274"/>
      <c r="CC170" s="274"/>
      <c r="CD170" s="19">
        <v>140372</v>
      </c>
      <c r="CE170" s="18"/>
      <c r="CF170" s="19"/>
      <c r="CG170" s="274"/>
      <c r="CH170" s="274"/>
      <c r="CI170" s="19">
        <v>110643</v>
      </c>
      <c r="CJ170" s="18"/>
      <c r="CK170" s="19"/>
      <c r="CL170" s="274"/>
      <c r="CM170" s="274"/>
      <c r="CN170" s="19">
        <v>0</v>
      </c>
      <c r="CO170" s="18"/>
      <c r="CP170" s="19"/>
      <c r="CQ170" s="274"/>
      <c r="CR170" s="274"/>
      <c r="CS170" s="19">
        <v>0</v>
      </c>
      <c r="CT170" s="18"/>
      <c r="CU170" s="19"/>
      <c r="CV170" s="274"/>
      <c r="CW170" s="274"/>
      <c r="CX170" s="19">
        <v>273679</v>
      </c>
      <c r="CY170" s="18"/>
      <c r="CZ170" s="19"/>
      <c r="DA170" s="274"/>
      <c r="DB170" s="274"/>
      <c r="DC170" s="19">
        <v>0</v>
      </c>
      <c r="DD170" s="18"/>
      <c r="DE170" s="19"/>
      <c r="DF170" s="274"/>
      <c r="DG170" s="274"/>
      <c r="DH170" s="19">
        <v>0</v>
      </c>
      <c r="DI170" s="18"/>
      <c r="DJ170" s="19"/>
      <c r="DK170" s="274"/>
      <c r="DL170" s="274"/>
      <c r="DM170" s="19">
        <v>492118</v>
      </c>
      <c r="DN170" s="18"/>
      <c r="DO170" s="19"/>
      <c r="DP170" s="274"/>
      <c r="DQ170" s="274"/>
      <c r="DR170" s="19">
        <v>103238</v>
      </c>
      <c r="DS170" s="18"/>
      <c r="DT170" s="19"/>
      <c r="DU170" s="274"/>
      <c r="DV170" s="274"/>
      <c r="DW170" s="19">
        <v>482202</v>
      </c>
      <c r="DX170" s="18"/>
      <c r="DY170" s="19"/>
      <c r="DZ170" s="274"/>
      <c r="EA170" s="274"/>
      <c r="EB170" s="19">
        <v>386758</v>
      </c>
      <c r="EC170" s="18"/>
      <c r="ED170" s="19"/>
      <c r="EE170" s="274"/>
      <c r="EF170" s="274"/>
      <c r="EG170" s="19">
        <v>0</v>
      </c>
      <c r="EH170" s="18"/>
      <c r="EI170" s="19"/>
      <c r="EJ170" s="274"/>
      <c r="EK170" s="274"/>
      <c r="EL170" s="19">
        <f>SUM(CD170:EG170)</f>
        <v>1989010</v>
      </c>
      <c r="EM170" s="18"/>
      <c r="EN170" s="19"/>
      <c r="EO170" s="244"/>
      <c r="ER170" s="451"/>
      <c r="ES170" s="451"/>
    </row>
    <row r="171" spans="4:149" ht="12.75" customHeight="1" x14ac:dyDescent="0.2">
      <c r="D171" s="244" t="s">
        <v>347</v>
      </c>
      <c r="F171" s="276"/>
      <c r="G171" s="37">
        <v>0</v>
      </c>
      <c r="H171" s="36"/>
      <c r="I171" s="19"/>
      <c r="J171" s="274"/>
      <c r="K171" s="231"/>
      <c r="L171" s="37">
        <v>0</v>
      </c>
      <c r="M171" s="36"/>
      <c r="N171" s="19"/>
      <c r="O171" s="274"/>
      <c r="P171" s="231"/>
      <c r="Q171" s="37">
        <v>0</v>
      </c>
      <c r="R171" s="36"/>
      <c r="S171" s="19"/>
      <c r="T171" s="274"/>
      <c r="U171" s="231"/>
      <c r="V171" s="37">
        <v>0</v>
      </c>
      <c r="W171" s="36"/>
      <c r="X171" s="19"/>
      <c r="Y171" s="274"/>
      <c r="Z171" s="231"/>
      <c r="AA171" s="37">
        <v>0</v>
      </c>
      <c r="AB171" s="36"/>
      <c r="AC171" s="19"/>
      <c r="AD171" s="274"/>
      <c r="AE171" s="231"/>
      <c r="AF171" s="37">
        <v>0</v>
      </c>
      <c r="AG171" s="36"/>
      <c r="AH171" s="19"/>
      <c r="AI171" s="274"/>
      <c r="AJ171" s="231"/>
      <c r="AK171" s="37">
        <v>0</v>
      </c>
      <c r="AL171" s="36"/>
      <c r="AM171" s="19"/>
      <c r="AN171" s="274"/>
      <c r="AO171" s="231"/>
      <c r="AP171" s="37">
        <v>0</v>
      </c>
      <c r="AQ171" s="36"/>
      <c r="AR171" s="19"/>
      <c r="AS171" s="274"/>
      <c r="AT171" s="231"/>
      <c r="AU171" s="37">
        <v>0</v>
      </c>
      <c r="AV171" s="36"/>
      <c r="AW171" s="19"/>
      <c r="AX171" s="274"/>
      <c r="AY171" s="231"/>
      <c r="AZ171" s="37">
        <v>0</v>
      </c>
      <c r="BA171" s="36"/>
      <c r="BB171" s="19"/>
      <c r="BC171" s="274"/>
      <c r="BD171" s="231"/>
      <c r="BE171" s="37">
        <v>0</v>
      </c>
      <c r="BF171" s="36"/>
      <c r="BG171" s="19"/>
      <c r="BH171" s="274"/>
      <c r="BI171" s="231"/>
      <c r="BJ171" s="37">
        <v>0</v>
      </c>
      <c r="BK171" s="36"/>
      <c r="BL171" s="19"/>
      <c r="BM171" s="274"/>
      <c r="BN171" s="231"/>
      <c r="BO171" s="37">
        <v>0</v>
      </c>
      <c r="BP171" s="36"/>
      <c r="BQ171" s="19"/>
      <c r="BR171" s="274"/>
      <c r="BS171" s="231"/>
      <c r="BT171" s="37">
        <f>SUM(L171:BO171)</f>
        <v>0</v>
      </c>
      <c r="BU171" s="36"/>
      <c r="BV171" s="19"/>
      <c r="BW171" s="274"/>
      <c r="BX171" s="231"/>
      <c r="BY171" s="37">
        <v>0</v>
      </c>
      <c r="BZ171" s="36"/>
      <c r="CA171" s="19"/>
      <c r="CB171" s="274"/>
      <c r="CC171" s="231"/>
      <c r="CD171" s="37">
        <v>0</v>
      </c>
      <c r="CE171" s="36"/>
      <c r="CF171" s="19"/>
      <c r="CG171" s="274"/>
      <c r="CH171" s="231"/>
      <c r="CI171" s="37">
        <v>0</v>
      </c>
      <c r="CJ171" s="36"/>
      <c r="CK171" s="19"/>
      <c r="CL171" s="274"/>
      <c r="CM171" s="231"/>
      <c r="CN171" s="37">
        <v>0</v>
      </c>
      <c r="CO171" s="36"/>
      <c r="CP171" s="19"/>
      <c r="CQ171" s="274"/>
      <c r="CR171" s="231"/>
      <c r="CS171" s="37">
        <v>0</v>
      </c>
      <c r="CT171" s="36"/>
      <c r="CU171" s="19"/>
      <c r="CV171" s="274"/>
      <c r="CW171" s="231"/>
      <c r="CX171" s="37">
        <v>0</v>
      </c>
      <c r="CY171" s="36"/>
      <c r="CZ171" s="19"/>
      <c r="DA171" s="274"/>
      <c r="DB171" s="231"/>
      <c r="DC171" s="37">
        <v>0</v>
      </c>
      <c r="DD171" s="36"/>
      <c r="DE171" s="19"/>
      <c r="DF171" s="274"/>
      <c r="DG171" s="231"/>
      <c r="DH171" s="37">
        <v>0</v>
      </c>
      <c r="DI171" s="36"/>
      <c r="DJ171" s="19"/>
      <c r="DK171" s="274"/>
      <c r="DL171" s="231"/>
      <c r="DM171" s="37">
        <v>0</v>
      </c>
      <c r="DN171" s="36"/>
      <c r="DO171" s="19"/>
      <c r="DP171" s="274"/>
      <c r="DQ171" s="231"/>
      <c r="DR171" s="37">
        <v>0</v>
      </c>
      <c r="DS171" s="36"/>
      <c r="DT171" s="19"/>
      <c r="DU171" s="274"/>
      <c r="DV171" s="231"/>
      <c r="DW171" s="37">
        <v>0</v>
      </c>
      <c r="DX171" s="36"/>
      <c r="DY171" s="19"/>
      <c r="DZ171" s="274"/>
      <c r="EA171" s="231"/>
      <c r="EB171" s="37">
        <v>0</v>
      </c>
      <c r="EC171" s="36"/>
      <c r="ED171" s="19"/>
      <c r="EE171" s="274"/>
      <c r="EF171" s="231"/>
      <c r="EG171" s="37">
        <v>0</v>
      </c>
      <c r="EH171" s="36"/>
      <c r="EI171" s="19"/>
      <c r="EJ171" s="274"/>
      <c r="EK171" s="231"/>
      <c r="EL171" s="37">
        <f>SUM(CD171:EG171)</f>
        <v>0</v>
      </c>
      <c r="EM171" s="36"/>
      <c r="EN171" s="19"/>
      <c r="EO171" s="244"/>
      <c r="ER171" s="451"/>
      <c r="ES171" s="451"/>
    </row>
    <row r="172" spans="4:149" ht="12.75" customHeight="1" x14ac:dyDescent="0.2">
      <c r="D172" s="244"/>
      <c r="G172" s="19"/>
      <c r="H172" s="19"/>
      <c r="I172" s="19"/>
      <c r="J172" s="274"/>
      <c r="K172" s="19"/>
      <c r="L172" s="19"/>
      <c r="M172" s="19"/>
      <c r="N172" s="19"/>
      <c r="O172" s="274"/>
      <c r="P172" s="19"/>
      <c r="Q172" s="19"/>
      <c r="R172" s="19"/>
      <c r="S172" s="19"/>
      <c r="T172" s="274"/>
      <c r="U172" s="19"/>
      <c r="V172" s="19"/>
      <c r="W172" s="19"/>
      <c r="X172" s="19"/>
      <c r="Y172" s="274"/>
      <c r="Z172" s="19"/>
      <c r="AA172" s="19"/>
      <c r="AB172" s="19"/>
      <c r="AC172" s="19"/>
      <c r="AD172" s="274"/>
      <c r="AE172" s="19"/>
      <c r="AF172" s="19"/>
      <c r="AG172" s="19"/>
      <c r="AH172" s="19"/>
      <c r="AI172" s="274"/>
      <c r="AJ172" s="19"/>
      <c r="AK172" s="19"/>
      <c r="AL172" s="19"/>
      <c r="AM172" s="19"/>
      <c r="AN172" s="274"/>
      <c r="AO172" s="19"/>
      <c r="AP172" s="19"/>
      <c r="AQ172" s="19"/>
      <c r="AR172" s="19"/>
      <c r="AS172" s="274"/>
      <c r="AT172" s="19"/>
      <c r="AU172" s="19"/>
      <c r="AV172" s="19"/>
      <c r="AW172" s="19"/>
      <c r="AX172" s="274"/>
      <c r="AY172" s="19"/>
      <c r="AZ172" s="19"/>
      <c r="BA172" s="19"/>
      <c r="BB172" s="19"/>
      <c r="BC172" s="274"/>
      <c r="BD172" s="19"/>
      <c r="BE172" s="19"/>
      <c r="BF172" s="19"/>
      <c r="BG172" s="19"/>
      <c r="BH172" s="274"/>
      <c r="BI172" s="19"/>
      <c r="BJ172" s="19"/>
      <c r="BK172" s="19"/>
      <c r="BL172" s="19"/>
      <c r="BM172" s="274"/>
      <c r="BN172" s="19"/>
      <c r="BO172" s="19"/>
      <c r="BP172" s="19"/>
      <c r="BQ172" s="19"/>
      <c r="BR172" s="274"/>
      <c r="BS172" s="19"/>
      <c r="BT172" s="19"/>
      <c r="BU172" s="19"/>
      <c r="BV172" s="19"/>
      <c r="BW172" s="274"/>
      <c r="BX172" s="19"/>
      <c r="BY172" s="19"/>
      <c r="BZ172" s="19"/>
      <c r="CA172" s="19"/>
      <c r="CB172" s="274"/>
      <c r="CC172" s="19"/>
      <c r="CD172" s="19"/>
      <c r="CE172" s="19"/>
      <c r="CF172" s="19"/>
      <c r="CG172" s="274"/>
      <c r="CH172" s="19"/>
      <c r="CI172" s="19"/>
      <c r="CJ172" s="19"/>
      <c r="CK172" s="19"/>
      <c r="CL172" s="274"/>
      <c r="CM172" s="19"/>
      <c r="CN172" s="19"/>
      <c r="CO172" s="19"/>
      <c r="CP172" s="19"/>
      <c r="CQ172" s="274"/>
      <c r="CR172" s="19"/>
      <c r="CS172" s="19"/>
      <c r="CT172" s="19"/>
      <c r="CU172" s="19"/>
      <c r="CV172" s="274"/>
      <c r="CW172" s="19"/>
      <c r="CX172" s="19"/>
      <c r="CY172" s="19"/>
      <c r="CZ172" s="19"/>
      <c r="DA172" s="274"/>
      <c r="DB172" s="19"/>
      <c r="DC172" s="19"/>
      <c r="DD172" s="19"/>
      <c r="DE172" s="19"/>
      <c r="DF172" s="274"/>
      <c r="DG172" s="19"/>
      <c r="DH172" s="19"/>
      <c r="DI172" s="19"/>
      <c r="DJ172" s="19"/>
      <c r="DK172" s="274"/>
      <c r="DL172" s="19"/>
      <c r="DM172" s="19"/>
      <c r="DN172" s="19"/>
      <c r="DO172" s="19"/>
      <c r="DP172" s="274"/>
      <c r="DQ172" s="19"/>
      <c r="DR172" s="19"/>
      <c r="DS172" s="19"/>
      <c r="DT172" s="19"/>
      <c r="DU172" s="274"/>
      <c r="DV172" s="19"/>
      <c r="DW172" s="19"/>
      <c r="DX172" s="19"/>
      <c r="DY172" s="19"/>
      <c r="DZ172" s="274"/>
      <c r="EA172" s="19"/>
      <c r="EB172" s="19"/>
      <c r="EC172" s="19"/>
      <c r="ED172" s="19"/>
      <c r="EE172" s="274"/>
      <c r="EF172" s="19"/>
      <c r="EG172" s="19"/>
      <c r="EH172" s="19"/>
      <c r="EI172" s="19"/>
      <c r="EJ172" s="274"/>
      <c r="EK172" s="19"/>
      <c r="EL172" s="19"/>
      <c r="EM172" s="19"/>
      <c r="EN172" s="19"/>
      <c r="EO172" s="244"/>
      <c r="ER172" s="451"/>
      <c r="ES172" s="451"/>
    </row>
    <row r="173" spans="4:149" ht="12.75" customHeight="1" x14ac:dyDescent="0.2">
      <c r="D173" s="244" t="s">
        <v>377</v>
      </c>
      <c r="G173" s="19">
        <f>SUM(G174:G176)</f>
        <v>0</v>
      </c>
      <c r="H173" s="19"/>
      <c r="I173" s="19"/>
      <c r="J173" s="274"/>
      <c r="K173" s="19"/>
      <c r="L173" s="19">
        <f>SUM(L174:L176)</f>
        <v>0</v>
      </c>
      <c r="M173" s="19"/>
      <c r="N173" s="19"/>
      <c r="O173" s="274"/>
      <c r="P173" s="19"/>
      <c r="Q173" s="19">
        <f>SUM(Q174:Q176)</f>
        <v>0</v>
      </c>
      <c r="R173" s="19"/>
      <c r="S173" s="19"/>
      <c r="T173" s="274"/>
      <c r="U173" s="19"/>
      <c r="V173" s="19">
        <f>SUM(V174:V176)</f>
        <v>5309000</v>
      </c>
      <c r="W173" s="19"/>
      <c r="X173" s="19"/>
      <c r="Y173" s="274"/>
      <c r="Z173" s="19"/>
      <c r="AA173" s="19">
        <f>SUM(AA174:AA176)</f>
        <v>7690000</v>
      </c>
      <c r="AB173" s="19"/>
      <c r="AC173" s="19"/>
      <c r="AD173" s="274"/>
      <c r="AE173" s="19"/>
      <c r="AF173" s="19">
        <f>SUM(AF174:AF176)</f>
        <v>7528000</v>
      </c>
      <c r="AG173" s="19"/>
      <c r="AH173" s="19"/>
      <c r="AI173" s="274"/>
      <c r="AJ173" s="19"/>
      <c r="AK173" s="19">
        <f>SUM(AK174:AK176)</f>
        <v>8637000</v>
      </c>
      <c r="AL173" s="19"/>
      <c r="AM173" s="19"/>
      <c r="AN173" s="274"/>
      <c r="AO173" s="19"/>
      <c r="AP173" s="19">
        <f>SUM(AP174:AP176)</f>
        <v>5599000</v>
      </c>
      <c r="AQ173" s="19"/>
      <c r="AR173" s="19"/>
      <c r="AS173" s="274"/>
      <c r="AT173" s="19"/>
      <c r="AU173" s="19">
        <f>SUM(AU174:AU176)</f>
        <v>2292000</v>
      </c>
      <c r="AV173" s="19"/>
      <c r="AW173" s="19"/>
      <c r="AX173" s="274"/>
      <c r="AY173" s="19"/>
      <c r="AZ173" s="19">
        <f>SUM(AZ174:AZ176)</f>
        <v>8795000</v>
      </c>
      <c r="BA173" s="19"/>
      <c r="BB173" s="19"/>
      <c r="BC173" s="274"/>
      <c r="BD173" s="19"/>
      <c r="BE173" s="19">
        <f>SUM(BE174:BE176)</f>
        <v>6596000</v>
      </c>
      <c r="BF173" s="19"/>
      <c r="BG173" s="19"/>
      <c r="BH173" s="274"/>
      <c r="BI173" s="19"/>
      <c r="BJ173" s="19">
        <f>SUM(BJ174:BJ176)</f>
        <v>1988457</v>
      </c>
      <c r="BK173" s="19"/>
      <c r="BL173" s="19"/>
      <c r="BM173" s="274"/>
      <c r="BN173" s="19"/>
      <c r="BO173" s="19">
        <f>SUM(BO174:BO176)</f>
        <v>0</v>
      </c>
      <c r="BP173" s="19"/>
      <c r="BQ173" s="19"/>
      <c r="BR173" s="274"/>
      <c r="BS173" s="19"/>
      <c r="BT173" s="19">
        <f>SUM(BT174:BT176)</f>
        <v>54434457</v>
      </c>
      <c r="BU173" s="19"/>
      <c r="BV173" s="19"/>
      <c r="BW173" s="274"/>
      <c r="BX173" s="19"/>
      <c r="BY173" s="19">
        <f>SUM(BY174:BY176)</f>
        <v>27655634</v>
      </c>
      <c r="BZ173" s="19"/>
      <c r="CA173" s="19"/>
      <c r="CB173" s="274"/>
      <c r="CC173" s="19"/>
      <c r="CD173" s="19">
        <f>SUM(CD174:CD176)</f>
        <v>906000</v>
      </c>
      <c r="CE173" s="19"/>
      <c r="CF173" s="19"/>
      <c r="CG173" s="274"/>
      <c r="CH173" s="19"/>
      <c r="CI173" s="19">
        <f>SUM(CI174:CI176)</f>
        <v>1651634</v>
      </c>
      <c r="CJ173" s="19"/>
      <c r="CK173" s="19"/>
      <c r="CL173" s="274"/>
      <c r="CM173" s="19"/>
      <c r="CN173" s="19">
        <f>SUM(CN174:CN176)</f>
        <v>1649000</v>
      </c>
      <c r="CO173" s="19"/>
      <c r="CP173" s="19"/>
      <c r="CQ173" s="274"/>
      <c r="CR173" s="19"/>
      <c r="CS173" s="19">
        <f>SUM(CS174:CS176)</f>
        <v>0</v>
      </c>
      <c r="CT173" s="19"/>
      <c r="CU173" s="19"/>
      <c r="CV173" s="274"/>
      <c r="CW173" s="19"/>
      <c r="CX173" s="19">
        <f>SUM(CX174:CX176)</f>
        <v>1510000</v>
      </c>
      <c r="CY173" s="19"/>
      <c r="CZ173" s="19"/>
      <c r="DA173" s="274"/>
      <c r="DB173" s="19"/>
      <c r="DC173" s="19">
        <f>SUM(DC174:DC176)</f>
        <v>5279000</v>
      </c>
      <c r="DD173" s="19"/>
      <c r="DE173" s="19"/>
      <c r="DF173" s="274"/>
      <c r="DG173" s="19"/>
      <c r="DH173" s="19">
        <f>SUM(DH174:DH176)</f>
        <v>6784000</v>
      </c>
      <c r="DI173" s="19"/>
      <c r="DJ173" s="19"/>
      <c r="DK173" s="274"/>
      <c r="DL173" s="19"/>
      <c r="DM173" s="19">
        <f>SUM(DM174:DM176)</f>
        <v>3899000</v>
      </c>
      <c r="DN173" s="19"/>
      <c r="DO173" s="19"/>
      <c r="DP173" s="274"/>
      <c r="DQ173" s="19"/>
      <c r="DR173" s="19">
        <f>SUM(DR174:DR176)</f>
        <v>0</v>
      </c>
      <c r="DS173" s="19"/>
      <c r="DT173" s="19"/>
      <c r="DU173" s="274"/>
      <c r="DV173" s="19"/>
      <c r="DW173" s="19">
        <f>SUM(DW174:DW176)</f>
        <v>0</v>
      </c>
      <c r="DX173" s="19"/>
      <c r="DY173" s="19"/>
      <c r="DZ173" s="274"/>
      <c r="EA173" s="19"/>
      <c r="EB173" s="19">
        <f>SUM(EB174:EB176)</f>
        <v>2205000</v>
      </c>
      <c r="EC173" s="19"/>
      <c r="ED173" s="19"/>
      <c r="EE173" s="274"/>
      <c r="EF173" s="19"/>
      <c r="EG173" s="19">
        <f>SUM(EG174:EG176)</f>
        <v>3772000</v>
      </c>
      <c r="EH173" s="19"/>
      <c r="EI173" s="19"/>
      <c r="EJ173" s="274"/>
      <c r="EK173" s="19"/>
      <c r="EL173" s="19">
        <f>SUM(EL174:EL176)</f>
        <v>27655634</v>
      </c>
      <c r="EM173" s="19"/>
      <c r="EN173" s="19"/>
      <c r="EO173" s="244"/>
      <c r="ER173" s="451"/>
      <c r="ES173" s="451"/>
    </row>
    <row r="174" spans="4:149" ht="12.75" customHeight="1" x14ac:dyDescent="0.2">
      <c r="D174" s="244" t="s">
        <v>344</v>
      </c>
      <c r="F174" s="112"/>
      <c r="G174" s="374">
        <v>0</v>
      </c>
      <c r="H174" s="475"/>
      <c r="I174" s="19"/>
      <c r="J174" s="274"/>
      <c r="K174" s="173"/>
      <c r="L174" s="374">
        <v>0</v>
      </c>
      <c r="M174" s="475"/>
      <c r="N174" s="19"/>
      <c r="O174" s="274"/>
      <c r="P174" s="173"/>
      <c r="Q174" s="374">
        <v>0</v>
      </c>
      <c r="R174" s="475"/>
      <c r="S174" s="19"/>
      <c r="T174" s="274"/>
      <c r="U174" s="173"/>
      <c r="V174" s="374">
        <f>5309000-1128214</f>
        <v>4180786</v>
      </c>
      <c r="W174" s="475"/>
      <c r="X174" s="19"/>
      <c r="Y174" s="274"/>
      <c r="Z174" s="173"/>
      <c r="AA174" s="374">
        <f>7690000-1853447</f>
        <v>5836553</v>
      </c>
      <c r="AB174" s="475"/>
      <c r="AC174" s="19"/>
      <c r="AD174" s="274"/>
      <c r="AE174" s="173"/>
      <c r="AF174" s="374">
        <f>7528000-1710198</f>
        <v>5817802</v>
      </c>
      <c r="AG174" s="475"/>
      <c r="AH174" s="19"/>
      <c r="AI174" s="274"/>
      <c r="AJ174" s="173"/>
      <c r="AK174" s="374">
        <f>8637000-1926090</f>
        <v>6710910</v>
      </c>
      <c r="AL174" s="475"/>
      <c r="AM174" s="19"/>
      <c r="AN174" s="274"/>
      <c r="AO174" s="173"/>
      <c r="AP174" s="374">
        <f>5599000-1328149</f>
        <v>4270851</v>
      </c>
      <c r="AQ174" s="475"/>
      <c r="AR174" s="19"/>
      <c r="AS174" s="274"/>
      <c r="AT174" s="173"/>
      <c r="AU174" s="374">
        <f>2292000-435713</f>
        <v>1856287</v>
      </c>
      <c r="AV174" s="475"/>
      <c r="AW174" s="19"/>
      <c r="AX174" s="274"/>
      <c r="AY174" s="173"/>
      <c r="AZ174" s="374">
        <f>8795000-1657087</f>
        <v>7137913</v>
      </c>
      <c r="BA174" s="475"/>
      <c r="BB174" s="19"/>
      <c r="BC174" s="274"/>
      <c r="BD174" s="173"/>
      <c r="BE174" s="374">
        <f>6596000-1221988</f>
        <v>5374012</v>
      </c>
      <c r="BF174" s="475"/>
      <c r="BG174" s="19"/>
      <c r="BH174" s="274"/>
      <c r="BI174" s="173"/>
      <c r="BJ174" s="374">
        <f>1988457-356681</f>
        <v>1631776</v>
      </c>
      <c r="BK174" s="475"/>
      <c r="BL174" s="19"/>
      <c r="BM174" s="274"/>
      <c r="BN174" s="173"/>
      <c r="BO174" s="374">
        <v>0</v>
      </c>
      <c r="BP174" s="475"/>
      <c r="BQ174" s="19"/>
      <c r="BR174" s="274"/>
      <c r="BS174" s="173"/>
      <c r="BT174" s="374">
        <f>SUM(L174:BO174)</f>
        <v>42816890</v>
      </c>
      <c r="BU174" s="475"/>
      <c r="BV174" s="19"/>
      <c r="BW174" s="274"/>
      <c r="BX174" s="173"/>
      <c r="BY174" s="374">
        <v>24355280</v>
      </c>
      <c r="BZ174" s="475"/>
      <c r="CA174" s="19"/>
      <c r="CB174" s="274"/>
      <c r="CC174" s="173"/>
      <c r="CD174" s="374">
        <f>906000-71396</f>
        <v>834604</v>
      </c>
      <c r="CE174" s="475"/>
      <c r="CF174" s="19"/>
      <c r="CG174" s="274"/>
      <c r="CH174" s="173"/>
      <c r="CI174" s="374">
        <f>1651634-162031</f>
        <v>1489603</v>
      </c>
      <c r="CJ174" s="475"/>
      <c r="CK174" s="19"/>
      <c r="CL174" s="274"/>
      <c r="CM174" s="173"/>
      <c r="CN174" s="374">
        <f>1649000-176102</f>
        <v>1472898</v>
      </c>
      <c r="CO174" s="475"/>
      <c r="CP174" s="19"/>
      <c r="CQ174" s="274"/>
      <c r="CR174" s="173"/>
      <c r="CS174" s="374">
        <v>0</v>
      </c>
      <c r="CT174" s="475"/>
      <c r="CU174" s="19"/>
      <c r="CV174" s="274"/>
      <c r="CW174" s="173"/>
      <c r="CX174" s="374">
        <f>1510000-163579</f>
        <v>1346421</v>
      </c>
      <c r="CY174" s="475"/>
      <c r="CZ174" s="19"/>
      <c r="DA174" s="274"/>
      <c r="DB174" s="173"/>
      <c r="DC174" s="374">
        <f>5279000-555456</f>
        <v>4723544</v>
      </c>
      <c r="DD174" s="475"/>
      <c r="DE174" s="19"/>
      <c r="DF174" s="274"/>
      <c r="DG174" s="173"/>
      <c r="DH174" s="374">
        <f>6784000-732119</f>
        <v>6051881</v>
      </c>
      <c r="DI174" s="475"/>
      <c r="DJ174" s="19"/>
      <c r="DK174" s="274"/>
      <c r="DL174" s="173"/>
      <c r="DM174" s="374">
        <f>3899000-474905</f>
        <v>3424095</v>
      </c>
      <c r="DN174" s="475"/>
      <c r="DO174" s="19"/>
      <c r="DP174" s="274"/>
      <c r="DQ174" s="173"/>
      <c r="DR174" s="374">
        <v>0</v>
      </c>
      <c r="DS174" s="475"/>
      <c r="DT174" s="19"/>
      <c r="DU174" s="274"/>
      <c r="DV174" s="173"/>
      <c r="DW174" s="374">
        <v>0</v>
      </c>
      <c r="DX174" s="475"/>
      <c r="DY174" s="19"/>
      <c r="DZ174" s="274"/>
      <c r="EA174" s="173"/>
      <c r="EB174" s="374">
        <f>2205000-284776</f>
        <v>1920224</v>
      </c>
      <c r="EC174" s="475"/>
      <c r="ED174" s="19"/>
      <c r="EE174" s="274"/>
      <c r="EF174" s="173"/>
      <c r="EG174" s="374">
        <f>3772000-679990</f>
        <v>3092010</v>
      </c>
      <c r="EH174" s="475"/>
      <c r="EI174" s="19"/>
      <c r="EJ174" s="274"/>
      <c r="EK174" s="173"/>
      <c r="EL174" s="374">
        <f>SUM(CD174:EG174)</f>
        <v>24355280</v>
      </c>
      <c r="EM174" s="475"/>
      <c r="EN174" s="19"/>
      <c r="EO174" s="244"/>
      <c r="ER174" s="451"/>
      <c r="ES174" s="451"/>
    </row>
    <row r="175" spans="4:149" ht="12.75" customHeight="1" x14ac:dyDescent="0.2">
      <c r="D175" s="244" t="s">
        <v>346</v>
      </c>
      <c r="F175" s="82"/>
      <c r="G175" s="19">
        <v>0</v>
      </c>
      <c r="H175" s="18"/>
      <c r="I175" s="19"/>
      <c r="J175" s="274"/>
      <c r="K175" s="274"/>
      <c r="L175" s="19">
        <v>0</v>
      </c>
      <c r="M175" s="18"/>
      <c r="N175" s="19"/>
      <c r="O175" s="274"/>
      <c r="P175" s="274"/>
      <c r="Q175" s="19">
        <v>0</v>
      </c>
      <c r="R175" s="18"/>
      <c r="S175" s="19"/>
      <c r="T175" s="274"/>
      <c r="U175" s="274"/>
      <c r="V175" s="19">
        <v>1128214</v>
      </c>
      <c r="W175" s="18"/>
      <c r="X175" s="19"/>
      <c r="Y175" s="274"/>
      <c r="Z175" s="274"/>
      <c r="AA175" s="19">
        <v>1853447</v>
      </c>
      <c r="AB175" s="18"/>
      <c r="AC175" s="19"/>
      <c r="AD175" s="274"/>
      <c r="AE175" s="274"/>
      <c r="AF175" s="19">
        <v>1710198</v>
      </c>
      <c r="AG175" s="18"/>
      <c r="AH175" s="19"/>
      <c r="AI175" s="274"/>
      <c r="AJ175" s="274"/>
      <c r="AK175" s="19">
        <v>1926090</v>
      </c>
      <c r="AL175" s="18"/>
      <c r="AM175" s="19"/>
      <c r="AN175" s="274"/>
      <c r="AO175" s="274"/>
      <c r="AP175" s="19">
        <v>1328149</v>
      </c>
      <c r="AQ175" s="18"/>
      <c r="AR175" s="19"/>
      <c r="AS175" s="274"/>
      <c r="AT175" s="274"/>
      <c r="AU175" s="19">
        <v>435713</v>
      </c>
      <c r="AV175" s="18"/>
      <c r="AW175" s="19"/>
      <c r="AX175" s="274"/>
      <c r="AY175" s="274"/>
      <c r="AZ175" s="19">
        <v>1657087</v>
      </c>
      <c r="BA175" s="18"/>
      <c r="BB175" s="19"/>
      <c r="BC175" s="274"/>
      <c r="BD175" s="274"/>
      <c r="BE175" s="19">
        <v>1221988</v>
      </c>
      <c r="BF175" s="18"/>
      <c r="BG175" s="19"/>
      <c r="BH175" s="274"/>
      <c r="BI175" s="274"/>
      <c r="BJ175" s="19">
        <v>356681</v>
      </c>
      <c r="BK175" s="18"/>
      <c r="BL175" s="19"/>
      <c r="BM175" s="274"/>
      <c r="BN175" s="274"/>
      <c r="BO175" s="19">
        <v>0</v>
      </c>
      <c r="BP175" s="18"/>
      <c r="BQ175" s="19"/>
      <c r="BR175" s="274"/>
      <c r="BS175" s="274"/>
      <c r="BT175" s="19">
        <f>SUM(L175:BO175)</f>
        <v>11617567</v>
      </c>
      <c r="BU175" s="18"/>
      <c r="BV175" s="19"/>
      <c r="BW175" s="274"/>
      <c r="BX175" s="274"/>
      <c r="BY175" s="19">
        <v>3300354</v>
      </c>
      <c r="BZ175" s="18"/>
      <c r="CA175" s="19"/>
      <c r="CB175" s="274"/>
      <c r="CC175" s="274"/>
      <c r="CD175" s="19">
        <v>71396</v>
      </c>
      <c r="CE175" s="18"/>
      <c r="CF175" s="19"/>
      <c r="CG175" s="274"/>
      <c r="CH175" s="274"/>
      <c r="CI175" s="19">
        <v>162031</v>
      </c>
      <c r="CJ175" s="18"/>
      <c r="CK175" s="19"/>
      <c r="CL175" s="274"/>
      <c r="CM175" s="274"/>
      <c r="CN175" s="19">
        <v>176102</v>
      </c>
      <c r="CO175" s="18"/>
      <c r="CP175" s="19"/>
      <c r="CQ175" s="274"/>
      <c r="CR175" s="274"/>
      <c r="CS175" s="19">
        <v>0</v>
      </c>
      <c r="CT175" s="18"/>
      <c r="CU175" s="19"/>
      <c r="CV175" s="274"/>
      <c r="CW175" s="274"/>
      <c r="CX175" s="19">
        <v>163579</v>
      </c>
      <c r="CY175" s="18"/>
      <c r="CZ175" s="19"/>
      <c r="DA175" s="274"/>
      <c r="DB175" s="274"/>
      <c r="DC175" s="19">
        <v>555456</v>
      </c>
      <c r="DD175" s="18"/>
      <c r="DE175" s="19"/>
      <c r="DF175" s="274"/>
      <c r="DG175" s="274"/>
      <c r="DH175" s="19">
        <v>732119</v>
      </c>
      <c r="DI175" s="18"/>
      <c r="DJ175" s="19"/>
      <c r="DK175" s="274"/>
      <c r="DL175" s="274"/>
      <c r="DM175" s="19">
        <v>474905</v>
      </c>
      <c r="DN175" s="18"/>
      <c r="DO175" s="19"/>
      <c r="DP175" s="274"/>
      <c r="DQ175" s="274"/>
      <c r="DR175" s="19">
        <v>0</v>
      </c>
      <c r="DS175" s="18"/>
      <c r="DT175" s="19"/>
      <c r="DU175" s="274"/>
      <c r="DV175" s="274"/>
      <c r="DW175" s="19">
        <v>0</v>
      </c>
      <c r="DX175" s="18"/>
      <c r="DY175" s="19"/>
      <c r="DZ175" s="274"/>
      <c r="EA175" s="274"/>
      <c r="EB175" s="19">
        <v>284776</v>
      </c>
      <c r="EC175" s="18"/>
      <c r="ED175" s="19"/>
      <c r="EE175" s="274"/>
      <c r="EF175" s="274"/>
      <c r="EG175" s="19">
        <v>679990</v>
      </c>
      <c r="EH175" s="18"/>
      <c r="EI175" s="19"/>
      <c r="EJ175" s="274"/>
      <c r="EK175" s="274"/>
      <c r="EL175" s="19">
        <f>SUM(CD175:EG175)</f>
        <v>3300354</v>
      </c>
      <c r="EM175" s="18"/>
      <c r="EN175" s="19"/>
      <c r="EO175" s="244"/>
      <c r="ER175" s="451"/>
      <c r="ES175" s="451"/>
    </row>
    <row r="176" spans="4:149" ht="12.75" customHeight="1" x14ac:dyDescent="0.2">
      <c r="D176" s="244" t="s">
        <v>347</v>
      </c>
      <c r="F176" s="276"/>
      <c r="G176" s="37">
        <v>0</v>
      </c>
      <c r="H176" s="36"/>
      <c r="I176" s="19"/>
      <c r="J176" s="274"/>
      <c r="K176" s="231"/>
      <c r="L176" s="37">
        <v>0</v>
      </c>
      <c r="M176" s="36"/>
      <c r="N176" s="19"/>
      <c r="O176" s="274"/>
      <c r="P176" s="231"/>
      <c r="Q176" s="37">
        <v>0</v>
      </c>
      <c r="R176" s="36"/>
      <c r="S176" s="19"/>
      <c r="T176" s="274"/>
      <c r="U176" s="231"/>
      <c r="V176" s="37">
        <v>0</v>
      </c>
      <c r="W176" s="36"/>
      <c r="X176" s="19"/>
      <c r="Y176" s="274"/>
      <c r="Z176" s="231"/>
      <c r="AA176" s="37">
        <v>0</v>
      </c>
      <c r="AB176" s="36"/>
      <c r="AC176" s="19"/>
      <c r="AD176" s="274"/>
      <c r="AE176" s="231"/>
      <c r="AF176" s="37">
        <v>0</v>
      </c>
      <c r="AG176" s="36"/>
      <c r="AH176" s="19"/>
      <c r="AI176" s="274"/>
      <c r="AJ176" s="231"/>
      <c r="AK176" s="37">
        <v>0</v>
      </c>
      <c r="AL176" s="36"/>
      <c r="AM176" s="19"/>
      <c r="AN176" s="274"/>
      <c r="AO176" s="231"/>
      <c r="AP176" s="37">
        <v>0</v>
      </c>
      <c r="AQ176" s="36"/>
      <c r="AR176" s="19"/>
      <c r="AS176" s="274"/>
      <c r="AT176" s="231"/>
      <c r="AU176" s="37">
        <v>0</v>
      </c>
      <c r="AV176" s="36"/>
      <c r="AW176" s="19"/>
      <c r="AX176" s="274"/>
      <c r="AY176" s="231"/>
      <c r="AZ176" s="37">
        <v>0</v>
      </c>
      <c r="BA176" s="36"/>
      <c r="BB176" s="19"/>
      <c r="BC176" s="274"/>
      <c r="BD176" s="231"/>
      <c r="BE176" s="37">
        <v>0</v>
      </c>
      <c r="BF176" s="36"/>
      <c r="BG176" s="19"/>
      <c r="BH176" s="274"/>
      <c r="BI176" s="231"/>
      <c r="BJ176" s="37">
        <v>0</v>
      </c>
      <c r="BK176" s="36"/>
      <c r="BL176" s="19"/>
      <c r="BM176" s="274"/>
      <c r="BN176" s="231"/>
      <c r="BO176" s="37">
        <v>0</v>
      </c>
      <c r="BP176" s="36"/>
      <c r="BQ176" s="19"/>
      <c r="BR176" s="274"/>
      <c r="BS176" s="231"/>
      <c r="BT176" s="37">
        <f>SUM(L176:BO176)</f>
        <v>0</v>
      </c>
      <c r="BU176" s="36"/>
      <c r="BV176" s="19"/>
      <c r="BW176" s="274"/>
      <c r="BX176" s="231"/>
      <c r="BY176" s="37">
        <v>0</v>
      </c>
      <c r="BZ176" s="36"/>
      <c r="CA176" s="19"/>
      <c r="CB176" s="274"/>
      <c r="CC176" s="231"/>
      <c r="CD176" s="37">
        <v>0</v>
      </c>
      <c r="CE176" s="36"/>
      <c r="CF176" s="19"/>
      <c r="CG176" s="274"/>
      <c r="CH176" s="231"/>
      <c r="CI176" s="37">
        <v>0</v>
      </c>
      <c r="CJ176" s="36"/>
      <c r="CK176" s="19"/>
      <c r="CL176" s="274"/>
      <c r="CM176" s="231"/>
      <c r="CN176" s="37">
        <v>0</v>
      </c>
      <c r="CO176" s="36"/>
      <c r="CP176" s="19"/>
      <c r="CQ176" s="274"/>
      <c r="CR176" s="231"/>
      <c r="CS176" s="37">
        <v>0</v>
      </c>
      <c r="CT176" s="36"/>
      <c r="CU176" s="19"/>
      <c r="CV176" s="274"/>
      <c r="CW176" s="231"/>
      <c r="CX176" s="37">
        <v>0</v>
      </c>
      <c r="CY176" s="36"/>
      <c r="CZ176" s="19"/>
      <c r="DA176" s="274"/>
      <c r="DB176" s="231"/>
      <c r="DC176" s="37">
        <v>0</v>
      </c>
      <c r="DD176" s="36"/>
      <c r="DE176" s="19"/>
      <c r="DF176" s="274"/>
      <c r="DG176" s="231"/>
      <c r="DH176" s="37">
        <v>0</v>
      </c>
      <c r="DI176" s="36"/>
      <c r="DJ176" s="19"/>
      <c r="DK176" s="274"/>
      <c r="DL176" s="231"/>
      <c r="DM176" s="37">
        <v>0</v>
      </c>
      <c r="DN176" s="36"/>
      <c r="DO176" s="19"/>
      <c r="DP176" s="274"/>
      <c r="DQ176" s="231"/>
      <c r="DR176" s="37">
        <v>0</v>
      </c>
      <c r="DS176" s="36"/>
      <c r="DT176" s="19"/>
      <c r="DU176" s="274"/>
      <c r="DV176" s="231"/>
      <c r="DW176" s="37">
        <v>0</v>
      </c>
      <c r="DX176" s="36"/>
      <c r="DY176" s="19"/>
      <c r="DZ176" s="274"/>
      <c r="EA176" s="231"/>
      <c r="EB176" s="37">
        <v>0</v>
      </c>
      <c r="EC176" s="36"/>
      <c r="ED176" s="19"/>
      <c r="EE176" s="274"/>
      <c r="EF176" s="231"/>
      <c r="EG176" s="37">
        <v>0</v>
      </c>
      <c r="EH176" s="36"/>
      <c r="EI176" s="19"/>
      <c r="EJ176" s="274"/>
      <c r="EK176" s="231"/>
      <c r="EL176" s="37">
        <f>SUM(CD176:EG176)</f>
        <v>0</v>
      </c>
      <c r="EM176" s="36"/>
      <c r="EN176" s="19"/>
      <c r="EO176" s="244"/>
      <c r="ER176" s="451"/>
      <c r="ES176" s="451"/>
    </row>
    <row r="177" spans="3:149" ht="14.25" customHeight="1" x14ac:dyDescent="0.2">
      <c r="D177" s="205"/>
      <c r="E177" s="361"/>
      <c r="F177" s="90"/>
      <c r="G177" s="40"/>
      <c r="H177" s="40"/>
      <c r="I177" s="40"/>
      <c r="J177" s="461"/>
      <c r="K177" s="40"/>
      <c r="L177" s="40"/>
      <c r="M177" s="40"/>
      <c r="N177" s="40"/>
      <c r="O177" s="461"/>
      <c r="P177" s="40"/>
      <c r="Q177" s="40"/>
      <c r="R177" s="40"/>
      <c r="S177" s="40"/>
      <c r="T177" s="461"/>
      <c r="U177" s="40"/>
      <c r="V177" s="40"/>
      <c r="W177" s="40"/>
      <c r="X177" s="40"/>
      <c r="Y177" s="461"/>
      <c r="Z177" s="40"/>
      <c r="AA177" s="40"/>
      <c r="AB177" s="40"/>
      <c r="AC177" s="40"/>
      <c r="AD177" s="461"/>
      <c r="AE177" s="40"/>
      <c r="AF177" s="40"/>
      <c r="AG177" s="40"/>
      <c r="AH177" s="40"/>
      <c r="AI177" s="461"/>
      <c r="AJ177" s="40"/>
      <c r="AK177" s="40"/>
      <c r="AL177" s="40"/>
      <c r="AM177" s="40"/>
      <c r="AN177" s="461"/>
      <c r="AO177" s="40"/>
      <c r="AP177" s="40"/>
      <c r="AQ177" s="40"/>
      <c r="AR177" s="40"/>
      <c r="AS177" s="461"/>
      <c r="AT177" s="40"/>
      <c r="AU177" s="40"/>
      <c r="AV177" s="40"/>
      <c r="AW177" s="40"/>
      <c r="AX177" s="461"/>
      <c r="AY177" s="40"/>
      <c r="AZ177" s="40"/>
      <c r="BA177" s="40"/>
      <c r="BB177" s="40"/>
      <c r="BC177" s="461"/>
      <c r="BD177" s="40"/>
      <c r="BE177" s="40"/>
      <c r="BF177" s="40"/>
      <c r="BG177" s="40"/>
      <c r="BH177" s="461"/>
      <c r="BI177" s="40"/>
      <c r="BJ177" s="40"/>
      <c r="BK177" s="40"/>
      <c r="BL177" s="40"/>
      <c r="BM177" s="461"/>
      <c r="BN177" s="40"/>
      <c r="BO177" s="40"/>
      <c r="BP177" s="40"/>
      <c r="BQ177" s="40"/>
      <c r="BR177" s="461"/>
      <c r="BS177" s="40"/>
      <c r="BT177" s="40"/>
      <c r="BU177" s="40"/>
      <c r="BV177" s="40"/>
      <c r="BW177" s="461"/>
      <c r="BX177" s="40"/>
      <c r="BY177" s="40"/>
      <c r="BZ177" s="40"/>
      <c r="CA177" s="40"/>
      <c r="CB177" s="461"/>
      <c r="CC177" s="40"/>
      <c r="CD177" s="40"/>
      <c r="CE177" s="40"/>
      <c r="CF177" s="40"/>
      <c r="CG177" s="461"/>
      <c r="CH177" s="40"/>
      <c r="CI177" s="40"/>
      <c r="CJ177" s="40"/>
      <c r="CK177" s="40"/>
      <c r="CL177" s="461"/>
      <c r="CM177" s="40"/>
      <c r="CN177" s="40"/>
      <c r="CO177" s="40"/>
      <c r="CP177" s="40"/>
      <c r="CQ177" s="461"/>
      <c r="CR177" s="40"/>
      <c r="CS177" s="40"/>
      <c r="CT177" s="40"/>
      <c r="CU177" s="40"/>
      <c r="CV177" s="461"/>
      <c r="CW177" s="40"/>
      <c r="CX177" s="40"/>
      <c r="CY177" s="40"/>
      <c r="CZ177" s="40"/>
      <c r="DA177" s="461"/>
      <c r="DB177" s="40"/>
      <c r="DC177" s="40"/>
      <c r="DD177" s="40"/>
      <c r="DE177" s="40"/>
      <c r="DF177" s="461"/>
      <c r="DG177" s="40"/>
      <c r="DH177" s="40"/>
      <c r="DI177" s="40"/>
      <c r="DJ177" s="40"/>
      <c r="DK177" s="461"/>
      <c r="DL177" s="40"/>
      <c r="DM177" s="40"/>
      <c r="DN177" s="40"/>
      <c r="DO177" s="40"/>
      <c r="DP177" s="461"/>
      <c r="DQ177" s="40"/>
      <c r="DR177" s="40"/>
      <c r="DS177" s="40"/>
      <c r="DT177" s="40"/>
      <c r="DU177" s="461"/>
      <c r="DV177" s="40"/>
      <c r="DW177" s="40"/>
      <c r="DX177" s="40"/>
      <c r="DY177" s="40"/>
      <c r="DZ177" s="461"/>
      <c r="EA177" s="40"/>
      <c r="EB177" s="40"/>
      <c r="EC177" s="40"/>
      <c r="ED177" s="40"/>
      <c r="EE177" s="461"/>
      <c r="EF177" s="40"/>
      <c r="EG177" s="40"/>
      <c r="EH177" s="40"/>
      <c r="EI177" s="40"/>
      <c r="EJ177" s="461"/>
      <c r="EK177" s="40"/>
      <c r="EL177" s="40"/>
      <c r="EM177" s="40"/>
      <c r="EN177" s="41"/>
      <c r="EO177" s="244"/>
      <c r="ER177" s="451"/>
      <c r="ES177" s="451"/>
    </row>
    <row r="178" spans="3:149" ht="7.5" customHeight="1" x14ac:dyDescent="0.2">
      <c r="E178" s="12"/>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c r="EG178" s="19"/>
      <c r="EH178" s="19"/>
      <c r="EI178" s="19"/>
      <c r="EJ178" s="19"/>
      <c r="EK178" s="19"/>
      <c r="EL178" s="19"/>
      <c r="EM178" s="19"/>
      <c r="EN178" s="19"/>
      <c r="ER178" s="451"/>
      <c r="ES178" s="451"/>
    </row>
    <row r="179" spans="3:149" ht="12" customHeight="1" x14ac:dyDescent="0.2">
      <c r="C179" s="19"/>
      <c r="D179" s="258"/>
      <c r="E179" s="12"/>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9"/>
      <c r="BV179" s="19"/>
      <c r="BW179" s="258"/>
      <c r="BZ179" s="19"/>
      <c r="CA179" s="19"/>
      <c r="CB179" s="19"/>
      <c r="CC179" s="19"/>
      <c r="CD179" s="19"/>
      <c r="CE179" s="19"/>
      <c r="CF179" s="19"/>
      <c r="CG179" s="19"/>
      <c r="CH179" s="19"/>
      <c r="CI179" s="19"/>
      <c r="CJ179" s="19"/>
      <c r="CK179" s="19"/>
      <c r="CL179" s="19"/>
      <c r="CM179" s="19"/>
      <c r="CN179" s="19"/>
      <c r="CO179" s="19"/>
      <c r="CP179" s="19"/>
      <c r="CQ179" s="19"/>
      <c r="CR179" s="19"/>
      <c r="CS179" s="19"/>
      <c r="CT179" s="19"/>
      <c r="CU179" s="19"/>
      <c r="CV179" s="19"/>
      <c r="CW179" s="19"/>
      <c r="CX179" s="19"/>
      <c r="CY179" s="19"/>
      <c r="CZ179" s="19"/>
      <c r="DA179" s="19"/>
      <c r="DB179" s="19"/>
      <c r="DC179" s="19"/>
      <c r="DD179" s="19"/>
      <c r="DE179" s="19"/>
      <c r="DF179" s="19"/>
      <c r="DG179" s="19"/>
      <c r="DH179" s="19"/>
      <c r="DI179" s="19"/>
      <c r="DJ179" s="19"/>
      <c r="DK179" s="19"/>
      <c r="DL179" s="19"/>
      <c r="DM179" s="19"/>
      <c r="DN179" s="19"/>
      <c r="DO179" s="19"/>
      <c r="DP179" s="19"/>
      <c r="DQ179" s="19"/>
      <c r="DR179" s="19"/>
      <c r="DS179" s="19"/>
      <c r="DT179" s="19"/>
      <c r="DU179" s="19"/>
      <c r="DV179" s="19"/>
      <c r="DW179" s="19"/>
      <c r="DX179" s="19"/>
      <c r="DY179" s="19"/>
      <c r="DZ179" s="19"/>
      <c r="EA179" s="19"/>
      <c r="EB179" s="19"/>
      <c r="EC179" s="19"/>
      <c r="ED179" s="19"/>
      <c r="EE179" s="19"/>
      <c r="EF179" s="19"/>
      <c r="EG179" s="19"/>
      <c r="EH179" s="19"/>
      <c r="EI179" s="19"/>
      <c r="EJ179" s="19"/>
      <c r="EK179" s="19"/>
      <c r="EL179" s="19"/>
      <c r="EM179" s="19"/>
      <c r="EN179" s="19"/>
      <c r="ER179" s="451"/>
      <c r="ES179" s="451"/>
    </row>
    <row r="180" spans="3:149" ht="12" customHeight="1" x14ac:dyDescent="0.2">
      <c r="C180" s="19"/>
      <c r="D180" s="19"/>
      <c r="E180" s="12"/>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R180" s="451"/>
      <c r="ES180" s="451"/>
    </row>
    <row r="181" spans="3:149" x14ac:dyDescent="0.2">
      <c r="E181" s="159"/>
      <c r="F181" s="15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R181" s="451"/>
      <c r="ES181" s="451"/>
    </row>
    <row r="182" spans="3:149" ht="15.75" x14ac:dyDescent="0.25">
      <c r="D182" s="87" t="s">
        <v>378</v>
      </c>
      <c r="E182" s="87"/>
      <c r="F182" s="87"/>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R182" s="451"/>
      <c r="ES182" s="451"/>
    </row>
    <row r="183" spans="3:149" ht="15" customHeight="1" x14ac:dyDescent="0.2">
      <c r="D183" s="104"/>
      <c r="E183" s="276"/>
      <c r="F183" s="438"/>
      <c r="G183" s="200" t="str">
        <f>G3</f>
        <v>2020/21</v>
      </c>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c r="AJ183" s="441"/>
      <c r="AK183" s="441"/>
      <c r="AL183" s="441"/>
      <c r="AM183" s="441"/>
      <c r="AN183" s="441"/>
      <c r="AO183" s="441"/>
      <c r="AP183" s="441"/>
      <c r="AQ183" s="441"/>
      <c r="AR183" s="441"/>
      <c r="AS183" s="441"/>
      <c r="AT183" s="441"/>
      <c r="AU183" s="441"/>
      <c r="AV183" s="441"/>
      <c r="AW183" s="441"/>
      <c r="AX183" s="441"/>
      <c r="AY183" s="441"/>
      <c r="AZ183" s="441"/>
      <c r="BA183" s="441"/>
      <c r="BB183" s="441"/>
      <c r="BC183" s="441"/>
      <c r="BD183" s="441"/>
      <c r="BE183" s="441"/>
      <c r="BF183" s="441"/>
      <c r="BG183" s="441"/>
      <c r="BH183" s="441"/>
      <c r="BI183" s="441"/>
      <c r="BJ183" s="441"/>
      <c r="BK183" s="441"/>
      <c r="BL183" s="441"/>
      <c r="BM183" s="441"/>
      <c r="BN183" s="441"/>
      <c r="BO183" s="441"/>
      <c r="BP183" s="441"/>
      <c r="BQ183" s="441"/>
      <c r="BR183" s="441"/>
      <c r="BS183" s="441"/>
      <c r="BT183" s="441"/>
      <c r="BU183" s="303"/>
      <c r="BV183" s="303"/>
      <c r="BW183" s="9"/>
      <c r="BX183" s="303"/>
      <c r="BY183" s="441" t="str">
        <f>BY3</f>
        <v>2019/20</v>
      </c>
      <c r="BZ183" s="441"/>
      <c r="CA183" s="441"/>
      <c r="CB183" s="441"/>
      <c r="CC183" s="441"/>
      <c r="CD183" s="441"/>
      <c r="CE183" s="441"/>
      <c r="CF183" s="441"/>
      <c r="CG183" s="441"/>
      <c r="CH183" s="441"/>
      <c r="CI183" s="441"/>
      <c r="CJ183" s="441"/>
      <c r="CK183" s="441"/>
      <c r="CL183" s="441"/>
      <c r="CM183" s="441"/>
      <c r="CN183" s="441"/>
      <c r="CO183" s="441"/>
      <c r="CP183" s="441"/>
      <c r="CQ183" s="441"/>
      <c r="CR183" s="441"/>
      <c r="CS183" s="441"/>
      <c r="CT183" s="441"/>
      <c r="CU183" s="441"/>
      <c r="CV183" s="441"/>
      <c r="CW183" s="441"/>
      <c r="CX183" s="441"/>
      <c r="CY183" s="441"/>
      <c r="CZ183" s="441"/>
      <c r="DA183" s="441"/>
      <c r="DB183" s="441"/>
      <c r="DC183" s="441"/>
      <c r="DD183" s="441"/>
      <c r="DE183" s="441"/>
      <c r="DF183" s="441"/>
      <c r="DG183" s="441"/>
      <c r="DH183" s="441"/>
      <c r="DI183" s="441"/>
      <c r="DJ183" s="441"/>
      <c r="DK183" s="441"/>
      <c r="DL183" s="441"/>
      <c r="DM183" s="441"/>
      <c r="DN183" s="441"/>
      <c r="DO183" s="441"/>
      <c r="DP183" s="441"/>
      <c r="DQ183" s="441"/>
      <c r="DR183" s="441"/>
      <c r="DS183" s="441"/>
      <c r="DT183" s="441"/>
      <c r="DU183" s="441"/>
      <c r="DV183" s="441"/>
      <c r="DW183" s="441"/>
      <c r="DX183" s="441"/>
      <c r="DY183" s="441"/>
      <c r="DZ183" s="441"/>
      <c r="EA183" s="441"/>
      <c r="EB183" s="441"/>
      <c r="EC183" s="441"/>
      <c r="ED183" s="441"/>
      <c r="EE183" s="441"/>
      <c r="EF183" s="441"/>
      <c r="EG183" s="441"/>
      <c r="EH183" s="441"/>
      <c r="EI183" s="441"/>
      <c r="EJ183" s="441"/>
      <c r="EK183" s="441"/>
      <c r="EL183" s="441"/>
      <c r="EM183" s="303"/>
      <c r="EN183" s="406"/>
      <c r="EO183" s="244"/>
      <c r="ER183" s="451"/>
      <c r="ES183" s="451"/>
    </row>
    <row r="184" spans="3:149" ht="18" customHeight="1" x14ac:dyDescent="0.2">
      <c r="D184" s="167"/>
      <c r="G184" s="439" t="str">
        <f>G4</f>
        <v>Revised</v>
      </c>
      <c r="H184" s="20"/>
      <c r="I184" s="20"/>
      <c r="J184" s="337"/>
      <c r="K184" s="20"/>
      <c r="L184" s="20" t="s">
        <v>3</v>
      </c>
      <c r="M184" s="20"/>
      <c r="N184" s="20"/>
      <c r="O184" s="337"/>
      <c r="P184" s="20"/>
      <c r="Q184" s="20" t="s">
        <v>4</v>
      </c>
      <c r="R184" s="20"/>
      <c r="S184" s="20"/>
      <c r="T184" s="337"/>
      <c r="U184" s="20"/>
      <c r="V184" s="20" t="s">
        <v>5</v>
      </c>
      <c r="W184" s="20"/>
      <c r="X184" s="20"/>
      <c r="Y184" s="337"/>
      <c r="Z184" s="20"/>
      <c r="AA184" s="20" t="s">
        <v>6</v>
      </c>
      <c r="AB184" s="20"/>
      <c r="AC184" s="20"/>
      <c r="AD184" s="337"/>
      <c r="AE184" s="20"/>
      <c r="AF184" s="20" t="s">
        <v>7</v>
      </c>
      <c r="AG184" s="20"/>
      <c r="AH184" s="20"/>
      <c r="AI184" s="337"/>
      <c r="AJ184" s="20"/>
      <c r="AK184" s="20" t="s">
        <v>8</v>
      </c>
      <c r="AL184" s="20"/>
      <c r="AM184" s="20"/>
      <c r="AN184" s="337"/>
      <c r="AO184" s="20"/>
      <c r="AP184" s="20" t="s">
        <v>9</v>
      </c>
      <c r="AQ184" s="20"/>
      <c r="AR184" s="20"/>
      <c r="AS184" s="337"/>
      <c r="AT184" s="20"/>
      <c r="AU184" s="20" t="s">
        <v>10</v>
      </c>
      <c r="AV184" s="20"/>
      <c r="AW184" s="20"/>
      <c r="AX184" s="337"/>
      <c r="AY184" s="20"/>
      <c r="AZ184" s="20" t="s">
        <v>11</v>
      </c>
      <c r="BA184" s="20"/>
      <c r="BB184" s="20"/>
      <c r="BC184" s="337"/>
      <c r="BD184" s="20"/>
      <c r="BE184" s="20" t="s">
        <v>12</v>
      </c>
      <c r="BF184" s="20"/>
      <c r="BG184" s="20"/>
      <c r="BH184" s="337"/>
      <c r="BI184" s="439"/>
      <c r="BJ184" s="439" t="s">
        <v>13</v>
      </c>
      <c r="BK184" s="439"/>
      <c r="BL184" s="190"/>
      <c r="BM184" s="337"/>
      <c r="BN184" s="439"/>
      <c r="BO184" s="439" t="s">
        <v>14</v>
      </c>
      <c r="BP184" s="439"/>
      <c r="BQ184" s="190"/>
      <c r="BR184" s="337"/>
      <c r="BS184" s="439"/>
      <c r="BT184" s="20" t="s">
        <v>15</v>
      </c>
      <c r="BU184" s="20"/>
      <c r="BV184" s="20"/>
      <c r="BW184" s="290"/>
      <c r="BX184" s="20"/>
      <c r="BY184" s="439" t="str">
        <f>BY4</f>
        <v>Audited</v>
      </c>
      <c r="BZ184" s="20"/>
      <c r="CA184" s="20"/>
      <c r="CB184" s="337"/>
      <c r="CC184" s="20"/>
      <c r="CD184" s="20" t="s">
        <v>3</v>
      </c>
      <c r="CE184" s="20"/>
      <c r="CF184" s="20"/>
      <c r="CG184" s="337"/>
      <c r="CH184" s="20"/>
      <c r="CI184" s="20" t="s">
        <v>4</v>
      </c>
      <c r="CJ184" s="20"/>
      <c r="CK184" s="20"/>
      <c r="CL184" s="337"/>
      <c r="CM184" s="20"/>
      <c r="CN184" s="20" t="s">
        <v>5</v>
      </c>
      <c r="CO184" s="20"/>
      <c r="CP184" s="20"/>
      <c r="CQ184" s="337"/>
      <c r="CR184" s="20"/>
      <c r="CS184" s="20" t="s">
        <v>6</v>
      </c>
      <c r="CT184" s="20"/>
      <c r="CU184" s="20"/>
      <c r="CV184" s="337"/>
      <c r="CW184" s="20"/>
      <c r="CX184" s="20" t="s">
        <v>7</v>
      </c>
      <c r="CY184" s="20"/>
      <c r="CZ184" s="20"/>
      <c r="DA184" s="337"/>
      <c r="DB184" s="20"/>
      <c r="DC184" s="20" t="s">
        <v>8</v>
      </c>
      <c r="DD184" s="20"/>
      <c r="DE184" s="20"/>
      <c r="DF184" s="337"/>
      <c r="DG184" s="20"/>
      <c r="DH184" s="20" t="s">
        <v>9</v>
      </c>
      <c r="DI184" s="20"/>
      <c r="DJ184" s="20"/>
      <c r="DK184" s="337"/>
      <c r="DL184" s="20"/>
      <c r="DM184" s="20" t="s">
        <v>10</v>
      </c>
      <c r="DN184" s="20"/>
      <c r="DO184" s="20"/>
      <c r="DP184" s="337"/>
      <c r="DQ184" s="20"/>
      <c r="DR184" s="20" t="s">
        <v>11</v>
      </c>
      <c r="DS184" s="20"/>
      <c r="DT184" s="20"/>
      <c r="DU184" s="337"/>
      <c r="DV184" s="20"/>
      <c r="DW184" s="20" t="s">
        <v>12</v>
      </c>
      <c r="DX184" s="20"/>
      <c r="DY184" s="20"/>
      <c r="DZ184" s="337"/>
      <c r="EA184" s="20"/>
      <c r="EB184" s="20" t="s">
        <v>13</v>
      </c>
      <c r="EC184" s="20"/>
      <c r="ED184" s="20"/>
      <c r="EE184" s="337"/>
      <c r="EF184" s="439"/>
      <c r="EG184" s="439" t="s">
        <v>14</v>
      </c>
      <c r="EH184" s="439"/>
      <c r="EI184" s="439"/>
      <c r="EJ184" s="337"/>
      <c r="EK184" s="439"/>
      <c r="EL184" s="20" t="s">
        <v>15</v>
      </c>
      <c r="EM184" s="20"/>
      <c r="EN184" s="20"/>
      <c r="EO184" s="244"/>
      <c r="ER184" s="451"/>
      <c r="ES184" s="451"/>
    </row>
    <row r="185" spans="3:149" x14ac:dyDescent="0.2">
      <c r="D185" s="394" t="s">
        <v>17</v>
      </c>
      <c r="E185" s="312"/>
      <c r="F185" s="415"/>
      <c r="G185" s="405" t="s">
        <v>19</v>
      </c>
      <c r="H185" s="405"/>
      <c r="I185" s="466"/>
      <c r="J185" s="341"/>
      <c r="K185" s="405"/>
      <c r="L185" s="405"/>
      <c r="M185" s="405"/>
      <c r="N185" s="405"/>
      <c r="O185" s="341"/>
      <c r="P185" s="405"/>
      <c r="Q185" s="405"/>
      <c r="R185" s="405"/>
      <c r="S185" s="405"/>
      <c r="T185" s="341"/>
      <c r="U185" s="405"/>
      <c r="V185" s="405"/>
      <c r="W185" s="405"/>
      <c r="X185" s="405"/>
      <c r="Y185" s="341"/>
      <c r="Z185" s="405"/>
      <c r="AA185" s="405"/>
      <c r="AB185" s="405"/>
      <c r="AC185" s="405"/>
      <c r="AD185" s="341"/>
      <c r="AE185" s="405"/>
      <c r="AF185" s="405"/>
      <c r="AG185" s="405"/>
      <c r="AH185" s="405"/>
      <c r="AI185" s="341"/>
      <c r="AJ185" s="405"/>
      <c r="AK185" s="405"/>
      <c r="AL185" s="405"/>
      <c r="AM185" s="405"/>
      <c r="AN185" s="341"/>
      <c r="AO185" s="405"/>
      <c r="AP185" s="405"/>
      <c r="AQ185" s="405"/>
      <c r="AR185" s="405"/>
      <c r="AS185" s="341"/>
      <c r="AT185" s="405"/>
      <c r="AU185" s="405"/>
      <c r="AV185" s="405"/>
      <c r="AW185" s="405"/>
      <c r="AX185" s="341"/>
      <c r="AY185" s="405"/>
      <c r="AZ185" s="405"/>
      <c r="BA185" s="405"/>
      <c r="BB185" s="405"/>
      <c r="BC185" s="341"/>
      <c r="BD185" s="405"/>
      <c r="BE185" s="405"/>
      <c r="BF185" s="405"/>
      <c r="BG185" s="405"/>
      <c r="BH185" s="341"/>
      <c r="BI185" s="405"/>
      <c r="BJ185" s="405"/>
      <c r="BK185" s="405"/>
      <c r="BL185" s="466"/>
      <c r="BM185" s="341"/>
      <c r="BN185" s="405"/>
      <c r="BO185" s="405"/>
      <c r="BP185" s="405"/>
      <c r="BQ185" s="466"/>
      <c r="BR185" s="341"/>
      <c r="BS185" s="405"/>
      <c r="BT185" s="405"/>
      <c r="BU185" s="405"/>
      <c r="BV185" s="466"/>
      <c r="BW185" s="341"/>
      <c r="BX185" s="405"/>
      <c r="BY185" s="405" t="s">
        <v>34</v>
      </c>
      <c r="BZ185" s="405"/>
      <c r="CA185" s="405"/>
      <c r="CB185" s="341"/>
      <c r="CC185" s="405"/>
      <c r="CD185" s="405"/>
      <c r="CE185" s="405"/>
      <c r="CF185" s="405"/>
      <c r="CG185" s="341"/>
      <c r="CH185" s="405"/>
      <c r="CI185" s="405"/>
      <c r="CJ185" s="405"/>
      <c r="CK185" s="405"/>
      <c r="CL185" s="341"/>
      <c r="CM185" s="405"/>
      <c r="CN185" s="405"/>
      <c r="CO185" s="405"/>
      <c r="CP185" s="405"/>
      <c r="CQ185" s="341"/>
      <c r="CR185" s="405"/>
      <c r="CS185" s="405"/>
      <c r="CT185" s="405"/>
      <c r="CU185" s="405"/>
      <c r="CV185" s="341"/>
      <c r="CW185" s="405"/>
      <c r="CX185" s="405"/>
      <c r="CY185" s="405"/>
      <c r="CZ185" s="405"/>
      <c r="DA185" s="341"/>
      <c r="DB185" s="405"/>
      <c r="DC185" s="405"/>
      <c r="DD185" s="405"/>
      <c r="DE185" s="466"/>
      <c r="DF185" s="341"/>
      <c r="DG185" s="405"/>
      <c r="DH185" s="405"/>
      <c r="DI185" s="405"/>
      <c r="DJ185" s="405"/>
      <c r="DK185" s="341"/>
      <c r="DL185" s="405"/>
      <c r="DM185" s="405"/>
      <c r="DN185" s="405"/>
      <c r="DO185" s="405"/>
      <c r="DP185" s="341"/>
      <c r="DQ185" s="405"/>
      <c r="DR185" s="405"/>
      <c r="DS185" s="405"/>
      <c r="DT185" s="405"/>
      <c r="DU185" s="341"/>
      <c r="DV185" s="405"/>
      <c r="DW185" s="405"/>
      <c r="DX185" s="405"/>
      <c r="DY185" s="405"/>
      <c r="DZ185" s="341"/>
      <c r="EA185" s="405"/>
      <c r="EB185" s="405"/>
      <c r="EC185" s="405"/>
      <c r="ED185" s="405"/>
      <c r="EE185" s="341"/>
      <c r="EF185" s="405"/>
      <c r="EG185" s="405"/>
      <c r="EH185" s="405"/>
      <c r="EI185" s="405"/>
      <c r="EJ185" s="341"/>
      <c r="EK185" s="405"/>
      <c r="EL185" s="405"/>
      <c r="EM185" s="405"/>
      <c r="EN185" s="237"/>
      <c r="EO185" s="244"/>
      <c r="ER185" s="451"/>
      <c r="ES185" s="451"/>
    </row>
    <row r="186" spans="3:149" x14ac:dyDescent="0.2">
      <c r="D186" s="244"/>
      <c r="E186" s="202"/>
      <c r="F186" s="350"/>
      <c r="G186" s="19"/>
      <c r="H186" s="19"/>
      <c r="I186" s="19"/>
      <c r="J186" s="274"/>
      <c r="K186" s="350"/>
      <c r="L186" s="19"/>
      <c r="M186" s="19"/>
      <c r="N186" s="19"/>
      <c r="O186" s="274"/>
      <c r="P186" s="350"/>
      <c r="Q186" s="19"/>
      <c r="R186" s="19"/>
      <c r="S186" s="19"/>
      <c r="T186" s="274"/>
      <c r="U186" s="350"/>
      <c r="V186" s="19"/>
      <c r="W186" s="19"/>
      <c r="X186" s="19"/>
      <c r="Y186" s="274"/>
      <c r="Z186" s="350"/>
      <c r="AA186" s="19"/>
      <c r="AB186" s="19"/>
      <c r="AC186" s="19"/>
      <c r="AD186" s="274"/>
      <c r="AE186" s="350"/>
      <c r="AF186" s="19"/>
      <c r="AG186" s="19"/>
      <c r="AH186" s="19"/>
      <c r="AI186" s="274"/>
      <c r="AJ186" s="350"/>
      <c r="AK186" s="19"/>
      <c r="AL186" s="19"/>
      <c r="AM186" s="19"/>
      <c r="AN186" s="274"/>
      <c r="AO186" s="350"/>
      <c r="AP186" s="19"/>
      <c r="AQ186" s="19"/>
      <c r="AR186" s="19"/>
      <c r="AS186" s="274"/>
      <c r="AT186" s="350"/>
      <c r="AU186" s="19"/>
      <c r="AV186" s="19"/>
      <c r="AW186" s="19"/>
      <c r="AX186" s="274"/>
      <c r="AY186" s="350"/>
      <c r="AZ186" s="19"/>
      <c r="BA186" s="19"/>
      <c r="BB186" s="19"/>
      <c r="BC186" s="274"/>
      <c r="BD186" s="350"/>
      <c r="BE186" s="19"/>
      <c r="BF186" s="19"/>
      <c r="BG186" s="19"/>
      <c r="BH186" s="274"/>
      <c r="BI186" s="350"/>
      <c r="BJ186" s="19"/>
      <c r="BK186" s="19"/>
      <c r="BL186" s="19"/>
      <c r="BM186" s="274"/>
      <c r="BN186" s="350"/>
      <c r="BO186" s="19"/>
      <c r="BP186" s="19"/>
      <c r="BQ186" s="19"/>
      <c r="BR186" s="274"/>
      <c r="BS186" s="350"/>
      <c r="BT186" s="19"/>
      <c r="BU186" s="19"/>
      <c r="BV186" s="19"/>
      <c r="BW186" s="274"/>
      <c r="BX186" s="350"/>
      <c r="BY186" s="19"/>
      <c r="BZ186" s="19"/>
      <c r="CA186" s="19"/>
      <c r="CB186" s="274"/>
      <c r="CC186" s="350"/>
      <c r="CD186" s="19"/>
      <c r="CE186" s="19"/>
      <c r="CF186" s="19"/>
      <c r="CG186" s="274"/>
      <c r="CH186" s="350"/>
      <c r="CI186" s="19"/>
      <c r="CJ186" s="19"/>
      <c r="CK186" s="19"/>
      <c r="CL186" s="274"/>
      <c r="CM186" s="350"/>
      <c r="CN186" s="19"/>
      <c r="CO186" s="19"/>
      <c r="CP186" s="19"/>
      <c r="CQ186" s="274"/>
      <c r="CR186" s="350"/>
      <c r="CS186" s="19"/>
      <c r="CT186" s="19"/>
      <c r="CU186" s="19"/>
      <c r="CV186" s="274"/>
      <c r="CW186" s="350"/>
      <c r="CX186" s="19"/>
      <c r="CY186" s="19"/>
      <c r="CZ186" s="19"/>
      <c r="DA186" s="274"/>
      <c r="DB186" s="350"/>
      <c r="DC186" s="19"/>
      <c r="DD186" s="19"/>
      <c r="DE186" s="18"/>
      <c r="DF186" s="274"/>
      <c r="DG186" s="350"/>
      <c r="DH186" s="19"/>
      <c r="DI186" s="19"/>
      <c r="DJ186" s="19"/>
      <c r="DK186" s="274"/>
      <c r="DL186" s="350"/>
      <c r="DM186" s="19"/>
      <c r="DN186" s="19"/>
      <c r="DO186" s="19"/>
      <c r="DP186" s="274"/>
      <c r="DQ186" s="350"/>
      <c r="DR186" s="19"/>
      <c r="DS186" s="19"/>
      <c r="DT186" s="19"/>
      <c r="DU186" s="274"/>
      <c r="DV186" s="350"/>
      <c r="DW186" s="19"/>
      <c r="DX186" s="19"/>
      <c r="DY186" s="19"/>
      <c r="DZ186" s="274"/>
      <c r="EA186" s="350"/>
      <c r="EB186" s="19"/>
      <c r="EC186" s="19"/>
      <c r="ED186" s="19"/>
      <c r="EE186" s="274"/>
      <c r="EF186" s="350"/>
      <c r="EG186" s="19"/>
      <c r="EH186" s="19"/>
      <c r="EI186" s="19"/>
      <c r="EJ186" s="274"/>
      <c r="EK186" s="350"/>
      <c r="EL186" s="19"/>
      <c r="EM186" s="19"/>
      <c r="EN186" s="19"/>
      <c r="EO186" s="244"/>
      <c r="ER186" s="451"/>
      <c r="ES186" s="451"/>
    </row>
    <row r="187" spans="3:149" x14ac:dyDescent="0.2">
      <c r="D187" s="244" t="s">
        <v>379</v>
      </c>
      <c r="F187" s="438"/>
      <c r="G187" s="37">
        <v>0</v>
      </c>
      <c r="H187" s="37"/>
      <c r="I187" s="19"/>
      <c r="J187" s="274"/>
      <c r="K187" s="438"/>
      <c r="L187" s="37">
        <f>SUM(L188:L199)</f>
        <v>0</v>
      </c>
      <c r="M187" s="37"/>
      <c r="N187" s="19"/>
      <c r="O187" s="274"/>
      <c r="P187" s="438"/>
      <c r="Q187" s="37">
        <f>SUM(Q188:Q199)</f>
        <v>0</v>
      </c>
      <c r="R187" s="37"/>
      <c r="S187" s="19"/>
      <c r="T187" s="274"/>
      <c r="U187" s="438"/>
      <c r="V187" s="37">
        <f>SUM(V188:V199)</f>
        <v>0</v>
      </c>
      <c r="W187" s="37"/>
      <c r="X187" s="19"/>
      <c r="Y187" s="274"/>
      <c r="Z187" s="438"/>
      <c r="AA187" s="37">
        <f>SUM(AA188:AA199)</f>
        <v>0</v>
      </c>
      <c r="AB187" s="37"/>
      <c r="AC187" s="19"/>
      <c r="AD187" s="274"/>
      <c r="AE187" s="438"/>
      <c r="AF187" s="37">
        <f>SUM(AF188:AF199)</f>
        <v>0</v>
      </c>
      <c r="AG187" s="37"/>
      <c r="AH187" s="19"/>
      <c r="AI187" s="274"/>
      <c r="AJ187" s="438"/>
      <c r="AK187" s="37">
        <f>SUM(AK188:AK199)</f>
        <v>0</v>
      </c>
      <c r="AL187" s="37"/>
      <c r="AM187" s="19"/>
      <c r="AN187" s="274"/>
      <c r="AO187" s="438"/>
      <c r="AP187" s="37">
        <f>SUM(AP188:AP199)</f>
        <v>0</v>
      </c>
      <c r="AQ187" s="37"/>
      <c r="AR187" s="19"/>
      <c r="AS187" s="274"/>
      <c r="AT187" s="438"/>
      <c r="AU187" s="37">
        <f>SUM(AU188:AU199)</f>
        <v>0</v>
      </c>
      <c r="AV187" s="37"/>
      <c r="AW187" s="19"/>
      <c r="AX187" s="274"/>
      <c r="AY187" s="438"/>
      <c r="AZ187" s="37">
        <f>SUM(AZ188:AZ199)</f>
        <v>0</v>
      </c>
      <c r="BA187" s="37"/>
      <c r="BB187" s="19"/>
      <c r="BC187" s="274"/>
      <c r="BD187" s="438"/>
      <c r="BE187" s="37">
        <f>SUM(BE188:BE199)</f>
        <v>0</v>
      </c>
      <c r="BF187" s="37"/>
      <c r="BG187" s="19"/>
      <c r="BH187" s="274"/>
      <c r="BI187" s="438"/>
      <c r="BJ187" s="37">
        <f>SUM(BJ188:BJ199)</f>
        <v>0</v>
      </c>
      <c r="BK187" s="37"/>
      <c r="BL187" s="19"/>
      <c r="BM187" s="274"/>
      <c r="BN187" s="438"/>
      <c r="BO187" s="37">
        <f>SUM(BO188:BO199)</f>
        <v>0</v>
      </c>
      <c r="BP187" s="37"/>
      <c r="BQ187" s="19"/>
      <c r="BR187" s="274"/>
      <c r="BS187" s="438"/>
      <c r="BT187" s="37">
        <f>SUM(BT188:BT199)</f>
        <v>0</v>
      </c>
      <c r="BU187" s="37"/>
      <c r="BV187" s="19"/>
      <c r="BW187" s="274"/>
      <c r="BX187" s="438"/>
      <c r="BY187" s="37">
        <f>SUM(BY188:BY199)</f>
        <v>10627</v>
      </c>
      <c r="BZ187" s="37"/>
      <c r="CA187" s="19"/>
      <c r="CB187" s="274"/>
      <c r="CC187" s="438"/>
      <c r="CD187" s="37">
        <f>SUM(CD188:CD199)</f>
        <v>0</v>
      </c>
      <c r="CE187" s="37"/>
      <c r="CF187" s="19"/>
      <c r="CG187" s="274"/>
      <c r="CH187" s="438"/>
      <c r="CI187" s="37">
        <f>SUM(CI188:CI199)</f>
        <v>0</v>
      </c>
      <c r="CJ187" s="37"/>
      <c r="CK187" s="19"/>
      <c r="CL187" s="274"/>
      <c r="CM187" s="438"/>
      <c r="CN187" s="37">
        <f>SUM(CN188:CN199)</f>
        <v>0</v>
      </c>
      <c r="CO187" s="37"/>
      <c r="CP187" s="19"/>
      <c r="CQ187" s="274"/>
      <c r="CR187" s="438"/>
      <c r="CS187" s="37">
        <f>SUM(CS188:CS199)</f>
        <v>0</v>
      </c>
      <c r="CT187" s="37"/>
      <c r="CU187" s="19"/>
      <c r="CV187" s="274"/>
      <c r="CW187" s="438"/>
      <c r="CX187" s="37">
        <f>SUM(CX188:CX199)</f>
        <v>0</v>
      </c>
      <c r="CY187" s="37"/>
      <c r="CZ187" s="19"/>
      <c r="DA187" s="274"/>
      <c r="DB187" s="438"/>
      <c r="DC187" s="37">
        <f>SUM(DC188:DC199)</f>
        <v>10627</v>
      </c>
      <c r="DD187" s="37"/>
      <c r="DE187" s="19"/>
      <c r="DF187" s="274"/>
      <c r="DG187" s="438"/>
      <c r="DH187" s="37">
        <f>SUM(DH188:DH199)</f>
        <v>0</v>
      </c>
      <c r="DI187" s="37"/>
      <c r="DJ187" s="19"/>
      <c r="DK187" s="274"/>
      <c r="DL187" s="438"/>
      <c r="DM187" s="37">
        <f>SUM(DM188:DM199)</f>
        <v>0</v>
      </c>
      <c r="DN187" s="37"/>
      <c r="DO187" s="19"/>
      <c r="DP187" s="274"/>
      <c r="DQ187" s="438"/>
      <c r="DR187" s="37">
        <f>SUM(DR188:DR199)</f>
        <v>0</v>
      </c>
      <c r="DS187" s="37"/>
      <c r="DT187" s="19"/>
      <c r="DU187" s="274"/>
      <c r="DV187" s="438"/>
      <c r="DW187" s="37">
        <f>SUM(DW188:DW199)</f>
        <v>0</v>
      </c>
      <c r="DX187" s="37"/>
      <c r="DY187" s="19"/>
      <c r="DZ187" s="274"/>
      <c r="EA187" s="438"/>
      <c r="EB187" s="37">
        <f>SUM(EB188:EB199)</f>
        <v>0</v>
      </c>
      <c r="EC187" s="37"/>
      <c r="ED187" s="19"/>
      <c r="EE187" s="274"/>
      <c r="EF187" s="438"/>
      <c r="EG187" s="37">
        <f>SUM(EG188:EG199)</f>
        <v>0</v>
      </c>
      <c r="EH187" s="37"/>
      <c r="EI187" s="19"/>
      <c r="EJ187" s="274"/>
      <c r="EK187" s="438"/>
      <c r="EL187" s="37">
        <f>SUM(EL188:EL199)</f>
        <v>10627</v>
      </c>
      <c r="EM187" s="37"/>
      <c r="EN187" s="19"/>
      <c r="EO187" s="244"/>
      <c r="ER187" s="451"/>
      <c r="ES187" s="451"/>
    </row>
    <row r="188" spans="3:149" ht="12.75" hidden="1" customHeight="1" x14ac:dyDescent="0.2">
      <c r="D188" s="244" t="s">
        <v>380</v>
      </c>
      <c r="F188" s="112"/>
      <c r="G188" s="374">
        <v>0</v>
      </c>
      <c r="H188" s="475"/>
      <c r="I188" s="19"/>
      <c r="J188" s="274"/>
      <c r="K188" s="112"/>
      <c r="L188" s="374">
        <v>0</v>
      </c>
      <c r="M188" s="475"/>
      <c r="N188" s="19"/>
      <c r="O188" s="274"/>
      <c r="P188" s="112"/>
      <c r="Q188" s="374">
        <v>0</v>
      </c>
      <c r="R188" s="475"/>
      <c r="S188" s="19"/>
      <c r="T188" s="274"/>
      <c r="U188" s="438"/>
      <c r="V188" s="374">
        <v>0</v>
      </c>
      <c r="W188" s="37"/>
      <c r="X188" s="19"/>
      <c r="Y188" s="274"/>
      <c r="Z188" s="112"/>
      <c r="AA188" s="374">
        <v>0</v>
      </c>
      <c r="AB188" s="475"/>
      <c r="AC188" s="19"/>
      <c r="AD188" s="274"/>
      <c r="AE188" s="112"/>
      <c r="AF188" s="374">
        <v>0</v>
      </c>
      <c r="AG188" s="475"/>
      <c r="AH188" s="19"/>
      <c r="AI188" s="274"/>
      <c r="AJ188" s="112"/>
      <c r="AK188" s="374">
        <v>0</v>
      </c>
      <c r="AL188" s="475"/>
      <c r="AM188" s="19"/>
      <c r="AN188" s="274"/>
      <c r="AO188" s="112"/>
      <c r="AP188" s="374">
        <v>0</v>
      </c>
      <c r="AQ188" s="475"/>
      <c r="AR188" s="19"/>
      <c r="AS188" s="274"/>
      <c r="AT188" s="112"/>
      <c r="AU188" s="374">
        <v>0</v>
      </c>
      <c r="AV188" s="475"/>
      <c r="AW188" s="19"/>
      <c r="AX188" s="274"/>
      <c r="AY188" s="112"/>
      <c r="AZ188" s="374">
        <v>0</v>
      </c>
      <c r="BA188" s="475"/>
      <c r="BB188" s="19"/>
      <c r="BC188" s="274"/>
      <c r="BD188" s="112"/>
      <c r="BE188" s="374">
        <v>0</v>
      </c>
      <c r="BF188" s="475"/>
      <c r="BG188" s="19"/>
      <c r="BH188" s="274"/>
      <c r="BI188" s="112"/>
      <c r="BJ188" s="374">
        <v>0</v>
      </c>
      <c r="BK188" s="475"/>
      <c r="BL188" s="19"/>
      <c r="BM188" s="274"/>
      <c r="BN188" s="112"/>
      <c r="BO188" s="374">
        <v>0</v>
      </c>
      <c r="BP188" s="475"/>
      <c r="BQ188" s="19"/>
      <c r="BR188" s="274"/>
      <c r="BS188" s="112"/>
      <c r="BT188" s="374">
        <f t="shared" ref="BT188:BT199" si="0">SUM(L188:BO188)</f>
        <v>0</v>
      </c>
      <c r="BU188" s="475"/>
      <c r="BV188" s="19"/>
      <c r="BW188" s="274"/>
      <c r="BX188" s="173"/>
      <c r="BY188" s="374">
        <f>SUM(Q188:BT188)</f>
        <v>0</v>
      </c>
      <c r="BZ188" s="475"/>
      <c r="CA188" s="19"/>
      <c r="CB188" s="274"/>
      <c r="CC188" s="112"/>
      <c r="CD188" s="374">
        <v>0</v>
      </c>
      <c r="CE188" s="475"/>
      <c r="CF188" s="19"/>
      <c r="CG188" s="274"/>
      <c r="CH188" s="112"/>
      <c r="CI188" s="374">
        <v>0</v>
      </c>
      <c r="CJ188" s="475"/>
      <c r="CK188" s="19"/>
      <c r="CL188" s="274"/>
      <c r="CM188" s="438"/>
      <c r="CN188" s="374">
        <v>0</v>
      </c>
      <c r="CO188" s="37"/>
      <c r="CP188" s="19"/>
      <c r="CQ188" s="274"/>
      <c r="CR188" s="112"/>
      <c r="CS188" s="374">
        <v>0</v>
      </c>
      <c r="CT188" s="475"/>
      <c r="CU188" s="19"/>
      <c r="CV188" s="274"/>
      <c r="CW188" s="112"/>
      <c r="CX188" s="374">
        <v>0</v>
      </c>
      <c r="CY188" s="475"/>
      <c r="CZ188" s="19"/>
      <c r="DA188" s="274"/>
      <c r="DB188" s="112"/>
      <c r="DC188" s="374">
        <v>0</v>
      </c>
      <c r="DD188" s="475"/>
      <c r="DE188" s="19"/>
      <c r="DF188" s="274"/>
      <c r="DG188" s="112"/>
      <c r="DH188" s="374">
        <v>0</v>
      </c>
      <c r="DI188" s="475"/>
      <c r="DJ188" s="19"/>
      <c r="DK188" s="274"/>
      <c r="DL188" s="112"/>
      <c r="DM188" s="374">
        <v>0</v>
      </c>
      <c r="DN188" s="475"/>
      <c r="DO188" s="19"/>
      <c r="DP188" s="274"/>
      <c r="DQ188" s="112"/>
      <c r="DR188" s="374">
        <v>0</v>
      </c>
      <c r="DS188" s="475"/>
      <c r="DT188" s="19"/>
      <c r="DU188" s="274"/>
      <c r="DV188" s="112"/>
      <c r="DW188" s="374">
        <v>0</v>
      </c>
      <c r="DX188" s="475"/>
      <c r="DY188" s="19"/>
      <c r="DZ188" s="274"/>
      <c r="EA188" s="112"/>
      <c r="EB188" s="374">
        <v>0</v>
      </c>
      <c r="EC188" s="475"/>
      <c r="ED188" s="19"/>
      <c r="EE188" s="274"/>
      <c r="EF188" s="112"/>
      <c r="EG188" s="374">
        <v>0</v>
      </c>
      <c r="EH188" s="475"/>
      <c r="EI188" s="19"/>
      <c r="EJ188" s="274"/>
      <c r="EK188" s="112"/>
      <c r="EL188" s="374">
        <f t="shared" ref="EL188:EL199" si="1">SUM(CD188:EG188)</f>
        <v>0</v>
      </c>
      <c r="EM188" s="475"/>
      <c r="EN188" s="19"/>
      <c r="EO188" s="244"/>
      <c r="ER188" s="451"/>
      <c r="ES188" s="451"/>
    </row>
    <row r="189" spans="3:149" ht="12.75" hidden="1" customHeight="1" x14ac:dyDescent="0.2">
      <c r="D189" s="244" t="s">
        <v>381</v>
      </c>
      <c r="F189" s="82"/>
      <c r="G189" s="19">
        <v>0</v>
      </c>
      <c r="H189" s="18"/>
      <c r="I189" s="19"/>
      <c r="J189" s="274"/>
      <c r="K189" s="82"/>
      <c r="L189" s="19">
        <v>0</v>
      </c>
      <c r="M189" s="18"/>
      <c r="N189" s="19"/>
      <c r="O189" s="274"/>
      <c r="P189" s="82"/>
      <c r="Q189" s="19">
        <v>0</v>
      </c>
      <c r="R189" s="18"/>
      <c r="S189" s="19"/>
      <c r="T189" s="274"/>
      <c r="U189" s="82"/>
      <c r="V189" s="19">
        <v>0</v>
      </c>
      <c r="W189" s="18"/>
      <c r="X189" s="19"/>
      <c r="Y189" s="274"/>
      <c r="Z189" s="82"/>
      <c r="AA189" s="19">
        <v>0</v>
      </c>
      <c r="AB189" s="18"/>
      <c r="AC189" s="19"/>
      <c r="AD189" s="274"/>
      <c r="AE189" s="82"/>
      <c r="AF189" s="19">
        <v>0</v>
      </c>
      <c r="AG189" s="18"/>
      <c r="AH189" s="19"/>
      <c r="AI189" s="274"/>
      <c r="AJ189" s="82"/>
      <c r="AK189" s="19">
        <v>0</v>
      </c>
      <c r="AL189" s="18"/>
      <c r="AM189" s="19"/>
      <c r="AN189" s="274"/>
      <c r="AO189" s="82"/>
      <c r="AP189" s="19">
        <v>0</v>
      </c>
      <c r="AQ189" s="18"/>
      <c r="AR189" s="19"/>
      <c r="AS189" s="274"/>
      <c r="AT189" s="82"/>
      <c r="AU189" s="19">
        <v>0</v>
      </c>
      <c r="AV189" s="18"/>
      <c r="AW189" s="19"/>
      <c r="AX189" s="274"/>
      <c r="AY189" s="82"/>
      <c r="AZ189" s="19">
        <v>0</v>
      </c>
      <c r="BA189" s="18"/>
      <c r="BB189" s="19"/>
      <c r="BC189" s="274"/>
      <c r="BD189" s="82"/>
      <c r="BE189" s="19">
        <v>0</v>
      </c>
      <c r="BF189" s="18"/>
      <c r="BG189" s="19"/>
      <c r="BH189" s="274"/>
      <c r="BI189" s="82"/>
      <c r="BJ189" s="19">
        <v>0</v>
      </c>
      <c r="BK189" s="18"/>
      <c r="BL189" s="19"/>
      <c r="BM189" s="274"/>
      <c r="BN189" s="82"/>
      <c r="BO189" s="19">
        <v>0</v>
      </c>
      <c r="BP189" s="18"/>
      <c r="BQ189" s="19"/>
      <c r="BR189" s="274"/>
      <c r="BS189" s="82"/>
      <c r="BT189" s="19">
        <f t="shared" si="0"/>
        <v>0</v>
      </c>
      <c r="BU189" s="18"/>
      <c r="BV189" s="19"/>
      <c r="BW189" s="274"/>
      <c r="BX189" s="274"/>
      <c r="BY189" s="19">
        <f>SUM(Q189:BT189)</f>
        <v>0</v>
      </c>
      <c r="BZ189" s="18"/>
      <c r="CA189" s="19"/>
      <c r="CB189" s="274"/>
      <c r="CC189" s="82"/>
      <c r="CD189" s="19">
        <v>0</v>
      </c>
      <c r="CE189" s="18"/>
      <c r="CF189" s="19"/>
      <c r="CG189" s="274"/>
      <c r="CH189" s="82"/>
      <c r="CI189" s="19">
        <v>0</v>
      </c>
      <c r="CJ189" s="18"/>
      <c r="CK189" s="19"/>
      <c r="CL189" s="274"/>
      <c r="CM189" s="82"/>
      <c r="CN189" s="19">
        <v>0</v>
      </c>
      <c r="CO189" s="18"/>
      <c r="CP189" s="19"/>
      <c r="CQ189" s="274"/>
      <c r="CR189" s="82"/>
      <c r="CS189" s="19">
        <v>0</v>
      </c>
      <c r="CT189" s="18"/>
      <c r="CU189" s="19"/>
      <c r="CV189" s="274"/>
      <c r="CW189" s="82"/>
      <c r="CX189" s="19">
        <v>0</v>
      </c>
      <c r="CY189" s="18"/>
      <c r="CZ189" s="19"/>
      <c r="DA189" s="274"/>
      <c r="DB189" s="82"/>
      <c r="DC189" s="19">
        <v>0</v>
      </c>
      <c r="DD189" s="18"/>
      <c r="DE189" s="19"/>
      <c r="DF189" s="274"/>
      <c r="DG189" s="82"/>
      <c r="DH189" s="19">
        <v>0</v>
      </c>
      <c r="DI189" s="18"/>
      <c r="DJ189" s="19"/>
      <c r="DK189" s="274"/>
      <c r="DL189" s="82"/>
      <c r="DM189" s="19">
        <v>0</v>
      </c>
      <c r="DN189" s="18"/>
      <c r="DO189" s="19"/>
      <c r="DP189" s="274"/>
      <c r="DQ189" s="82"/>
      <c r="DR189" s="19">
        <v>0</v>
      </c>
      <c r="DS189" s="18"/>
      <c r="DT189" s="19"/>
      <c r="DU189" s="274"/>
      <c r="DV189" s="82"/>
      <c r="DW189" s="19">
        <v>0</v>
      </c>
      <c r="DX189" s="18"/>
      <c r="DY189" s="19"/>
      <c r="DZ189" s="274"/>
      <c r="EA189" s="82"/>
      <c r="EB189" s="19">
        <v>0</v>
      </c>
      <c r="EC189" s="18"/>
      <c r="ED189" s="19"/>
      <c r="EE189" s="274"/>
      <c r="EF189" s="82"/>
      <c r="EG189" s="19">
        <v>0</v>
      </c>
      <c r="EH189" s="18"/>
      <c r="EI189" s="19"/>
      <c r="EJ189" s="274"/>
      <c r="EK189" s="82"/>
      <c r="EL189" s="19">
        <f t="shared" si="1"/>
        <v>0</v>
      </c>
      <c r="EM189" s="18"/>
      <c r="EN189" s="19"/>
      <c r="EO189" s="244"/>
      <c r="ER189" s="451"/>
      <c r="ES189" s="451"/>
    </row>
    <row r="190" spans="3:149" ht="12.75" hidden="1" customHeight="1" x14ac:dyDescent="0.2">
      <c r="D190" s="244" t="s">
        <v>382</v>
      </c>
      <c r="F190" s="82"/>
      <c r="G190" s="19">
        <v>0</v>
      </c>
      <c r="H190" s="18"/>
      <c r="I190" s="19"/>
      <c r="J190" s="274"/>
      <c r="K190" s="82"/>
      <c r="L190" s="19">
        <v>0</v>
      </c>
      <c r="M190" s="18"/>
      <c r="N190" s="19"/>
      <c r="O190" s="274"/>
      <c r="P190" s="82"/>
      <c r="Q190" s="19">
        <v>0</v>
      </c>
      <c r="R190" s="18"/>
      <c r="S190" s="19"/>
      <c r="T190" s="274"/>
      <c r="U190" s="82"/>
      <c r="V190" s="19">
        <v>0</v>
      </c>
      <c r="W190" s="18"/>
      <c r="X190" s="19"/>
      <c r="Y190" s="274"/>
      <c r="Z190" s="82"/>
      <c r="AA190" s="19">
        <v>0</v>
      </c>
      <c r="AB190" s="18"/>
      <c r="AC190" s="19"/>
      <c r="AD190" s="274"/>
      <c r="AE190" s="82"/>
      <c r="AF190" s="19">
        <v>0</v>
      </c>
      <c r="AG190" s="18"/>
      <c r="AH190" s="19"/>
      <c r="AI190" s="274"/>
      <c r="AJ190" s="82"/>
      <c r="AK190" s="19">
        <v>0</v>
      </c>
      <c r="AL190" s="18"/>
      <c r="AM190" s="19"/>
      <c r="AN190" s="274"/>
      <c r="AO190" s="82"/>
      <c r="AP190" s="19">
        <v>0</v>
      </c>
      <c r="AQ190" s="18"/>
      <c r="AR190" s="19"/>
      <c r="AS190" s="274"/>
      <c r="AT190" s="82"/>
      <c r="AU190" s="19">
        <v>0</v>
      </c>
      <c r="AV190" s="18"/>
      <c r="AW190" s="19"/>
      <c r="AX190" s="274"/>
      <c r="AY190" s="82"/>
      <c r="AZ190" s="19">
        <v>0</v>
      </c>
      <c r="BA190" s="18"/>
      <c r="BB190" s="19"/>
      <c r="BC190" s="274"/>
      <c r="BD190" s="82"/>
      <c r="BE190" s="19">
        <v>0</v>
      </c>
      <c r="BF190" s="18"/>
      <c r="BG190" s="19"/>
      <c r="BH190" s="274"/>
      <c r="BI190" s="82"/>
      <c r="BJ190" s="19">
        <v>0</v>
      </c>
      <c r="BK190" s="18"/>
      <c r="BL190" s="19"/>
      <c r="BM190" s="274"/>
      <c r="BN190" s="82"/>
      <c r="BO190" s="19">
        <v>0</v>
      </c>
      <c r="BP190" s="18"/>
      <c r="BQ190" s="19"/>
      <c r="BR190" s="274"/>
      <c r="BS190" s="82"/>
      <c r="BT190" s="19">
        <f>SUM(L190:BO190)</f>
        <v>0</v>
      </c>
      <c r="BU190" s="18"/>
      <c r="BV190" s="19"/>
      <c r="BW190" s="274"/>
      <c r="BX190" s="274"/>
      <c r="BY190" s="19">
        <v>0</v>
      </c>
      <c r="BZ190" s="18"/>
      <c r="CA190" s="19"/>
      <c r="CB190" s="274"/>
      <c r="CC190" s="82"/>
      <c r="CD190" s="19">
        <v>0</v>
      </c>
      <c r="CE190" s="18"/>
      <c r="CF190" s="19"/>
      <c r="CG190" s="274"/>
      <c r="CH190" s="82"/>
      <c r="CI190" s="19">
        <v>0</v>
      </c>
      <c r="CJ190" s="18"/>
      <c r="CK190" s="19"/>
      <c r="CL190" s="274"/>
      <c r="CM190" s="82"/>
      <c r="CN190" s="19">
        <v>0</v>
      </c>
      <c r="CO190" s="18"/>
      <c r="CP190" s="19"/>
      <c r="CQ190" s="274"/>
      <c r="CR190" s="82"/>
      <c r="CS190" s="19">
        <v>0</v>
      </c>
      <c r="CT190" s="18"/>
      <c r="CU190" s="19"/>
      <c r="CV190" s="274"/>
      <c r="CW190" s="82"/>
      <c r="CX190" s="19">
        <v>0</v>
      </c>
      <c r="CY190" s="18"/>
      <c r="CZ190" s="19"/>
      <c r="DA190" s="274"/>
      <c r="DB190" s="82"/>
      <c r="DC190" s="19">
        <v>0</v>
      </c>
      <c r="DD190" s="18"/>
      <c r="DE190" s="19"/>
      <c r="DF190" s="274"/>
      <c r="DG190" s="82"/>
      <c r="DH190" s="19">
        <v>0</v>
      </c>
      <c r="DI190" s="18"/>
      <c r="DJ190" s="19"/>
      <c r="DK190" s="274"/>
      <c r="DL190" s="82"/>
      <c r="DM190" s="19">
        <v>0</v>
      </c>
      <c r="DN190" s="18"/>
      <c r="DO190" s="19"/>
      <c r="DP190" s="274"/>
      <c r="DQ190" s="82"/>
      <c r="DR190" s="19">
        <v>0</v>
      </c>
      <c r="DS190" s="18"/>
      <c r="DT190" s="19"/>
      <c r="DU190" s="274"/>
      <c r="DV190" s="82"/>
      <c r="DW190" s="19">
        <v>0</v>
      </c>
      <c r="DX190" s="18"/>
      <c r="DY190" s="19"/>
      <c r="DZ190" s="274"/>
      <c r="EA190" s="82"/>
      <c r="EB190" s="19">
        <v>0</v>
      </c>
      <c r="EC190" s="18"/>
      <c r="ED190" s="19"/>
      <c r="EE190" s="274"/>
      <c r="EF190" s="82"/>
      <c r="EG190" s="19">
        <v>0</v>
      </c>
      <c r="EH190" s="18"/>
      <c r="EI190" s="19"/>
      <c r="EJ190" s="274"/>
      <c r="EK190" s="82"/>
      <c r="EL190" s="19">
        <f>SUM(CD190:EG190)</f>
        <v>0</v>
      </c>
      <c r="EM190" s="18"/>
      <c r="EN190" s="19"/>
      <c r="EO190" s="244"/>
      <c r="ER190" s="451"/>
      <c r="ES190" s="451"/>
    </row>
    <row r="191" spans="3:149" ht="12.75" hidden="1" customHeight="1" x14ac:dyDescent="0.2">
      <c r="D191" s="244" t="s">
        <v>383</v>
      </c>
      <c r="F191" s="82"/>
      <c r="G191" s="19">
        <v>0</v>
      </c>
      <c r="H191" s="18"/>
      <c r="I191" s="19"/>
      <c r="J191" s="274"/>
      <c r="K191" s="82"/>
      <c r="L191" s="19">
        <v>0</v>
      </c>
      <c r="M191" s="18"/>
      <c r="N191" s="19"/>
      <c r="O191" s="274"/>
      <c r="P191" s="82"/>
      <c r="Q191" s="19">
        <v>0</v>
      </c>
      <c r="R191" s="18"/>
      <c r="S191" s="19"/>
      <c r="T191" s="274"/>
      <c r="U191" s="82"/>
      <c r="V191" s="19">
        <v>0</v>
      </c>
      <c r="W191" s="18"/>
      <c r="X191" s="19"/>
      <c r="Y191" s="274"/>
      <c r="Z191" s="82"/>
      <c r="AA191" s="19">
        <v>0</v>
      </c>
      <c r="AB191" s="18"/>
      <c r="AC191" s="19"/>
      <c r="AD191" s="274"/>
      <c r="AE191" s="82"/>
      <c r="AF191" s="19">
        <v>0</v>
      </c>
      <c r="AG191" s="18"/>
      <c r="AH191" s="19"/>
      <c r="AI191" s="274"/>
      <c r="AJ191" s="82"/>
      <c r="AK191" s="19">
        <v>0</v>
      </c>
      <c r="AL191" s="18"/>
      <c r="AM191" s="19"/>
      <c r="AN191" s="274"/>
      <c r="AO191" s="82"/>
      <c r="AP191" s="19">
        <v>0</v>
      </c>
      <c r="AQ191" s="18"/>
      <c r="AR191" s="19"/>
      <c r="AS191" s="274"/>
      <c r="AT191" s="82"/>
      <c r="AU191" s="19">
        <v>0</v>
      </c>
      <c r="AV191" s="18"/>
      <c r="AW191" s="19"/>
      <c r="AX191" s="274"/>
      <c r="AY191" s="82"/>
      <c r="AZ191" s="19">
        <v>0</v>
      </c>
      <c r="BA191" s="18"/>
      <c r="BB191" s="19"/>
      <c r="BC191" s="274"/>
      <c r="BD191" s="82"/>
      <c r="BE191" s="19">
        <v>0</v>
      </c>
      <c r="BF191" s="18"/>
      <c r="BG191" s="19"/>
      <c r="BH191" s="274"/>
      <c r="BI191" s="82"/>
      <c r="BJ191" s="19">
        <v>0</v>
      </c>
      <c r="BK191" s="18"/>
      <c r="BL191" s="19"/>
      <c r="BM191" s="274"/>
      <c r="BN191" s="82"/>
      <c r="BO191" s="19">
        <v>0</v>
      </c>
      <c r="BP191" s="18"/>
      <c r="BQ191" s="19"/>
      <c r="BR191" s="274"/>
      <c r="BS191" s="82"/>
      <c r="BT191" s="19">
        <f t="shared" si="0"/>
        <v>0</v>
      </c>
      <c r="BU191" s="18"/>
      <c r="BV191" s="19"/>
      <c r="BW191" s="274"/>
      <c r="BX191" s="274"/>
      <c r="BY191" s="19">
        <v>0</v>
      </c>
      <c r="BZ191" s="18"/>
      <c r="CA191" s="19"/>
      <c r="CB191" s="274"/>
      <c r="CC191" s="82"/>
      <c r="CD191" s="19">
        <v>0</v>
      </c>
      <c r="CE191" s="18"/>
      <c r="CF191" s="19"/>
      <c r="CG191" s="274"/>
      <c r="CH191" s="82"/>
      <c r="CI191" s="19">
        <v>0</v>
      </c>
      <c r="CJ191" s="18"/>
      <c r="CK191" s="19"/>
      <c r="CL191" s="274"/>
      <c r="CM191" s="82"/>
      <c r="CN191" s="19">
        <v>0</v>
      </c>
      <c r="CO191" s="18"/>
      <c r="CP191" s="19"/>
      <c r="CQ191" s="274"/>
      <c r="CR191" s="82"/>
      <c r="CS191" s="19">
        <v>0</v>
      </c>
      <c r="CT191" s="18"/>
      <c r="CU191" s="19"/>
      <c r="CV191" s="274"/>
      <c r="CW191" s="82"/>
      <c r="CX191" s="19">
        <v>0</v>
      </c>
      <c r="CY191" s="18"/>
      <c r="CZ191" s="19"/>
      <c r="DA191" s="274"/>
      <c r="DB191" s="82"/>
      <c r="DC191" s="19">
        <v>0</v>
      </c>
      <c r="DD191" s="18"/>
      <c r="DE191" s="19"/>
      <c r="DF191" s="274"/>
      <c r="DG191" s="82"/>
      <c r="DH191" s="19">
        <v>0</v>
      </c>
      <c r="DI191" s="18"/>
      <c r="DJ191" s="19"/>
      <c r="DK191" s="274"/>
      <c r="DL191" s="82"/>
      <c r="DM191" s="19">
        <v>0</v>
      </c>
      <c r="DN191" s="18"/>
      <c r="DO191" s="19"/>
      <c r="DP191" s="274"/>
      <c r="DQ191" s="82"/>
      <c r="DR191" s="19">
        <v>0</v>
      </c>
      <c r="DS191" s="18"/>
      <c r="DT191" s="19"/>
      <c r="DU191" s="274"/>
      <c r="DV191" s="82"/>
      <c r="DW191" s="19">
        <v>0</v>
      </c>
      <c r="DX191" s="18"/>
      <c r="DY191" s="19"/>
      <c r="DZ191" s="274"/>
      <c r="EA191" s="82"/>
      <c r="EB191" s="19">
        <v>0</v>
      </c>
      <c r="EC191" s="18"/>
      <c r="ED191" s="19"/>
      <c r="EE191" s="274"/>
      <c r="EF191" s="82"/>
      <c r="EG191" s="19">
        <v>0</v>
      </c>
      <c r="EH191" s="18"/>
      <c r="EI191" s="19"/>
      <c r="EJ191" s="274"/>
      <c r="EK191" s="82"/>
      <c r="EL191" s="19">
        <f t="shared" si="1"/>
        <v>0</v>
      </c>
      <c r="EM191" s="18"/>
      <c r="EN191" s="19"/>
      <c r="EO191" s="244"/>
      <c r="ER191" s="451"/>
      <c r="ES191" s="451"/>
    </row>
    <row r="192" spans="3:149" ht="12.75" hidden="1" customHeight="1" x14ac:dyDescent="0.2">
      <c r="D192" s="244" t="s">
        <v>384</v>
      </c>
      <c r="F192" s="82"/>
      <c r="G192" s="19">
        <v>0</v>
      </c>
      <c r="H192" s="18"/>
      <c r="I192" s="19"/>
      <c r="J192" s="274"/>
      <c r="K192" s="82"/>
      <c r="L192" s="19">
        <v>0</v>
      </c>
      <c r="M192" s="18"/>
      <c r="N192" s="19"/>
      <c r="O192" s="274"/>
      <c r="P192" s="82"/>
      <c r="Q192" s="19">
        <v>0</v>
      </c>
      <c r="R192" s="18"/>
      <c r="S192" s="19"/>
      <c r="T192" s="274"/>
      <c r="U192" s="82"/>
      <c r="V192" s="19">
        <v>0</v>
      </c>
      <c r="W192" s="18"/>
      <c r="X192" s="19"/>
      <c r="Y192" s="274"/>
      <c r="Z192" s="82"/>
      <c r="AA192" s="19">
        <v>0</v>
      </c>
      <c r="AB192" s="18"/>
      <c r="AC192" s="19"/>
      <c r="AD192" s="274"/>
      <c r="AE192" s="82"/>
      <c r="AF192" s="19">
        <v>0</v>
      </c>
      <c r="AG192" s="18"/>
      <c r="AH192" s="19"/>
      <c r="AI192" s="274"/>
      <c r="AJ192" s="82"/>
      <c r="AK192" s="19">
        <v>0</v>
      </c>
      <c r="AL192" s="18"/>
      <c r="AM192" s="19"/>
      <c r="AN192" s="274"/>
      <c r="AO192" s="82"/>
      <c r="AP192" s="19">
        <v>0</v>
      </c>
      <c r="AQ192" s="18"/>
      <c r="AR192" s="19"/>
      <c r="AS192" s="274"/>
      <c r="AT192" s="82"/>
      <c r="AU192" s="19">
        <v>0</v>
      </c>
      <c r="AV192" s="18"/>
      <c r="AW192" s="19"/>
      <c r="AX192" s="274"/>
      <c r="AY192" s="82"/>
      <c r="AZ192" s="19">
        <v>0</v>
      </c>
      <c r="BA192" s="18"/>
      <c r="BB192" s="19"/>
      <c r="BC192" s="274"/>
      <c r="BD192" s="82"/>
      <c r="BE192" s="19">
        <v>0</v>
      </c>
      <c r="BF192" s="18"/>
      <c r="BG192" s="19"/>
      <c r="BH192" s="274"/>
      <c r="BI192" s="82"/>
      <c r="BJ192" s="19">
        <v>0</v>
      </c>
      <c r="BK192" s="18"/>
      <c r="BL192" s="19"/>
      <c r="BM192" s="274"/>
      <c r="BN192" s="82"/>
      <c r="BO192" s="19">
        <v>0</v>
      </c>
      <c r="BP192" s="18"/>
      <c r="BQ192" s="19"/>
      <c r="BR192" s="274"/>
      <c r="BS192" s="82"/>
      <c r="BT192" s="19">
        <f t="shared" si="0"/>
        <v>0</v>
      </c>
      <c r="BU192" s="18"/>
      <c r="BV192" s="19"/>
      <c r="BW192" s="274"/>
      <c r="BX192" s="274"/>
      <c r="BY192" s="19">
        <v>0</v>
      </c>
      <c r="BZ192" s="18"/>
      <c r="CA192" s="19"/>
      <c r="CB192" s="274"/>
      <c r="CC192" s="82"/>
      <c r="CD192" s="19">
        <v>0</v>
      </c>
      <c r="CE192" s="18"/>
      <c r="CF192" s="19"/>
      <c r="CG192" s="274"/>
      <c r="CH192" s="82"/>
      <c r="CI192" s="19">
        <v>0</v>
      </c>
      <c r="CJ192" s="18"/>
      <c r="CK192" s="19"/>
      <c r="CL192" s="274"/>
      <c r="CM192" s="82"/>
      <c r="CN192" s="19">
        <v>0</v>
      </c>
      <c r="CO192" s="18"/>
      <c r="CP192" s="19"/>
      <c r="CQ192" s="274"/>
      <c r="CR192" s="82"/>
      <c r="CS192" s="19">
        <v>0</v>
      </c>
      <c r="CT192" s="18"/>
      <c r="CU192" s="19"/>
      <c r="CV192" s="274"/>
      <c r="CW192" s="82"/>
      <c r="CX192" s="19">
        <v>0</v>
      </c>
      <c r="CY192" s="18"/>
      <c r="CZ192" s="19"/>
      <c r="DA192" s="274"/>
      <c r="DB192" s="82"/>
      <c r="DC192" s="19">
        <v>0</v>
      </c>
      <c r="DD192" s="18"/>
      <c r="DE192" s="19"/>
      <c r="DF192" s="274"/>
      <c r="DG192" s="82"/>
      <c r="DH192" s="19">
        <v>0</v>
      </c>
      <c r="DI192" s="18"/>
      <c r="DJ192" s="19"/>
      <c r="DK192" s="274"/>
      <c r="DL192" s="82"/>
      <c r="DM192" s="19">
        <v>0</v>
      </c>
      <c r="DN192" s="18"/>
      <c r="DO192" s="19"/>
      <c r="DP192" s="274"/>
      <c r="DQ192" s="82"/>
      <c r="DR192" s="19">
        <v>0</v>
      </c>
      <c r="DS192" s="18"/>
      <c r="DT192" s="19"/>
      <c r="DU192" s="274"/>
      <c r="DV192" s="82"/>
      <c r="DW192" s="19">
        <v>0</v>
      </c>
      <c r="DX192" s="18"/>
      <c r="DY192" s="19"/>
      <c r="DZ192" s="274"/>
      <c r="EA192" s="82"/>
      <c r="EB192" s="19">
        <v>0</v>
      </c>
      <c r="EC192" s="18"/>
      <c r="ED192" s="19"/>
      <c r="EE192" s="274"/>
      <c r="EF192" s="82"/>
      <c r="EG192" s="19">
        <v>0</v>
      </c>
      <c r="EH192" s="18"/>
      <c r="EI192" s="19"/>
      <c r="EJ192" s="274"/>
      <c r="EK192" s="82"/>
      <c r="EL192" s="19">
        <f t="shared" si="1"/>
        <v>0</v>
      </c>
      <c r="EM192" s="18"/>
      <c r="EN192" s="19"/>
      <c r="EO192" s="244"/>
      <c r="ER192" s="451"/>
      <c r="ES192" s="451"/>
    </row>
    <row r="193" spans="4:149" ht="12.75" hidden="1" customHeight="1" x14ac:dyDescent="0.2">
      <c r="D193" s="244" t="s">
        <v>385</v>
      </c>
      <c r="F193" s="82"/>
      <c r="G193" s="19">
        <v>0</v>
      </c>
      <c r="H193" s="18"/>
      <c r="I193" s="19"/>
      <c r="J193" s="274"/>
      <c r="K193" s="82"/>
      <c r="L193" s="19">
        <v>0</v>
      </c>
      <c r="M193" s="18"/>
      <c r="N193" s="19"/>
      <c r="O193" s="274"/>
      <c r="P193" s="82"/>
      <c r="Q193" s="19">
        <v>0</v>
      </c>
      <c r="R193" s="18"/>
      <c r="S193" s="19"/>
      <c r="T193" s="274"/>
      <c r="U193" s="82"/>
      <c r="V193" s="19">
        <v>0</v>
      </c>
      <c r="W193" s="18"/>
      <c r="X193" s="19"/>
      <c r="Y193" s="274"/>
      <c r="Z193" s="82"/>
      <c r="AA193" s="19">
        <v>0</v>
      </c>
      <c r="AB193" s="18"/>
      <c r="AC193" s="19"/>
      <c r="AD193" s="274"/>
      <c r="AE193" s="82"/>
      <c r="AF193" s="19">
        <v>0</v>
      </c>
      <c r="AG193" s="18"/>
      <c r="AH193" s="19"/>
      <c r="AI193" s="274"/>
      <c r="AJ193" s="82"/>
      <c r="AK193" s="19">
        <v>0</v>
      </c>
      <c r="AL193" s="18"/>
      <c r="AM193" s="19"/>
      <c r="AN193" s="274"/>
      <c r="AO193" s="82"/>
      <c r="AP193" s="19">
        <v>0</v>
      </c>
      <c r="AQ193" s="18"/>
      <c r="AR193" s="19"/>
      <c r="AS193" s="274"/>
      <c r="AT193" s="82"/>
      <c r="AU193" s="19">
        <v>0</v>
      </c>
      <c r="AV193" s="18"/>
      <c r="AW193" s="19"/>
      <c r="AX193" s="274"/>
      <c r="AY193" s="82"/>
      <c r="AZ193" s="19">
        <v>0</v>
      </c>
      <c r="BA193" s="18"/>
      <c r="BB193" s="19"/>
      <c r="BC193" s="274"/>
      <c r="BD193" s="82"/>
      <c r="BE193" s="19">
        <v>0</v>
      </c>
      <c r="BF193" s="18"/>
      <c r="BG193" s="19"/>
      <c r="BH193" s="274"/>
      <c r="BI193" s="82"/>
      <c r="BJ193" s="19">
        <v>0</v>
      </c>
      <c r="BK193" s="18"/>
      <c r="BL193" s="19"/>
      <c r="BM193" s="274"/>
      <c r="BN193" s="82"/>
      <c r="BO193" s="19">
        <v>0</v>
      </c>
      <c r="BP193" s="18"/>
      <c r="BQ193" s="19"/>
      <c r="BR193" s="274"/>
      <c r="BS193" s="82"/>
      <c r="BT193" s="19">
        <f t="shared" si="0"/>
        <v>0</v>
      </c>
      <c r="BU193" s="18"/>
      <c r="BV193" s="19"/>
      <c r="BW193" s="274"/>
      <c r="BX193" s="274"/>
      <c r="BY193" s="19">
        <v>0</v>
      </c>
      <c r="BZ193" s="18"/>
      <c r="CA193" s="19"/>
      <c r="CB193" s="274"/>
      <c r="CC193" s="82"/>
      <c r="CD193" s="19">
        <v>0</v>
      </c>
      <c r="CE193" s="18"/>
      <c r="CF193" s="19"/>
      <c r="CG193" s="274"/>
      <c r="CH193" s="82"/>
      <c r="CI193" s="19">
        <v>0</v>
      </c>
      <c r="CJ193" s="18"/>
      <c r="CK193" s="19"/>
      <c r="CL193" s="274"/>
      <c r="CM193" s="82"/>
      <c r="CN193" s="19">
        <v>0</v>
      </c>
      <c r="CO193" s="18"/>
      <c r="CP193" s="19"/>
      <c r="CQ193" s="274"/>
      <c r="CR193" s="82"/>
      <c r="CS193" s="19">
        <v>0</v>
      </c>
      <c r="CT193" s="18"/>
      <c r="CU193" s="19"/>
      <c r="CV193" s="274"/>
      <c r="CW193" s="82"/>
      <c r="CX193" s="19">
        <v>0</v>
      </c>
      <c r="CY193" s="18"/>
      <c r="CZ193" s="19"/>
      <c r="DA193" s="274"/>
      <c r="DB193" s="82"/>
      <c r="DC193" s="19">
        <v>0</v>
      </c>
      <c r="DD193" s="18"/>
      <c r="DE193" s="19"/>
      <c r="DF193" s="274"/>
      <c r="DG193" s="82"/>
      <c r="DH193" s="19">
        <v>0</v>
      </c>
      <c r="DI193" s="18"/>
      <c r="DJ193" s="19"/>
      <c r="DK193" s="274"/>
      <c r="DL193" s="82"/>
      <c r="DM193" s="19">
        <v>0</v>
      </c>
      <c r="DN193" s="18"/>
      <c r="DO193" s="19"/>
      <c r="DP193" s="274"/>
      <c r="DQ193" s="82"/>
      <c r="DR193" s="19">
        <v>0</v>
      </c>
      <c r="DS193" s="18"/>
      <c r="DT193" s="19"/>
      <c r="DU193" s="274"/>
      <c r="DV193" s="82"/>
      <c r="DW193" s="19">
        <v>0</v>
      </c>
      <c r="DX193" s="18"/>
      <c r="DY193" s="19"/>
      <c r="DZ193" s="274"/>
      <c r="EA193" s="82"/>
      <c r="EB193" s="19">
        <v>0</v>
      </c>
      <c r="EC193" s="18"/>
      <c r="ED193" s="19"/>
      <c r="EE193" s="274"/>
      <c r="EF193" s="82"/>
      <c r="EG193" s="19">
        <v>0</v>
      </c>
      <c r="EH193" s="18"/>
      <c r="EI193" s="19"/>
      <c r="EJ193" s="274"/>
      <c r="EK193" s="82"/>
      <c r="EL193" s="19">
        <f t="shared" si="1"/>
        <v>0</v>
      </c>
      <c r="EM193" s="18"/>
      <c r="EN193" s="19"/>
      <c r="EO193" s="244"/>
      <c r="ER193" s="451"/>
      <c r="ES193" s="451"/>
    </row>
    <row r="194" spans="4:149" ht="12.75" hidden="1" customHeight="1" x14ac:dyDescent="0.2">
      <c r="D194" s="244" t="s">
        <v>386</v>
      </c>
      <c r="F194" s="82"/>
      <c r="G194" s="19">
        <v>0</v>
      </c>
      <c r="H194" s="18"/>
      <c r="I194" s="19"/>
      <c r="J194" s="274"/>
      <c r="K194" s="82"/>
      <c r="L194" s="19">
        <v>0</v>
      </c>
      <c r="M194" s="18"/>
      <c r="N194" s="19"/>
      <c r="O194" s="274"/>
      <c r="P194" s="82"/>
      <c r="Q194" s="19">
        <v>0</v>
      </c>
      <c r="R194" s="18"/>
      <c r="S194" s="19"/>
      <c r="T194" s="274"/>
      <c r="U194" s="82"/>
      <c r="V194" s="19">
        <v>0</v>
      </c>
      <c r="W194" s="18"/>
      <c r="X194" s="19"/>
      <c r="Y194" s="274"/>
      <c r="Z194" s="82"/>
      <c r="AA194" s="19">
        <v>0</v>
      </c>
      <c r="AB194" s="18"/>
      <c r="AC194" s="19"/>
      <c r="AD194" s="274"/>
      <c r="AE194" s="82"/>
      <c r="AF194" s="19">
        <v>0</v>
      </c>
      <c r="AG194" s="18"/>
      <c r="AH194" s="19"/>
      <c r="AI194" s="274"/>
      <c r="AJ194" s="82"/>
      <c r="AK194" s="19">
        <v>0</v>
      </c>
      <c r="AL194" s="18"/>
      <c r="AM194" s="19"/>
      <c r="AN194" s="274"/>
      <c r="AO194" s="82"/>
      <c r="AP194" s="19">
        <v>0</v>
      </c>
      <c r="AQ194" s="18"/>
      <c r="AR194" s="19"/>
      <c r="AS194" s="274"/>
      <c r="AT194" s="82"/>
      <c r="AU194" s="19">
        <v>0</v>
      </c>
      <c r="AV194" s="18"/>
      <c r="AW194" s="19"/>
      <c r="AX194" s="274"/>
      <c r="AY194" s="82"/>
      <c r="AZ194" s="19">
        <v>0</v>
      </c>
      <c r="BA194" s="18"/>
      <c r="BB194" s="19"/>
      <c r="BC194" s="274"/>
      <c r="BD194" s="82"/>
      <c r="BE194" s="19">
        <v>0</v>
      </c>
      <c r="BF194" s="18"/>
      <c r="BG194" s="19"/>
      <c r="BH194" s="274"/>
      <c r="BI194" s="82"/>
      <c r="BJ194" s="19">
        <v>0</v>
      </c>
      <c r="BK194" s="18"/>
      <c r="BL194" s="19"/>
      <c r="BM194" s="274"/>
      <c r="BN194" s="82"/>
      <c r="BO194" s="19">
        <v>0</v>
      </c>
      <c r="BP194" s="18"/>
      <c r="BQ194" s="19"/>
      <c r="BR194" s="274"/>
      <c r="BS194" s="82"/>
      <c r="BT194" s="19">
        <f t="shared" si="0"/>
        <v>0</v>
      </c>
      <c r="BU194" s="18"/>
      <c r="BV194" s="19"/>
      <c r="BW194" s="274"/>
      <c r="BX194" s="274"/>
      <c r="BY194" s="19">
        <v>0</v>
      </c>
      <c r="BZ194" s="18"/>
      <c r="CA194" s="19"/>
      <c r="CB194" s="274"/>
      <c r="CC194" s="82"/>
      <c r="CD194" s="19">
        <v>0</v>
      </c>
      <c r="CE194" s="18"/>
      <c r="CF194" s="19"/>
      <c r="CG194" s="274"/>
      <c r="CH194" s="82"/>
      <c r="CI194" s="19">
        <v>0</v>
      </c>
      <c r="CJ194" s="18"/>
      <c r="CK194" s="19"/>
      <c r="CL194" s="274"/>
      <c r="CM194" s="82"/>
      <c r="CN194" s="19">
        <v>0</v>
      </c>
      <c r="CO194" s="18"/>
      <c r="CP194" s="19"/>
      <c r="CQ194" s="274"/>
      <c r="CR194" s="82"/>
      <c r="CS194" s="19">
        <v>0</v>
      </c>
      <c r="CT194" s="18"/>
      <c r="CU194" s="19"/>
      <c r="CV194" s="274"/>
      <c r="CW194" s="82"/>
      <c r="CX194" s="19">
        <v>0</v>
      </c>
      <c r="CY194" s="18"/>
      <c r="CZ194" s="19"/>
      <c r="DA194" s="274"/>
      <c r="DB194" s="82"/>
      <c r="DC194" s="19">
        <v>0</v>
      </c>
      <c r="DD194" s="18"/>
      <c r="DE194" s="19"/>
      <c r="DF194" s="274"/>
      <c r="DG194" s="82"/>
      <c r="DH194" s="19">
        <v>0</v>
      </c>
      <c r="DI194" s="18"/>
      <c r="DJ194" s="19"/>
      <c r="DK194" s="274"/>
      <c r="DL194" s="82"/>
      <c r="DM194" s="19">
        <v>0</v>
      </c>
      <c r="DN194" s="18"/>
      <c r="DO194" s="19"/>
      <c r="DP194" s="274"/>
      <c r="DQ194" s="82"/>
      <c r="DR194" s="19">
        <v>0</v>
      </c>
      <c r="DS194" s="18"/>
      <c r="DT194" s="19"/>
      <c r="DU194" s="274"/>
      <c r="DV194" s="82"/>
      <c r="DW194" s="19">
        <v>0</v>
      </c>
      <c r="DX194" s="18"/>
      <c r="DY194" s="19"/>
      <c r="DZ194" s="274"/>
      <c r="EA194" s="82"/>
      <c r="EB194" s="19">
        <v>0</v>
      </c>
      <c r="EC194" s="18"/>
      <c r="ED194" s="19"/>
      <c r="EE194" s="274"/>
      <c r="EF194" s="82"/>
      <c r="EG194" s="19">
        <v>0</v>
      </c>
      <c r="EH194" s="18"/>
      <c r="EI194" s="19"/>
      <c r="EJ194" s="274"/>
      <c r="EK194" s="82"/>
      <c r="EL194" s="19">
        <f t="shared" si="1"/>
        <v>0</v>
      </c>
      <c r="EM194" s="18"/>
      <c r="EN194" s="19"/>
      <c r="EO194" s="244"/>
      <c r="ER194" s="451"/>
      <c r="ES194" s="451"/>
    </row>
    <row r="195" spans="4:149" ht="12.75" hidden="1" customHeight="1" x14ac:dyDescent="0.2">
      <c r="D195" s="244" t="s">
        <v>387</v>
      </c>
      <c r="F195" s="82"/>
      <c r="G195" s="19">
        <v>0</v>
      </c>
      <c r="H195" s="18"/>
      <c r="I195" s="19"/>
      <c r="J195" s="274"/>
      <c r="K195" s="82"/>
      <c r="L195" s="19">
        <v>0</v>
      </c>
      <c r="M195" s="18"/>
      <c r="N195" s="19"/>
      <c r="O195" s="274"/>
      <c r="P195" s="82"/>
      <c r="Q195" s="19">
        <v>0</v>
      </c>
      <c r="R195" s="18"/>
      <c r="S195" s="19"/>
      <c r="T195" s="274"/>
      <c r="U195" s="82"/>
      <c r="V195" s="19">
        <v>0</v>
      </c>
      <c r="W195" s="18"/>
      <c r="X195" s="19"/>
      <c r="Y195" s="274"/>
      <c r="Z195" s="82"/>
      <c r="AA195" s="19">
        <v>0</v>
      </c>
      <c r="AB195" s="18"/>
      <c r="AC195" s="19"/>
      <c r="AD195" s="274"/>
      <c r="AE195" s="82"/>
      <c r="AF195" s="19">
        <v>0</v>
      </c>
      <c r="AG195" s="18"/>
      <c r="AH195" s="19"/>
      <c r="AI195" s="274"/>
      <c r="AJ195" s="82"/>
      <c r="AK195" s="19">
        <v>0</v>
      </c>
      <c r="AL195" s="18"/>
      <c r="AM195" s="19"/>
      <c r="AN195" s="274"/>
      <c r="AO195" s="82"/>
      <c r="AP195" s="19">
        <v>0</v>
      </c>
      <c r="AQ195" s="18"/>
      <c r="AR195" s="19"/>
      <c r="AS195" s="274"/>
      <c r="AT195" s="82"/>
      <c r="AU195" s="19">
        <v>0</v>
      </c>
      <c r="AV195" s="18"/>
      <c r="AW195" s="19"/>
      <c r="AX195" s="274"/>
      <c r="AY195" s="82"/>
      <c r="AZ195" s="19">
        <v>0</v>
      </c>
      <c r="BA195" s="18"/>
      <c r="BB195" s="19"/>
      <c r="BC195" s="274"/>
      <c r="BD195" s="82"/>
      <c r="BE195" s="19">
        <v>0</v>
      </c>
      <c r="BF195" s="18"/>
      <c r="BG195" s="19"/>
      <c r="BH195" s="274"/>
      <c r="BI195" s="82"/>
      <c r="BJ195" s="19">
        <v>0</v>
      </c>
      <c r="BK195" s="18"/>
      <c r="BL195" s="19"/>
      <c r="BM195" s="274"/>
      <c r="BN195" s="82"/>
      <c r="BO195" s="19">
        <v>0</v>
      </c>
      <c r="BP195" s="18"/>
      <c r="BQ195" s="19"/>
      <c r="BR195" s="274"/>
      <c r="BS195" s="82"/>
      <c r="BT195" s="19">
        <f t="shared" si="0"/>
        <v>0</v>
      </c>
      <c r="BU195" s="18"/>
      <c r="BV195" s="19"/>
      <c r="BW195" s="274"/>
      <c r="BX195" s="274"/>
      <c r="BY195" s="19">
        <v>0</v>
      </c>
      <c r="BZ195" s="18"/>
      <c r="CA195" s="19"/>
      <c r="CB195" s="274"/>
      <c r="CC195" s="82"/>
      <c r="CD195" s="19">
        <v>0</v>
      </c>
      <c r="CE195" s="18"/>
      <c r="CF195" s="19"/>
      <c r="CG195" s="274"/>
      <c r="CH195" s="82"/>
      <c r="CI195" s="19">
        <v>0</v>
      </c>
      <c r="CJ195" s="18"/>
      <c r="CK195" s="19"/>
      <c r="CL195" s="274"/>
      <c r="CM195" s="82"/>
      <c r="CN195" s="19">
        <v>0</v>
      </c>
      <c r="CO195" s="18"/>
      <c r="CP195" s="19"/>
      <c r="CQ195" s="274"/>
      <c r="CR195" s="82"/>
      <c r="CS195" s="19">
        <v>0</v>
      </c>
      <c r="CT195" s="18"/>
      <c r="CU195" s="19"/>
      <c r="CV195" s="274"/>
      <c r="CW195" s="82"/>
      <c r="CX195" s="19">
        <v>0</v>
      </c>
      <c r="CY195" s="18"/>
      <c r="CZ195" s="19"/>
      <c r="DA195" s="274"/>
      <c r="DB195" s="82"/>
      <c r="DC195" s="19">
        <v>0</v>
      </c>
      <c r="DD195" s="18"/>
      <c r="DE195" s="19"/>
      <c r="DF195" s="274"/>
      <c r="DG195" s="82"/>
      <c r="DH195" s="19">
        <v>0</v>
      </c>
      <c r="DI195" s="18"/>
      <c r="DJ195" s="19"/>
      <c r="DK195" s="274"/>
      <c r="DL195" s="82"/>
      <c r="DM195" s="19">
        <v>0</v>
      </c>
      <c r="DN195" s="18"/>
      <c r="DO195" s="19"/>
      <c r="DP195" s="274"/>
      <c r="DQ195" s="82"/>
      <c r="DR195" s="19">
        <v>0</v>
      </c>
      <c r="DS195" s="18"/>
      <c r="DT195" s="19"/>
      <c r="DU195" s="274"/>
      <c r="DV195" s="82"/>
      <c r="DW195" s="19">
        <v>0</v>
      </c>
      <c r="DX195" s="18"/>
      <c r="DY195" s="19"/>
      <c r="DZ195" s="274"/>
      <c r="EA195" s="82"/>
      <c r="EB195" s="19">
        <v>0</v>
      </c>
      <c r="EC195" s="18"/>
      <c r="ED195" s="19"/>
      <c r="EE195" s="274"/>
      <c r="EF195" s="82"/>
      <c r="EG195" s="19">
        <v>0</v>
      </c>
      <c r="EH195" s="18"/>
      <c r="EI195" s="19"/>
      <c r="EJ195" s="274"/>
      <c r="EK195" s="82"/>
      <c r="EL195" s="19">
        <f t="shared" si="1"/>
        <v>0</v>
      </c>
      <c r="EM195" s="18"/>
      <c r="EN195" s="19"/>
      <c r="EO195" s="244"/>
      <c r="ER195" s="451"/>
      <c r="ES195" s="451"/>
    </row>
    <row r="196" spans="4:149" ht="12.75" hidden="1" customHeight="1" x14ac:dyDescent="0.2">
      <c r="D196" s="244" t="s">
        <v>388</v>
      </c>
      <c r="F196" s="82"/>
      <c r="G196" s="19">
        <v>0</v>
      </c>
      <c r="H196" s="18"/>
      <c r="I196" s="19"/>
      <c r="J196" s="274"/>
      <c r="K196" s="82"/>
      <c r="L196" s="19">
        <v>0</v>
      </c>
      <c r="M196" s="18"/>
      <c r="N196" s="19"/>
      <c r="O196" s="274"/>
      <c r="P196" s="82"/>
      <c r="Q196" s="19">
        <v>0</v>
      </c>
      <c r="R196" s="18"/>
      <c r="S196" s="19"/>
      <c r="T196" s="274"/>
      <c r="U196" s="82"/>
      <c r="V196" s="19">
        <v>0</v>
      </c>
      <c r="W196" s="18"/>
      <c r="X196" s="19"/>
      <c r="Y196" s="274"/>
      <c r="Z196" s="82"/>
      <c r="AA196" s="19">
        <v>0</v>
      </c>
      <c r="AB196" s="18"/>
      <c r="AC196" s="19"/>
      <c r="AD196" s="274"/>
      <c r="AE196" s="82"/>
      <c r="AF196" s="19">
        <v>0</v>
      </c>
      <c r="AG196" s="18"/>
      <c r="AH196" s="19"/>
      <c r="AI196" s="274"/>
      <c r="AJ196" s="82"/>
      <c r="AK196" s="19">
        <v>0</v>
      </c>
      <c r="AL196" s="18"/>
      <c r="AM196" s="19"/>
      <c r="AN196" s="274"/>
      <c r="AO196" s="82"/>
      <c r="AP196" s="19">
        <v>0</v>
      </c>
      <c r="AQ196" s="18"/>
      <c r="AR196" s="19"/>
      <c r="AS196" s="274"/>
      <c r="AT196" s="82"/>
      <c r="AU196" s="19">
        <v>0</v>
      </c>
      <c r="AV196" s="18"/>
      <c r="AW196" s="19"/>
      <c r="AX196" s="274"/>
      <c r="AY196" s="82"/>
      <c r="AZ196" s="19">
        <v>0</v>
      </c>
      <c r="BA196" s="18"/>
      <c r="BB196" s="19"/>
      <c r="BC196" s="274"/>
      <c r="BD196" s="82"/>
      <c r="BE196" s="19">
        <v>0</v>
      </c>
      <c r="BF196" s="18"/>
      <c r="BG196" s="19"/>
      <c r="BH196" s="274"/>
      <c r="BI196" s="82"/>
      <c r="BJ196" s="19">
        <v>0</v>
      </c>
      <c r="BK196" s="18"/>
      <c r="BL196" s="19"/>
      <c r="BM196" s="274"/>
      <c r="BN196" s="82"/>
      <c r="BO196" s="19">
        <v>0</v>
      </c>
      <c r="BP196" s="18"/>
      <c r="BQ196" s="19"/>
      <c r="BR196" s="274"/>
      <c r="BS196" s="82"/>
      <c r="BT196" s="19">
        <f t="shared" si="0"/>
        <v>0</v>
      </c>
      <c r="BU196" s="18"/>
      <c r="BV196" s="19"/>
      <c r="BW196" s="274"/>
      <c r="BX196" s="274"/>
      <c r="BY196" s="19">
        <v>0</v>
      </c>
      <c r="BZ196" s="18"/>
      <c r="CA196" s="19"/>
      <c r="CB196" s="274"/>
      <c r="CC196" s="82"/>
      <c r="CD196" s="19">
        <v>0</v>
      </c>
      <c r="CE196" s="18"/>
      <c r="CF196" s="19"/>
      <c r="CG196" s="274"/>
      <c r="CH196" s="82"/>
      <c r="CI196" s="19">
        <v>0</v>
      </c>
      <c r="CJ196" s="18"/>
      <c r="CK196" s="19"/>
      <c r="CL196" s="274"/>
      <c r="CM196" s="82"/>
      <c r="CN196" s="19">
        <v>0</v>
      </c>
      <c r="CO196" s="18"/>
      <c r="CP196" s="19"/>
      <c r="CQ196" s="274"/>
      <c r="CR196" s="82"/>
      <c r="CS196" s="19">
        <v>0</v>
      </c>
      <c r="CT196" s="18"/>
      <c r="CU196" s="19"/>
      <c r="CV196" s="274"/>
      <c r="CW196" s="82"/>
      <c r="CX196" s="19">
        <v>0</v>
      </c>
      <c r="CY196" s="18"/>
      <c r="CZ196" s="19"/>
      <c r="DA196" s="274"/>
      <c r="DB196" s="82"/>
      <c r="DC196" s="19">
        <v>0</v>
      </c>
      <c r="DD196" s="18"/>
      <c r="DE196" s="19"/>
      <c r="DF196" s="274"/>
      <c r="DG196" s="82"/>
      <c r="DH196" s="19">
        <v>0</v>
      </c>
      <c r="DI196" s="18"/>
      <c r="DJ196" s="19"/>
      <c r="DK196" s="274"/>
      <c r="DL196" s="82"/>
      <c r="DM196" s="19">
        <v>0</v>
      </c>
      <c r="DN196" s="18"/>
      <c r="DO196" s="19"/>
      <c r="DP196" s="274"/>
      <c r="DQ196" s="82"/>
      <c r="DR196" s="19">
        <v>0</v>
      </c>
      <c r="DS196" s="18"/>
      <c r="DT196" s="19"/>
      <c r="DU196" s="274"/>
      <c r="DV196" s="82"/>
      <c r="DW196" s="19">
        <v>0</v>
      </c>
      <c r="DX196" s="18"/>
      <c r="DY196" s="19"/>
      <c r="DZ196" s="274"/>
      <c r="EA196" s="82"/>
      <c r="EB196" s="19">
        <v>0</v>
      </c>
      <c r="EC196" s="18"/>
      <c r="ED196" s="19"/>
      <c r="EE196" s="274"/>
      <c r="EF196" s="82"/>
      <c r="EG196" s="19">
        <v>0</v>
      </c>
      <c r="EH196" s="18"/>
      <c r="EI196" s="19"/>
      <c r="EJ196" s="274"/>
      <c r="EK196" s="82"/>
      <c r="EL196" s="19">
        <f t="shared" si="1"/>
        <v>0</v>
      </c>
      <c r="EM196" s="18"/>
      <c r="EN196" s="19"/>
      <c r="EO196" s="244"/>
      <c r="ER196" s="451"/>
      <c r="ES196" s="451"/>
    </row>
    <row r="197" spans="4:149" x14ac:dyDescent="0.2">
      <c r="D197" s="244" t="s">
        <v>389</v>
      </c>
      <c r="F197" s="276"/>
      <c r="G197" s="37">
        <v>0</v>
      </c>
      <c r="H197" s="36"/>
      <c r="I197" s="19"/>
      <c r="J197" s="274"/>
      <c r="K197" s="276"/>
      <c r="L197" s="37">
        <v>0</v>
      </c>
      <c r="M197" s="36"/>
      <c r="N197" s="19"/>
      <c r="O197" s="274"/>
      <c r="P197" s="276"/>
      <c r="Q197" s="37">
        <v>0</v>
      </c>
      <c r="R197" s="36"/>
      <c r="S197" s="19"/>
      <c r="T197" s="274"/>
      <c r="U197" s="276"/>
      <c r="V197" s="37">
        <v>0</v>
      </c>
      <c r="W197" s="36"/>
      <c r="X197" s="19"/>
      <c r="Y197" s="274"/>
      <c r="Z197" s="276"/>
      <c r="AA197" s="37">
        <v>0</v>
      </c>
      <c r="AB197" s="36"/>
      <c r="AC197" s="19"/>
      <c r="AD197" s="274"/>
      <c r="AE197" s="276"/>
      <c r="AF197" s="37">
        <v>0</v>
      </c>
      <c r="AG197" s="36"/>
      <c r="AH197" s="19"/>
      <c r="AI197" s="274"/>
      <c r="AJ197" s="276"/>
      <c r="AK197" s="37">
        <v>0</v>
      </c>
      <c r="AL197" s="36"/>
      <c r="AM197" s="19"/>
      <c r="AN197" s="274"/>
      <c r="AO197" s="276"/>
      <c r="AP197" s="37">
        <v>0</v>
      </c>
      <c r="AQ197" s="36"/>
      <c r="AR197" s="19"/>
      <c r="AS197" s="274"/>
      <c r="AT197" s="231"/>
      <c r="AU197" s="37">
        <v>0</v>
      </c>
      <c r="AV197" s="36"/>
      <c r="AW197" s="19"/>
      <c r="AX197" s="274"/>
      <c r="AY197" s="231"/>
      <c r="AZ197" s="37">
        <v>0</v>
      </c>
      <c r="BA197" s="36"/>
      <c r="BB197" s="19"/>
      <c r="BC197" s="274"/>
      <c r="BD197" s="276"/>
      <c r="BE197" s="37">
        <v>0</v>
      </c>
      <c r="BF197" s="36"/>
      <c r="BG197" s="19"/>
      <c r="BH197" s="274"/>
      <c r="BI197" s="231"/>
      <c r="BJ197" s="37">
        <v>0</v>
      </c>
      <c r="BK197" s="36"/>
      <c r="BL197" s="19"/>
      <c r="BM197" s="274"/>
      <c r="BN197" s="231"/>
      <c r="BO197" s="37">
        <v>0</v>
      </c>
      <c r="BP197" s="36"/>
      <c r="BQ197" s="19"/>
      <c r="BR197" s="274"/>
      <c r="BS197" s="276"/>
      <c r="BT197" s="37">
        <f>SUM(L197:BO197)</f>
        <v>0</v>
      </c>
      <c r="BU197" s="36"/>
      <c r="BV197" s="19"/>
      <c r="BW197" s="274"/>
      <c r="BX197" s="276"/>
      <c r="BY197" s="37">
        <v>10627</v>
      </c>
      <c r="BZ197" s="36"/>
      <c r="CA197" s="19"/>
      <c r="CB197" s="274"/>
      <c r="CC197" s="276"/>
      <c r="CD197" s="37">
        <v>0</v>
      </c>
      <c r="CE197" s="36"/>
      <c r="CF197" s="19"/>
      <c r="CG197" s="274"/>
      <c r="CH197" s="276"/>
      <c r="CI197" s="37">
        <v>0</v>
      </c>
      <c r="CJ197" s="36"/>
      <c r="CK197" s="19"/>
      <c r="CL197" s="274"/>
      <c r="CM197" s="276"/>
      <c r="CN197" s="37">
        <v>0</v>
      </c>
      <c r="CO197" s="36"/>
      <c r="CP197" s="19"/>
      <c r="CQ197" s="274"/>
      <c r="CR197" s="276"/>
      <c r="CS197" s="37">
        <v>0</v>
      </c>
      <c r="CT197" s="36"/>
      <c r="CU197" s="19"/>
      <c r="CV197" s="274"/>
      <c r="CW197" s="276"/>
      <c r="CX197" s="37">
        <v>0</v>
      </c>
      <c r="CY197" s="36"/>
      <c r="CZ197" s="19"/>
      <c r="DA197" s="274"/>
      <c r="DB197" s="276"/>
      <c r="DC197" s="37">
        <v>10627</v>
      </c>
      <c r="DD197" s="36"/>
      <c r="DE197" s="19"/>
      <c r="DF197" s="274"/>
      <c r="DG197" s="276"/>
      <c r="DH197" s="37">
        <v>0</v>
      </c>
      <c r="DI197" s="36"/>
      <c r="DJ197" s="19"/>
      <c r="DK197" s="274"/>
      <c r="DL197" s="231"/>
      <c r="DM197" s="37">
        <v>0</v>
      </c>
      <c r="DN197" s="36"/>
      <c r="DO197" s="19"/>
      <c r="DP197" s="274"/>
      <c r="DQ197" s="231"/>
      <c r="DR197" s="37">
        <v>0</v>
      </c>
      <c r="DS197" s="36"/>
      <c r="DT197" s="19"/>
      <c r="DU197" s="274"/>
      <c r="DV197" s="276"/>
      <c r="DW197" s="37">
        <v>0</v>
      </c>
      <c r="DX197" s="36"/>
      <c r="DY197" s="19"/>
      <c r="DZ197" s="274"/>
      <c r="EA197" s="231"/>
      <c r="EB197" s="37">
        <v>0</v>
      </c>
      <c r="EC197" s="36"/>
      <c r="ED197" s="19"/>
      <c r="EE197" s="274"/>
      <c r="EF197" s="231"/>
      <c r="EG197" s="37">
        <v>0</v>
      </c>
      <c r="EH197" s="36"/>
      <c r="EI197" s="19"/>
      <c r="EJ197" s="274"/>
      <c r="EK197" s="276"/>
      <c r="EL197" s="37">
        <f>SUM(CD197:EG197)</f>
        <v>10627</v>
      </c>
      <c r="EM197" s="36"/>
      <c r="EN197" s="19"/>
      <c r="EO197" s="244"/>
      <c r="ER197" s="451"/>
      <c r="ES197" s="451"/>
    </row>
    <row r="198" spans="4:149" ht="12.75" hidden="1" customHeight="1" x14ac:dyDescent="0.2">
      <c r="D198" s="244" t="s">
        <v>390</v>
      </c>
      <c r="F198" s="82"/>
      <c r="G198" s="19">
        <v>0</v>
      </c>
      <c r="H198" s="18"/>
      <c r="I198" s="19"/>
      <c r="J198" s="274"/>
      <c r="K198" s="82"/>
      <c r="L198" s="19">
        <v>0</v>
      </c>
      <c r="M198" s="18"/>
      <c r="N198" s="19"/>
      <c r="O198" s="274"/>
      <c r="P198" s="82"/>
      <c r="Q198" s="19">
        <v>0</v>
      </c>
      <c r="R198" s="18"/>
      <c r="S198" s="19"/>
      <c r="T198" s="274"/>
      <c r="U198" s="82"/>
      <c r="V198" s="19">
        <v>0</v>
      </c>
      <c r="W198" s="18"/>
      <c r="X198" s="19"/>
      <c r="Y198" s="274"/>
      <c r="Z198" s="82"/>
      <c r="AA198" s="19">
        <v>0</v>
      </c>
      <c r="AB198" s="18"/>
      <c r="AC198" s="19"/>
      <c r="AD198" s="274"/>
      <c r="AE198" s="82"/>
      <c r="AF198" s="19">
        <v>0</v>
      </c>
      <c r="AG198" s="18"/>
      <c r="AH198" s="19"/>
      <c r="AI198" s="274"/>
      <c r="AJ198" s="82"/>
      <c r="AK198" s="19">
        <v>0</v>
      </c>
      <c r="AL198" s="18"/>
      <c r="AM198" s="19"/>
      <c r="AN198" s="274"/>
      <c r="AO198" s="82"/>
      <c r="AP198" s="19">
        <v>0</v>
      </c>
      <c r="AQ198" s="18"/>
      <c r="AR198" s="19"/>
      <c r="AS198" s="274"/>
      <c r="AT198" s="82"/>
      <c r="AU198" s="19">
        <v>0</v>
      </c>
      <c r="AV198" s="18"/>
      <c r="AW198" s="19"/>
      <c r="AX198" s="274"/>
      <c r="AY198" s="82"/>
      <c r="AZ198" s="19">
        <v>0</v>
      </c>
      <c r="BA198" s="18"/>
      <c r="BB198" s="19"/>
      <c r="BC198" s="274"/>
      <c r="BD198" s="82"/>
      <c r="BE198" s="19">
        <v>0</v>
      </c>
      <c r="BF198" s="18"/>
      <c r="BG198" s="19"/>
      <c r="BH198" s="274"/>
      <c r="BI198" s="82"/>
      <c r="BJ198" s="19">
        <v>0</v>
      </c>
      <c r="BK198" s="18"/>
      <c r="BL198" s="19"/>
      <c r="BM198" s="274"/>
      <c r="BN198" s="82"/>
      <c r="BO198" s="19">
        <v>0</v>
      </c>
      <c r="BP198" s="18"/>
      <c r="BQ198" s="19"/>
      <c r="BR198" s="274"/>
      <c r="BS198" s="274"/>
      <c r="BT198" s="19">
        <f t="shared" si="0"/>
        <v>0</v>
      </c>
      <c r="BU198" s="18"/>
      <c r="BV198" s="19"/>
      <c r="BW198" s="274"/>
      <c r="BX198" s="274"/>
      <c r="BY198" s="19">
        <f>SUM(Q198:BT198)</f>
        <v>0</v>
      </c>
      <c r="BZ198" s="18"/>
      <c r="CA198" s="19"/>
      <c r="CB198" s="274"/>
      <c r="CC198" s="82"/>
      <c r="CD198" s="19">
        <v>0</v>
      </c>
      <c r="CE198" s="18"/>
      <c r="CF198" s="19"/>
      <c r="CG198" s="274"/>
      <c r="CH198" s="82"/>
      <c r="CI198" s="19">
        <v>0</v>
      </c>
      <c r="CJ198" s="18"/>
      <c r="CK198" s="19"/>
      <c r="CL198" s="274"/>
      <c r="CM198" s="82"/>
      <c r="CN198" s="19">
        <v>0</v>
      </c>
      <c r="CO198" s="18"/>
      <c r="CP198" s="19"/>
      <c r="CQ198" s="274"/>
      <c r="CR198" s="82"/>
      <c r="CS198" s="19">
        <v>0</v>
      </c>
      <c r="CT198" s="18"/>
      <c r="CU198" s="19"/>
      <c r="CV198" s="274"/>
      <c r="CW198" s="82"/>
      <c r="CX198" s="19">
        <v>0</v>
      </c>
      <c r="CY198" s="18"/>
      <c r="CZ198" s="19"/>
      <c r="DA198" s="274"/>
      <c r="DB198" s="82"/>
      <c r="DC198" s="19">
        <v>0</v>
      </c>
      <c r="DD198" s="18"/>
      <c r="DE198" s="19"/>
      <c r="DF198" s="274"/>
      <c r="DG198" s="82"/>
      <c r="DH198" s="19">
        <v>0</v>
      </c>
      <c r="DI198" s="18"/>
      <c r="DJ198" s="19"/>
      <c r="DK198" s="274"/>
      <c r="DL198" s="82"/>
      <c r="DM198" s="19">
        <v>0</v>
      </c>
      <c r="DN198" s="18"/>
      <c r="DO198" s="19"/>
      <c r="DP198" s="274"/>
      <c r="DQ198" s="82"/>
      <c r="DR198" s="19">
        <v>0</v>
      </c>
      <c r="DS198" s="18"/>
      <c r="DT198" s="19"/>
      <c r="DU198" s="274"/>
      <c r="DV198" s="82"/>
      <c r="DW198" s="19">
        <v>0</v>
      </c>
      <c r="DX198" s="18"/>
      <c r="DY198" s="19"/>
      <c r="DZ198" s="274"/>
      <c r="EA198" s="82"/>
      <c r="EB198" s="19">
        <v>0</v>
      </c>
      <c r="EC198" s="18"/>
      <c r="ED198" s="19"/>
      <c r="EE198" s="274"/>
      <c r="EF198" s="82"/>
      <c r="EG198" s="19">
        <v>0</v>
      </c>
      <c r="EH198" s="18"/>
      <c r="EI198" s="19"/>
      <c r="EJ198" s="274"/>
      <c r="EK198" s="274"/>
      <c r="EL198" s="19">
        <f t="shared" si="1"/>
        <v>0</v>
      </c>
      <c r="EM198" s="18"/>
      <c r="EN198" s="19"/>
      <c r="EO198" s="244"/>
      <c r="ER198" s="451"/>
      <c r="ES198" s="451"/>
    </row>
    <row r="199" spans="4:149" ht="12.75" hidden="1" customHeight="1" x14ac:dyDescent="0.2">
      <c r="D199" s="244" t="s">
        <v>391</v>
      </c>
      <c r="F199" s="276"/>
      <c r="G199" s="37">
        <v>0</v>
      </c>
      <c r="H199" s="36"/>
      <c r="I199" s="19"/>
      <c r="J199" s="274"/>
      <c r="K199" s="276"/>
      <c r="L199" s="37">
        <v>0</v>
      </c>
      <c r="M199" s="36"/>
      <c r="N199" s="19"/>
      <c r="O199" s="274"/>
      <c r="P199" s="276"/>
      <c r="Q199" s="37">
        <v>0</v>
      </c>
      <c r="R199" s="36"/>
      <c r="S199" s="19"/>
      <c r="T199" s="274"/>
      <c r="U199" s="276"/>
      <c r="V199" s="37">
        <v>0</v>
      </c>
      <c r="W199" s="36"/>
      <c r="X199" s="19"/>
      <c r="Y199" s="274"/>
      <c r="Z199" s="276"/>
      <c r="AA199" s="37">
        <v>0</v>
      </c>
      <c r="AB199" s="36"/>
      <c r="AC199" s="19"/>
      <c r="AD199" s="274"/>
      <c r="AE199" s="276"/>
      <c r="AF199" s="37">
        <v>0</v>
      </c>
      <c r="AG199" s="36"/>
      <c r="AH199" s="19"/>
      <c r="AI199" s="274"/>
      <c r="AJ199" s="231"/>
      <c r="AK199" s="37">
        <v>0</v>
      </c>
      <c r="AL199" s="36"/>
      <c r="AM199" s="19"/>
      <c r="AN199" s="274"/>
      <c r="AO199" s="231"/>
      <c r="AP199" s="37">
        <v>0</v>
      </c>
      <c r="AQ199" s="36"/>
      <c r="AR199" s="19"/>
      <c r="AS199" s="274"/>
      <c r="AT199" s="231"/>
      <c r="AU199" s="37">
        <v>0</v>
      </c>
      <c r="AV199" s="36"/>
      <c r="AW199" s="19"/>
      <c r="AX199" s="274"/>
      <c r="AY199" s="231"/>
      <c r="AZ199" s="37">
        <v>0</v>
      </c>
      <c r="BA199" s="36"/>
      <c r="BB199" s="19"/>
      <c r="BC199" s="274"/>
      <c r="BD199" s="231"/>
      <c r="BE199" s="37">
        <v>0</v>
      </c>
      <c r="BF199" s="36"/>
      <c r="BG199" s="19"/>
      <c r="BH199" s="274"/>
      <c r="BI199" s="231"/>
      <c r="BJ199" s="37">
        <v>0</v>
      </c>
      <c r="BK199" s="36"/>
      <c r="BL199" s="19"/>
      <c r="BM199" s="274"/>
      <c r="BN199" s="231"/>
      <c r="BO199" s="37">
        <v>0</v>
      </c>
      <c r="BP199" s="36"/>
      <c r="BQ199" s="19"/>
      <c r="BR199" s="274"/>
      <c r="BS199" s="231"/>
      <c r="BT199" s="37">
        <f t="shared" si="0"/>
        <v>0</v>
      </c>
      <c r="BU199" s="36"/>
      <c r="BV199" s="19"/>
      <c r="BW199" s="274"/>
      <c r="BX199" s="231"/>
      <c r="BY199" s="37">
        <f>SUM(Q199:BT199)</f>
        <v>0</v>
      </c>
      <c r="BZ199" s="36"/>
      <c r="CA199" s="19"/>
      <c r="CB199" s="274"/>
      <c r="CC199" s="276"/>
      <c r="CD199" s="37">
        <v>0</v>
      </c>
      <c r="CE199" s="36"/>
      <c r="CF199" s="19"/>
      <c r="CG199" s="274"/>
      <c r="CH199" s="276"/>
      <c r="CI199" s="37">
        <v>0</v>
      </c>
      <c r="CJ199" s="36"/>
      <c r="CK199" s="19"/>
      <c r="CL199" s="274"/>
      <c r="CM199" s="276"/>
      <c r="CN199" s="37">
        <v>0</v>
      </c>
      <c r="CO199" s="36"/>
      <c r="CP199" s="19"/>
      <c r="CQ199" s="274"/>
      <c r="CR199" s="276"/>
      <c r="CS199" s="37">
        <v>0</v>
      </c>
      <c r="CT199" s="36"/>
      <c r="CU199" s="19"/>
      <c r="CV199" s="274"/>
      <c r="CW199" s="276"/>
      <c r="CX199" s="37">
        <v>0</v>
      </c>
      <c r="CY199" s="36"/>
      <c r="CZ199" s="19"/>
      <c r="DA199" s="274"/>
      <c r="DB199" s="231"/>
      <c r="DC199" s="37">
        <v>0</v>
      </c>
      <c r="DD199" s="36"/>
      <c r="DE199" s="19"/>
      <c r="DF199" s="274"/>
      <c r="DG199" s="231"/>
      <c r="DH199" s="37">
        <v>0</v>
      </c>
      <c r="DI199" s="36"/>
      <c r="DJ199" s="19"/>
      <c r="DK199" s="274"/>
      <c r="DL199" s="231"/>
      <c r="DM199" s="37">
        <v>0</v>
      </c>
      <c r="DN199" s="36"/>
      <c r="DO199" s="19"/>
      <c r="DP199" s="274"/>
      <c r="DQ199" s="231"/>
      <c r="DR199" s="37">
        <v>0</v>
      </c>
      <c r="DS199" s="36"/>
      <c r="DT199" s="19"/>
      <c r="DU199" s="274"/>
      <c r="DV199" s="231"/>
      <c r="DW199" s="37">
        <v>0</v>
      </c>
      <c r="DX199" s="36"/>
      <c r="DY199" s="19"/>
      <c r="DZ199" s="274"/>
      <c r="EA199" s="231"/>
      <c r="EB199" s="37">
        <v>0</v>
      </c>
      <c r="EC199" s="36"/>
      <c r="ED199" s="19"/>
      <c r="EE199" s="274"/>
      <c r="EF199" s="231"/>
      <c r="EG199" s="37">
        <v>0</v>
      </c>
      <c r="EH199" s="36"/>
      <c r="EI199" s="19"/>
      <c r="EJ199" s="274"/>
      <c r="EK199" s="231"/>
      <c r="EL199" s="37">
        <f t="shared" si="1"/>
        <v>0</v>
      </c>
      <c r="EM199" s="36"/>
      <c r="EN199" s="19"/>
      <c r="EO199" s="244"/>
      <c r="ER199" s="451"/>
      <c r="ES199" s="451"/>
    </row>
    <row r="200" spans="4:149" hidden="1" x14ac:dyDescent="0.2">
      <c r="D200" s="244"/>
      <c r="G200" s="19"/>
      <c r="H200" s="19"/>
      <c r="I200" s="19"/>
      <c r="J200" s="274"/>
      <c r="K200" s="19"/>
      <c r="L200" s="19"/>
      <c r="M200" s="19"/>
      <c r="N200" s="19"/>
      <c r="O200" s="274"/>
      <c r="P200" s="19"/>
      <c r="Q200" s="19"/>
      <c r="R200" s="19"/>
      <c r="S200" s="19"/>
      <c r="T200" s="274"/>
      <c r="U200" s="19"/>
      <c r="V200" s="19"/>
      <c r="W200" s="19"/>
      <c r="X200" s="19"/>
      <c r="Y200" s="274"/>
      <c r="Z200" s="19"/>
      <c r="AA200" s="19"/>
      <c r="AB200" s="19"/>
      <c r="AC200" s="19"/>
      <c r="AD200" s="274"/>
      <c r="AE200" s="19"/>
      <c r="AF200" s="19"/>
      <c r="AG200" s="19"/>
      <c r="AH200" s="19"/>
      <c r="AI200" s="274"/>
      <c r="AJ200" s="19"/>
      <c r="AK200" s="19"/>
      <c r="AL200" s="19"/>
      <c r="AM200" s="19"/>
      <c r="AN200" s="274"/>
      <c r="AO200" s="19"/>
      <c r="AP200" s="19"/>
      <c r="AQ200" s="19"/>
      <c r="AR200" s="19"/>
      <c r="AS200" s="274"/>
      <c r="AT200" s="19"/>
      <c r="AU200" s="19"/>
      <c r="AV200" s="19"/>
      <c r="AW200" s="19"/>
      <c r="AX200" s="274"/>
      <c r="AY200" s="19"/>
      <c r="AZ200" s="19"/>
      <c r="BA200" s="19"/>
      <c r="BB200" s="19"/>
      <c r="BC200" s="274"/>
      <c r="BD200" s="19"/>
      <c r="BE200" s="19"/>
      <c r="BF200" s="19"/>
      <c r="BG200" s="19"/>
      <c r="BH200" s="274"/>
      <c r="BI200" s="19"/>
      <c r="BJ200" s="19"/>
      <c r="BK200" s="19"/>
      <c r="BL200" s="19"/>
      <c r="BM200" s="274"/>
      <c r="BN200" s="19"/>
      <c r="BO200" s="19"/>
      <c r="BP200" s="19"/>
      <c r="BQ200" s="19"/>
      <c r="BR200" s="274"/>
      <c r="BS200" s="19"/>
      <c r="BT200" s="19"/>
      <c r="BU200" s="19"/>
      <c r="BV200" s="19"/>
      <c r="BW200" s="274"/>
      <c r="BX200" s="19"/>
      <c r="BY200" s="19"/>
      <c r="BZ200" s="19"/>
      <c r="CA200" s="19"/>
      <c r="CB200" s="274"/>
      <c r="CC200" s="19"/>
      <c r="CD200" s="19"/>
      <c r="CE200" s="19"/>
      <c r="CF200" s="19"/>
      <c r="CG200" s="274"/>
      <c r="CH200" s="19"/>
      <c r="CI200" s="19"/>
      <c r="CJ200" s="19"/>
      <c r="CK200" s="19"/>
      <c r="CL200" s="274"/>
      <c r="CM200" s="19"/>
      <c r="CN200" s="19"/>
      <c r="CO200" s="19"/>
      <c r="CP200" s="19"/>
      <c r="CQ200" s="274"/>
      <c r="CR200" s="19"/>
      <c r="CS200" s="19"/>
      <c r="CT200" s="19"/>
      <c r="CU200" s="19"/>
      <c r="CV200" s="274"/>
      <c r="CW200" s="19"/>
      <c r="CX200" s="19"/>
      <c r="CY200" s="19"/>
      <c r="CZ200" s="19"/>
      <c r="DA200" s="274"/>
      <c r="DB200" s="19"/>
      <c r="DC200" s="19"/>
      <c r="DD200" s="19"/>
      <c r="DE200" s="19"/>
      <c r="DF200" s="274"/>
      <c r="DG200" s="19"/>
      <c r="DH200" s="19"/>
      <c r="DI200" s="19"/>
      <c r="DJ200" s="19"/>
      <c r="DK200" s="274"/>
      <c r="DL200" s="19"/>
      <c r="DM200" s="19"/>
      <c r="DN200" s="19"/>
      <c r="DO200" s="19"/>
      <c r="DP200" s="274"/>
      <c r="DQ200" s="19"/>
      <c r="DR200" s="19"/>
      <c r="DS200" s="19"/>
      <c r="DT200" s="19"/>
      <c r="DU200" s="274"/>
      <c r="DV200" s="19"/>
      <c r="DW200" s="19"/>
      <c r="DX200" s="19"/>
      <c r="DY200" s="19"/>
      <c r="DZ200" s="274"/>
      <c r="EA200" s="19"/>
      <c r="EB200" s="19"/>
      <c r="EC200" s="19"/>
      <c r="ED200" s="19"/>
      <c r="EE200" s="274"/>
      <c r="EF200" s="19"/>
      <c r="EG200" s="19"/>
      <c r="EH200" s="19"/>
      <c r="EI200" s="19"/>
      <c r="EJ200" s="274"/>
      <c r="EK200" s="19"/>
      <c r="EL200" s="19"/>
      <c r="EM200" s="19"/>
      <c r="EN200" s="19"/>
      <c r="EO200" s="244"/>
      <c r="ER200" s="451"/>
      <c r="ES200" s="451"/>
    </row>
    <row r="201" spans="4:149" hidden="1" x14ac:dyDescent="0.2">
      <c r="D201" s="244" t="s">
        <v>392</v>
      </c>
      <c r="G201" s="19">
        <f>SUM(G202:G208)</f>
        <v>0</v>
      </c>
      <c r="H201" s="19"/>
      <c r="I201" s="19"/>
      <c r="J201" s="274"/>
      <c r="L201" s="19">
        <f>SUM(L202:L208)</f>
        <v>0</v>
      </c>
      <c r="M201" s="19"/>
      <c r="N201" s="19"/>
      <c r="O201" s="274"/>
      <c r="Q201" s="19">
        <f>SUM(Q202:Q208)</f>
        <v>0</v>
      </c>
      <c r="R201" s="19"/>
      <c r="S201" s="19"/>
      <c r="T201" s="274"/>
      <c r="V201" s="19">
        <f>SUM(V202:V208)</f>
        <v>0</v>
      </c>
      <c r="W201" s="19"/>
      <c r="X201" s="19"/>
      <c r="Y201" s="274"/>
      <c r="AA201" s="19">
        <f>SUM(AA202:AA208)</f>
        <v>0</v>
      </c>
      <c r="AB201" s="19"/>
      <c r="AC201" s="19"/>
      <c r="AD201" s="274"/>
      <c r="AF201" s="19">
        <f>SUM(AF202:AF208)</f>
        <v>0</v>
      </c>
      <c r="AG201" s="19"/>
      <c r="AH201" s="19"/>
      <c r="AI201" s="274"/>
      <c r="AK201" s="19">
        <f>SUM(AK202:AK208)</f>
        <v>0</v>
      </c>
      <c r="AL201" s="19"/>
      <c r="AM201" s="19"/>
      <c r="AN201" s="274"/>
      <c r="AP201" s="19">
        <f>SUM(AP202:AP208)</f>
        <v>0</v>
      </c>
      <c r="AQ201" s="19"/>
      <c r="AR201" s="19"/>
      <c r="AS201" s="274"/>
      <c r="AU201" s="19">
        <f>SUM(AU202:AU208)</f>
        <v>0</v>
      </c>
      <c r="AV201" s="19"/>
      <c r="AW201" s="19"/>
      <c r="AX201" s="274"/>
      <c r="AZ201" s="19">
        <f>SUM(AZ202:AZ208)</f>
        <v>0</v>
      </c>
      <c r="BA201" s="19"/>
      <c r="BB201" s="19"/>
      <c r="BC201" s="274"/>
      <c r="BE201" s="19">
        <f>SUM(BE202:BE208)</f>
        <v>0</v>
      </c>
      <c r="BF201" s="19"/>
      <c r="BG201" s="19"/>
      <c r="BH201" s="274"/>
      <c r="BJ201" s="19">
        <f>SUM(BJ202:BJ208)</f>
        <v>0</v>
      </c>
      <c r="BK201" s="19"/>
      <c r="BL201" s="19"/>
      <c r="BM201" s="274"/>
      <c r="BO201" s="19">
        <f>SUM(BO202:BO208)</f>
        <v>0</v>
      </c>
      <c r="BP201" s="19"/>
      <c r="BQ201" s="19"/>
      <c r="BR201" s="274"/>
      <c r="BT201" s="19">
        <f>SUM(BT202:BT208)</f>
        <v>0</v>
      </c>
      <c r="BU201" s="19"/>
      <c r="BV201" s="19"/>
      <c r="BW201" s="274"/>
      <c r="BY201" s="19">
        <f>SUM(BY202:BY208)</f>
        <v>0</v>
      </c>
      <c r="BZ201" s="19"/>
      <c r="CA201" s="19"/>
      <c r="CB201" s="274"/>
      <c r="CD201" s="19">
        <f>SUM(CD202:CD208)</f>
        <v>0</v>
      </c>
      <c r="CE201" s="19"/>
      <c r="CF201" s="19"/>
      <c r="CG201" s="274"/>
      <c r="CI201" s="19">
        <f>SUM(CI202:CI208)</f>
        <v>0</v>
      </c>
      <c r="CJ201" s="19"/>
      <c r="CK201" s="19"/>
      <c r="CL201" s="274"/>
      <c r="CN201" s="19">
        <f>SUM(CN202:CN208)</f>
        <v>0</v>
      </c>
      <c r="CO201" s="19"/>
      <c r="CP201" s="19"/>
      <c r="CQ201" s="274"/>
      <c r="CS201" s="19">
        <f>SUM(CS202:CS208)</f>
        <v>0</v>
      </c>
      <c r="CT201" s="19"/>
      <c r="CU201" s="19"/>
      <c r="CV201" s="274"/>
      <c r="CX201" s="19">
        <f>SUM(CX202:CX208)</f>
        <v>0</v>
      </c>
      <c r="CY201" s="19"/>
      <c r="CZ201" s="19"/>
      <c r="DA201" s="274"/>
      <c r="DC201" s="19">
        <f>SUM(DC202:DC208)</f>
        <v>0</v>
      </c>
      <c r="DD201" s="19"/>
      <c r="DE201" s="19"/>
      <c r="DF201" s="274"/>
      <c r="DH201" s="19">
        <f>SUM(DH202:DH208)</f>
        <v>0</v>
      </c>
      <c r="DI201" s="19"/>
      <c r="DJ201" s="19"/>
      <c r="DK201" s="274"/>
      <c r="DM201" s="19">
        <f>SUM(DM202:DM208)</f>
        <v>0</v>
      </c>
      <c r="DN201" s="19"/>
      <c r="DO201" s="19"/>
      <c r="DP201" s="274"/>
      <c r="DR201" s="19">
        <f>SUM(DR202:DR208)</f>
        <v>0</v>
      </c>
      <c r="DS201" s="19"/>
      <c r="DT201" s="19"/>
      <c r="DU201" s="274"/>
      <c r="DW201" s="19">
        <f>SUM(DW202:DW208)</f>
        <v>0</v>
      </c>
      <c r="DX201" s="19"/>
      <c r="DY201" s="19"/>
      <c r="DZ201" s="274"/>
      <c r="EB201" s="19">
        <f>SUM(EB202:EB208)</f>
        <v>0</v>
      </c>
      <c r="EC201" s="19"/>
      <c r="ED201" s="19"/>
      <c r="EE201" s="274"/>
      <c r="EG201" s="19">
        <f>SUM(EG202:EG208)</f>
        <v>0</v>
      </c>
      <c r="EH201" s="19"/>
      <c r="EI201" s="19"/>
      <c r="EJ201" s="274"/>
      <c r="EL201" s="19">
        <f>SUM(EL202:EL208)</f>
        <v>0</v>
      </c>
      <c r="EM201" s="19"/>
      <c r="EN201" s="19"/>
      <c r="EO201" s="244"/>
      <c r="ER201" s="451"/>
      <c r="ES201" s="451"/>
    </row>
    <row r="202" spans="4:149" hidden="1" x14ac:dyDescent="0.2">
      <c r="D202" s="244" t="s">
        <v>393</v>
      </c>
      <c r="F202" s="358"/>
      <c r="G202" s="374">
        <v>0</v>
      </c>
      <c r="H202" s="475"/>
      <c r="I202" s="19"/>
      <c r="J202" s="274"/>
      <c r="K202" s="358"/>
      <c r="L202" s="374">
        <v>0</v>
      </c>
      <c r="M202" s="475"/>
      <c r="N202" s="19"/>
      <c r="O202" s="274"/>
      <c r="P202" s="358"/>
      <c r="Q202" s="374">
        <v>0</v>
      </c>
      <c r="R202" s="475"/>
      <c r="S202" s="19"/>
      <c r="T202" s="274"/>
      <c r="U202" s="358"/>
      <c r="V202" s="374">
        <v>0</v>
      </c>
      <c r="W202" s="475"/>
      <c r="X202" s="19"/>
      <c r="Y202" s="274"/>
      <c r="Z202" s="358"/>
      <c r="AA202" s="374">
        <v>0</v>
      </c>
      <c r="AB202" s="475"/>
      <c r="AC202" s="19"/>
      <c r="AD202" s="274"/>
      <c r="AE202" s="112"/>
      <c r="AF202" s="458">
        <v>0</v>
      </c>
      <c r="AG202" s="475"/>
      <c r="AH202" s="19"/>
      <c r="AI202" s="274"/>
      <c r="AJ202" s="358"/>
      <c r="AK202" s="374">
        <v>0</v>
      </c>
      <c r="AL202" s="475"/>
      <c r="AM202" s="19"/>
      <c r="AN202" s="274"/>
      <c r="AO202" s="358"/>
      <c r="AP202" s="374">
        <v>0</v>
      </c>
      <c r="AQ202" s="475"/>
      <c r="AR202" s="19"/>
      <c r="AS202" s="274"/>
      <c r="AT202" s="358"/>
      <c r="AU202" s="374">
        <v>0</v>
      </c>
      <c r="AV202" s="475"/>
      <c r="AW202" s="19"/>
      <c r="AX202" s="274"/>
      <c r="AY202" s="358"/>
      <c r="AZ202" s="374">
        <v>0</v>
      </c>
      <c r="BA202" s="475"/>
      <c r="BB202" s="19"/>
      <c r="BC202" s="274"/>
      <c r="BD202" s="358"/>
      <c r="BE202" s="374">
        <v>0</v>
      </c>
      <c r="BF202" s="475"/>
      <c r="BG202" s="19"/>
      <c r="BH202" s="274"/>
      <c r="BI202" s="358"/>
      <c r="BJ202" s="374">
        <v>0</v>
      </c>
      <c r="BK202" s="475"/>
      <c r="BL202" s="19"/>
      <c r="BM202" s="274"/>
      <c r="BN202" s="358"/>
      <c r="BO202" s="374">
        <v>0</v>
      </c>
      <c r="BP202" s="475"/>
      <c r="BQ202" s="19"/>
      <c r="BR202" s="274"/>
      <c r="BS202" s="358"/>
      <c r="BT202" s="374">
        <f>SUM(L202:BO202)</f>
        <v>0</v>
      </c>
      <c r="BU202" s="475"/>
      <c r="BV202" s="19"/>
      <c r="BW202" s="274"/>
      <c r="BX202" s="358"/>
      <c r="BY202" s="374">
        <v>0</v>
      </c>
      <c r="BZ202" s="475"/>
      <c r="CA202" s="19"/>
      <c r="CB202" s="274"/>
      <c r="CC202" s="358"/>
      <c r="CD202" s="374">
        <v>0</v>
      </c>
      <c r="CE202" s="475"/>
      <c r="CF202" s="19"/>
      <c r="CG202" s="274"/>
      <c r="CH202" s="358"/>
      <c r="CI202" s="374">
        <v>0</v>
      </c>
      <c r="CJ202" s="475"/>
      <c r="CK202" s="19"/>
      <c r="CL202" s="274"/>
      <c r="CM202" s="358"/>
      <c r="CN202" s="374">
        <v>0</v>
      </c>
      <c r="CO202" s="475"/>
      <c r="CP202" s="19"/>
      <c r="CQ202" s="274"/>
      <c r="CR202" s="358"/>
      <c r="CS202" s="374">
        <v>0</v>
      </c>
      <c r="CT202" s="475"/>
      <c r="CU202" s="19"/>
      <c r="CV202" s="274"/>
      <c r="CW202" s="112"/>
      <c r="CX202" s="458">
        <v>0</v>
      </c>
      <c r="CY202" s="475"/>
      <c r="CZ202" s="19"/>
      <c r="DA202" s="274"/>
      <c r="DB202" s="358"/>
      <c r="DC202" s="374">
        <v>0</v>
      </c>
      <c r="DD202" s="475"/>
      <c r="DE202" s="19"/>
      <c r="DF202" s="274"/>
      <c r="DG202" s="358"/>
      <c r="DH202" s="374">
        <v>0</v>
      </c>
      <c r="DI202" s="475"/>
      <c r="DJ202" s="19"/>
      <c r="DK202" s="274"/>
      <c r="DL202" s="358"/>
      <c r="DM202" s="374">
        <v>0</v>
      </c>
      <c r="DN202" s="475"/>
      <c r="DO202" s="19"/>
      <c r="DP202" s="274"/>
      <c r="DQ202" s="358"/>
      <c r="DR202" s="374">
        <v>0</v>
      </c>
      <c r="DS202" s="475"/>
      <c r="DT202" s="19"/>
      <c r="DU202" s="274"/>
      <c r="DV202" s="358"/>
      <c r="DW202" s="374">
        <v>0</v>
      </c>
      <c r="DX202" s="475"/>
      <c r="DY202" s="19"/>
      <c r="DZ202" s="274"/>
      <c r="EA202" s="358"/>
      <c r="EB202" s="374">
        <v>0</v>
      </c>
      <c r="EC202" s="475"/>
      <c r="ED202" s="19"/>
      <c r="EE202" s="274"/>
      <c r="EF202" s="358"/>
      <c r="EG202" s="374">
        <v>0</v>
      </c>
      <c r="EH202" s="475"/>
      <c r="EI202" s="19"/>
      <c r="EJ202" s="274"/>
      <c r="EK202" s="358"/>
      <c r="EL202" s="374">
        <f t="shared" ref="EL202:EL208" si="2">SUM(CD202:EG202)</f>
        <v>0</v>
      </c>
      <c r="EM202" s="475"/>
      <c r="EN202" s="19"/>
      <c r="EO202" s="244"/>
      <c r="ER202" s="451"/>
      <c r="ES202" s="451"/>
    </row>
    <row r="203" spans="4:149" hidden="1" x14ac:dyDescent="0.2">
      <c r="D203" s="244" t="s">
        <v>394</v>
      </c>
      <c r="F203" s="147"/>
      <c r="G203" s="19">
        <v>0</v>
      </c>
      <c r="H203" s="18"/>
      <c r="I203" s="19"/>
      <c r="J203" s="274"/>
      <c r="K203" s="147"/>
      <c r="L203" s="19">
        <v>0</v>
      </c>
      <c r="M203" s="18"/>
      <c r="N203" s="19"/>
      <c r="O203" s="274"/>
      <c r="P203" s="147"/>
      <c r="Q203" s="19">
        <v>0</v>
      </c>
      <c r="R203" s="18"/>
      <c r="S203" s="19"/>
      <c r="T203" s="274"/>
      <c r="U203" s="147"/>
      <c r="V203" s="19">
        <v>0</v>
      </c>
      <c r="W203" s="18"/>
      <c r="X203" s="19"/>
      <c r="Y203" s="274"/>
      <c r="Z203" s="147"/>
      <c r="AA203" s="19">
        <v>0</v>
      </c>
      <c r="AB203" s="18"/>
      <c r="AC203" s="19"/>
      <c r="AD203" s="274"/>
      <c r="AE203" s="82"/>
      <c r="AF203" s="67">
        <v>0</v>
      </c>
      <c r="AG203" s="18"/>
      <c r="AH203" s="19"/>
      <c r="AI203" s="274"/>
      <c r="AJ203" s="147"/>
      <c r="AK203" s="19">
        <v>0</v>
      </c>
      <c r="AL203" s="18"/>
      <c r="AM203" s="19"/>
      <c r="AN203" s="274"/>
      <c r="AO203" s="147"/>
      <c r="AP203" s="19">
        <v>0</v>
      </c>
      <c r="AQ203" s="18"/>
      <c r="AR203" s="19"/>
      <c r="AS203" s="274"/>
      <c r="AT203" s="147"/>
      <c r="AU203" s="19">
        <v>0</v>
      </c>
      <c r="AV203" s="18"/>
      <c r="AW203" s="19"/>
      <c r="AX203" s="274"/>
      <c r="AY203" s="147"/>
      <c r="AZ203" s="19">
        <v>0</v>
      </c>
      <c r="BA203" s="18"/>
      <c r="BB203" s="19"/>
      <c r="BC203" s="274"/>
      <c r="BD203" s="147"/>
      <c r="BE203" s="19">
        <v>0</v>
      </c>
      <c r="BF203" s="18"/>
      <c r="BG203" s="19"/>
      <c r="BH203" s="274"/>
      <c r="BI203" s="147"/>
      <c r="BJ203" s="19">
        <v>0</v>
      </c>
      <c r="BK203" s="18"/>
      <c r="BL203" s="19"/>
      <c r="BM203" s="274"/>
      <c r="BN203" s="147"/>
      <c r="BO203" s="19">
        <v>0</v>
      </c>
      <c r="BP203" s="18"/>
      <c r="BQ203" s="19"/>
      <c r="BR203" s="274"/>
      <c r="BS203" s="147"/>
      <c r="BT203" s="19">
        <f t="shared" ref="BT203:BT208" si="3">SUM(L203:BO203)</f>
        <v>0</v>
      </c>
      <c r="BU203" s="18"/>
      <c r="BV203" s="19"/>
      <c r="BW203" s="274"/>
      <c r="BX203" s="147"/>
      <c r="BY203" s="19">
        <v>0</v>
      </c>
      <c r="BZ203" s="18"/>
      <c r="CA203" s="19"/>
      <c r="CB203" s="274"/>
      <c r="CC203" s="147"/>
      <c r="CD203" s="19">
        <v>0</v>
      </c>
      <c r="CE203" s="18"/>
      <c r="CF203" s="19"/>
      <c r="CG203" s="274"/>
      <c r="CH203" s="147"/>
      <c r="CI203" s="19">
        <v>0</v>
      </c>
      <c r="CJ203" s="18"/>
      <c r="CK203" s="19"/>
      <c r="CL203" s="274"/>
      <c r="CM203" s="147"/>
      <c r="CN203" s="19">
        <v>0</v>
      </c>
      <c r="CO203" s="18"/>
      <c r="CP203" s="19"/>
      <c r="CQ203" s="274"/>
      <c r="CR203" s="147"/>
      <c r="CS203" s="19">
        <v>0</v>
      </c>
      <c r="CT203" s="18"/>
      <c r="CU203" s="19"/>
      <c r="CV203" s="274"/>
      <c r="CW203" s="82"/>
      <c r="CX203" s="67">
        <v>0</v>
      </c>
      <c r="CY203" s="18"/>
      <c r="CZ203" s="19"/>
      <c r="DA203" s="274"/>
      <c r="DB203" s="147"/>
      <c r="DC203" s="19">
        <v>0</v>
      </c>
      <c r="DD203" s="18"/>
      <c r="DE203" s="19"/>
      <c r="DF203" s="274"/>
      <c r="DG203" s="147"/>
      <c r="DH203" s="19">
        <v>0</v>
      </c>
      <c r="DI203" s="18"/>
      <c r="DJ203" s="19"/>
      <c r="DK203" s="274"/>
      <c r="DL203" s="147"/>
      <c r="DM203" s="19">
        <v>0</v>
      </c>
      <c r="DN203" s="18"/>
      <c r="DO203" s="19"/>
      <c r="DP203" s="274"/>
      <c r="DQ203" s="147"/>
      <c r="DR203" s="19">
        <v>0</v>
      </c>
      <c r="DS203" s="18"/>
      <c r="DT203" s="19"/>
      <c r="DU203" s="274"/>
      <c r="DV203" s="147"/>
      <c r="DW203" s="19">
        <v>0</v>
      </c>
      <c r="DX203" s="18"/>
      <c r="DY203" s="19"/>
      <c r="DZ203" s="274"/>
      <c r="EA203" s="147"/>
      <c r="EB203" s="19">
        <v>0</v>
      </c>
      <c r="EC203" s="18"/>
      <c r="ED203" s="19"/>
      <c r="EE203" s="274"/>
      <c r="EF203" s="147"/>
      <c r="EG203" s="19">
        <v>0</v>
      </c>
      <c r="EH203" s="18"/>
      <c r="EI203" s="19"/>
      <c r="EJ203" s="274"/>
      <c r="EK203" s="147"/>
      <c r="EL203" s="19">
        <f t="shared" si="2"/>
        <v>0</v>
      </c>
      <c r="EM203" s="18"/>
      <c r="EN203" s="19"/>
      <c r="EO203" s="244"/>
      <c r="ER203" s="451"/>
      <c r="ES203" s="451"/>
    </row>
    <row r="204" spans="4:149" hidden="1" x14ac:dyDescent="0.2">
      <c r="D204" s="244" t="s">
        <v>395</v>
      </c>
      <c r="F204" s="147"/>
      <c r="G204" s="19">
        <v>0</v>
      </c>
      <c r="H204" s="18"/>
      <c r="I204" s="19"/>
      <c r="J204" s="274"/>
      <c r="K204" s="147"/>
      <c r="L204" s="19">
        <v>0</v>
      </c>
      <c r="M204" s="18"/>
      <c r="N204" s="19"/>
      <c r="O204" s="274"/>
      <c r="P204" s="147"/>
      <c r="Q204" s="19">
        <v>0</v>
      </c>
      <c r="R204" s="18"/>
      <c r="S204" s="19"/>
      <c r="T204" s="274"/>
      <c r="U204" s="147"/>
      <c r="V204" s="19">
        <v>0</v>
      </c>
      <c r="W204" s="18"/>
      <c r="X204" s="19"/>
      <c r="Y204" s="274"/>
      <c r="Z204" s="147"/>
      <c r="AA204" s="19">
        <v>0</v>
      </c>
      <c r="AB204" s="18"/>
      <c r="AC204" s="19"/>
      <c r="AD204" s="274"/>
      <c r="AE204" s="82"/>
      <c r="AF204" s="67">
        <v>0</v>
      </c>
      <c r="AG204" s="18"/>
      <c r="AH204" s="19"/>
      <c r="AI204" s="274"/>
      <c r="AJ204" s="147"/>
      <c r="AK204" s="19">
        <v>0</v>
      </c>
      <c r="AL204" s="18"/>
      <c r="AM204" s="19"/>
      <c r="AN204" s="274"/>
      <c r="AO204" s="147"/>
      <c r="AP204" s="19">
        <v>0</v>
      </c>
      <c r="AQ204" s="18"/>
      <c r="AR204" s="19"/>
      <c r="AS204" s="274"/>
      <c r="AT204" s="147"/>
      <c r="AU204" s="19">
        <v>0</v>
      </c>
      <c r="AV204" s="18"/>
      <c r="AW204" s="19"/>
      <c r="AX204" s="274"/>
      <c r="AY204" s="147"/>
      <c r="AZ204" s="19">
        <v>0</v>
      </c>
      <c r="BA204" s="18"/>
      <c r="BB204" s="19"/>
      <c r="BC204" s="274"/>
      <c r="BD204" s="147"/>
      <c r="BE204" s="19">
        <v>0</v>
      </c>
      <c r="BF204" s="18"/>
      <c r="BG204" s="19"/>
      <c r="BH204" s="274"/>
      <c r="BI204" s="147"/>
      <c r="BJ204" s="19">
        <v>0</v>
      </c>
      <c r="BK204" s="18"/>
      <c r="BL204" s="19"/>
      <c r="BM204" s="274"/>
      <c r="BN204" s="147"/>
      <c r="BO204" s="19">
        <v>0</v>
      </c>
      <c r="BP204" s="18"/>
      <c r="BQ204" s="19"/>
      <c r="BR204" s="274"/>
      <c r="BS204" s="147"/>
      <c r="BT204" s="19">
        <f>SUM(L204:BO204)</f>
        <v>0</v>
      </c>
      <c r="BU204" s="18"/>
      <c r="BV204" s="19"/>
      <c r="BW204" s="274"/>
      <c r="BX204" s="147"/>
      <c r="BY204" s="19">
        <v>0</v>
      </c>
      <c r="BZ204" s="18"/>
      <c r="CA204" s="19"/>
      <c r="CB204" s="274"/>
      <c r="CC204" s="147"/>
      <c r="CD204" s="19">
        <v>0</v>
      </c>
      <c r="CE204" s="18"/>
      <c r="CF204" s="19"/>
      <c r="CG204" s="274"/>
      <c r="CH204" s="147"/>
      <c r="CI204" s="19">
        <v>0</v>
      </c>
      <c r="CJ204" s="18"/>
      <c r="CK204" s="19"/>
      <c r="CL204" s="274"/>
      <c r="CM204" s="147"/>
      <c r="CN204" s="19">
        <v>0</v>
      </c>
      <c r="CO204" s="18"/>
      <c r="CP204" s="19"/>
      <c r="CQ204" s="274"/>
      <c r="CR204" s="147"/>
      <c r="CS204" s="19">
        <v>0</v>
      </c>
      <c r="CT204" s="18"/>
      <c r="CU204" s="19"/>
      <c r="CV204" s="274"/>
      <c r="CW204" s="82"/>
      <c r="CX204" s="67">
        <v>0</v>
      </c>
      <c r="CY204" s="18"/>
      <c r="CZ204" s="19"/>
      <c r="DA204" s="274"/>
      <c r="DB204" s="147"/>
      <c r="DC204" s="19">
        <v>0</v>
      </c>
      <c r="DD204" s="18"/>
      <c r="DE204" s="19"/>
      <c r="DF204" s="274"/>
      <c r="DG204" s="147"/>
      <c r="DH204" s="19">
        <v>0</v>
      </c>
      <c r="DI204" s="18"/>
      <c r="DJ204" s="19"/>
      <c r="DK204" s="274"/>
      <c r="DL204" s="147"/>
      <c r="DM204" s="19">
        <v>0</v>
      </c>
      <c r="DN204" s="18"/>
      <c r="DO204" s="19"/>
      <c r="DP204" s="274"/>
      <c r="DQ204" s="147"/>
      <c r="DR204" s="19">
        <v>0</v>
      </c>
      <c r="DS204" s="18"/>
      <c r="DT204" s="19"/>
      <c r="DU204" s="274"/>
      <c r="DV204" s="147"/>
      <c r="DW204" s="19">
        <v>0</v>
      </c>
      <c r="DX204" s="18"/>
      <c r="DY204" s="19"/>
      <c r="DZ204" s="274"/>
      <c r="EA204" s="147"/>
      <c r="EB204" s="19">
        <v>0</v>
      </c>
      <c r="EC204" s="18"/>
      <c r="ED204" s="19"/>
      <c r="EE204" s="274"/>
      <c r="EF204" s="147"/>
      <c r="EG204" s="19">
        <v>0</v>
      </c>
      <c r="EH204" s="18"/>
      <c r="EI204" s="19"/>
      <c r="EJ204" s="274"/>
      <c r="EK204" s="147"/>
      <c r="EL204" s="19">
        <f t="shared" si="2"/>
        <v>0</v>
      </c>
      <c r="EM204" s="18"/>
      <c r="EN204" s="19"/>
      <c r="EO204" s="244"/>
      <c r="ER204" s="451"/>
      <c r="ES204" s="451"/>
    </row>
    <row r="205" spans="4:149" hidden="1" x14ac:dyDescent="0.2">
      <c r="D205" s="244" t="s">
        <v>396</v>
      </c>
      <c r="F205" s="255"/>
      <c r="G205" s="37">
        <v>0</v>
      </c>
      <c r="H205" s="36"/>
      <c r="I205" s="19"/>
      <c r="J205" s="274"/>
      <c r="K205" s="255"/>
      <c r="L205" s="37">
        <v>0</v>
      </c>
      <c r="M205" s="36"/>
      <c r="N205" s="19"/>
      <c r="O205" s="274"/>
      <c r="P205" s="255"/>
      <c r="Q205" s="37">
        <v>0</v>
      </c>
      <c r="R205" s="36"/>
      <c r="S205" s="19"/>
      <c r="T205" s="274"/>
      <c r="U205" s="255"/>
      <c r="V205" s="37">
        <v>0</v>
      </c>
      <c r="W205" s="36"/>
      <c r="X205" s="19"/>
      <c r="Y205" s="274"/>
      <c r="Z205" s="255"/>
      <c r="AA205" s="37">
        <v>0</v>
      </c>
      <c r="AB205" s="36"/>
      <c r="AC205" s="19"/>
      <c r="AD205" s="274"/>
      <c r="AE205" s="276"/>
      <c r="AF205" s="154">
        <v>0</v>
      </c>
      <c r="AG205" s="36"/>
      <c r="AH205" s="19"/>
      <c r="AI205" s="274"/>
      <c r="AJ205" s="255"/>
      <c r="AK205" s="37">
        <v>0</v>
      </c>
      <c r="AL205" s="36"/>
      <c r="AM205" s="19"/>
      <c r="AN205" s="274"/>
      <c r="AO205" s="255"/>
      <c r="AP205" s="37">
        <v>0</v>
      </c>
      <c r="AQ205" s="36"/>
      <c r="AR205" s="19"/>
      <c r="AS205" s="274"/>
      <c r="AT205" s="255"/>
      <c r="AU205" s="37">
        <v>0</v>
      </c>
      <c r="AV205" s="36"/>
      <c r="AW205" s="19"/>
      <c r="AX205" s="274"/>
      <c r="AY205" s="255"/>
      <c r="AZ205" s="37">
        <v>0</v>
      </c>
      <c r="BA205" s="36"/>
      <c r="BB205" s="19"/>
      <c r="BC205" s="274"/>
      <c r="BD205" s="255"/>
      <c r="BE205" s="37">
        <v>0</v>
      </c>
      <c r="BF205" s="36"/>
      <c r="BG205" s="19"/>
      <c r="BH205" s="274"/>
      <c r="BI205" s="255"/>
      <c r="BJ205" s="37">
        <v>0</v>
      </c>
      <c r="BK205" s="36"/>
      <c r="BL205" s="19"/>
      <c r="BM205" s="274"/>
      <c r="BN205" s="255"/>
      <c r="BO205" s="37">
        <v>0</v>
      </c>
      <c r="BP205" s="36"/>
      <c r="BQ205" s="19"/>
      <c r="BR205" s="274"/>
      <c r="BS205" s="255"/>
      <c r="BT205" s="37">
        <f t="shared" si="3"/>
        <v>0</v>
      </c>
      <c r="BU205" s="36"/>
      <c r="BV205" s="19"/>
      <c r="BW205" s="274"/>
      <c r="BX205" s="255"/>
      <c r="BY205" s="37">
        <v>0</v>
      </c>
      <c r="BZ205" s="36"/>
      <c r="CA205" s="19"/>
      <c r="CB205" s="274"/>
      <c r="CC205" s="255"/>
      <c r="CD205" s="37">
        <v>0</v>
      </c>
      <c r="CE205" s="36"/>
      <c r="CF205" s="19"/>
      <c r="CG205" s="274"/>
      <c r="CH205" s="255"/>
      <c r="CI205" s="37">
        <v>0</v>
      </c>
      <c r="CJ205" s="36"/>
      <c r="CK205" s="19"/>
      <c r="CL205" s="274"/>
      <c r="CM205" s="255"/>
      <c r="CN205" s="37">
        <v>0</v>
      </c>
      <c r="CO205" s="36"/>
      <c r="CP205" s="19"/>
      <c r="CQ205" s="274"/>
      <c r="CR205" s="255"/>
      <c r="CS205" s="37">
        <v>0</v>
      </c>
      <c r="CT205" s="36"/>
      <c r="CU205" s="19"/>
      <c r="CV205" s="274"/>
      <c r="CW205" s="276"/>
      <c r="CX205" s="154">
        <v>0</v>
      </c>
      <c r="CY205" s="36"/>
      <c r="CZ205" s="19"/>
      <c r="DA205" s="274"/>
      <c r="DB205" s="255"/>
      <c r="DC205" s="37">
        <v>0</v>
      </c>
      <c r="DD205" s="36"/>
      <c r="DE205" s="19"/>
      <c r="DF205" s="274"/>
      <c r="DG205" s="255"/>
      <c r="DH205" s="37">
        <v>0</v>
      </c>
      <c r="DI205" s="36"/>
      <c r="DJ205" s="19"/>
      <c r="DK205" s="274"/>
      <c r="DL205" s="255"/>
      <c r="DM205" s="37">
        <v>0</v>
      </c>
      <c r="DN205" s="36"/>
      <c r="DO205" s="19"/>
      <c r="DP205" s="274"/>
      <c r="DQ205" s="255"/>
      <c r="DR205" s="37">
        <v>0</v>
      </c>
      <c r="DS205" s="36"/>
      <c r="DT205" s="19"/>
      <c r="DU205" s="274"/>
      <c r="DV205" s="255"/>
      <c r="DW205" s="37">
        <v>0</v>
      </c>
      <c r="DX205" s="36"/>
      <c r="DY205" s="19"/>
      <c r="DZ205" s="274"/>
      <c r="EA205" s="255"/>
      <c r="EB205" s="37">
        <v>0</v>
      </c>
      <c r="EC205" s="36"/>
      <c r="ED205" s="19"/>
      <c r="EE205" s="274"/>
      <c r="EF205" s="255"/>
      <c r="EG205" s="37">
        <v>0</v>
      </c>
      <c r="EH205" s="36"/>
      <c r="EI205" s="19"/>
      <c r="EJ205" s="274"/>
      <c r="EK205" s="255"/>
      <c r="EL205" s="37">
        <f t="shared" si="2"/>
        <v>0</v>
      </c>
      <c r="EM205" s="36"/>
      <c r="EN205" s="19"/>
      <c r="EO205" s="244"/>
      <c r="ER205" s="451"/>
      <c r="ES205" s="451"/>
    </row>
    <row r="206" spans="4:149" ht="12.75" hidden="1" customHeight="1" x14ac:dyDescent="0.2">
      <c r="D206" s="244" t="s">
        <v>397</v>
      </c>
      <c r="F206" s="82"/>
      <c r="G206" s="19">
        <v>0</v>
      </c>
      <c r="H206" s="18"/>
      <c r="I206" s="19"/>
      <c r="J206" s="274"/>
      <c r="K206" s="82"/>
      <c r="L206" s="19"/>
      <c r="M206" s="18"/>
      <c r="N206" s="19"/>
      <c r="O206" s="274"/>
      <c r="P206" s="82"/>
      <c r="Q206" s="19"/>
      <c r="R206" s="18"/>
      <c r="S206" s="19"/>
      <c r="T206" s="274"/>
      <c r="U206" s="82"/>
      <c r="V206" s="19"/>
      <c r="W206" s="18"/>
      <c r="X206" s="19"/>
      <c r="Y206" s="274"/>
      <c r="Z206" s="82"/>
      <c r="AA206" s="19"/>
      <c r="AB206" s="18"/>
      <c r="AC206" s="19"/>
      <c r="AD206" s="274"/>
      <c r="AE206" s="82"/>
      <c r="AF206" s="19"/>
      <c r="AG206" s="18"/>
      <c r="AH206" s="19"/>
      <c r="AI206" s="274"/>
      <c r="AJ206" s="82"/>
      <c r="AK206" s="19"/>
      <c r="AL206" s="18"/>
      <c r="AM206" s="19"/>
      <c r="AN206" s="274"/>
      <c r="AO206" s="82"/>
      <c r="AP206" s="19"/>
      <c r="AQ206" s="18"/>
      <c r="AR206" s="19"/>
      <c r="AS206" s="274"/>
      <c r="AT206" s="82"/>
      <c r="AU206" s="19"/>
      <c r="AV206" s="18"/>
      <c r="AW206" s="19"/>
      <c r="AX206" s="274"/>
      <c r="AY206" s="82"/>
      <c r="AZ206" s="19"/>
      <c r="BA206" s="18"/>
      <c r="BB206" s="19"/>
      <c r="BC206" s="274"/>
      <c r="BD206" s="82"/>
      <c r="BE206" s="19"/>
      <c r="BF206" s="18"/>
      <c r="BG206" s="19"/>
      <c r="BH206" s="274"/>
      <c r="BI206" s="82"/>
      <c r="BJ206" s="19">
        <v>0</v>
      </c>
      <c r="BK206" s="18"/>
      <c r="BL206" s="19"/>
      <c r="BM206" s="274"/>
      <c r="BN206" s="82"/>
      <c r="BO206" s="19">
        <v>0</v>
      </c>
      <c r="BP206" s="18"/>
      <c r="BQ206" s="19"/>
      <c r="BR206" s="274"/>
      <c r="BS206" s="82"/>
      <c r="BT206" s="19">
        <f t="shared" si="3"/>
        <v>0</v>
      </c>
      <c r="BU206" s="18"/>
      <c r="BV206" s="19"/>
      <c r="BW206" s="274"/>
      <c r="BX206" s="82"/>
      <c r="BY206" s="19">
        <v>0</v>
      </c>
      <c r="BZ206" s="18"/>
      <c r="CA206" s="19"/>
      <c r="CB206" s="274"/>
      <c r="CC206" s="82"/>
      <c r="CD206" s="19"/>
      <c r="CE206" s="18"/>
      <c r="CF206" s="19"/>
      <c r="CG206" s="274"/>
      <c r="CH206" s="82"/>
      <c r="CI206" s="19"/>
      <c r="CJ206" s="18"/>
      <c r="CK206" s="19"/>
      <c r="CL206" s="274"/>
      <c r="CM206" s="82"/>
      <c r="CN206" s="19"/>
      <c r="CO206" s="18"/>
      <c r="CP206" s="19"/>
      <c r="CQ206" s="274"/>
      <c r="CR206" s="82"/>
      <c r="CS206" s="19"/>
      <c r="CT206" s="18"/>
      <c r="CU206" s="19"/>
      <c r="CV206" s="274"/>
      <c r="CW206" s="82"/>
      <c r="CX206" s="19"/>
      <c r="CY206" s="18"/>
      <c r="CZ206" s="19"/>
      <c r="DA206" s="274"/>
      <c r="DB206" s="82"/>
      <c r="DC206" s="19"/>
      <c r="DD206" s="18"/>
      <c r="DE206" s="19"/>
      <c r="DF206" s="274"/>
      <c r="DG206" s="82"/>
      <c r="DH206" s="19"/>
      <c r="DI206" s="18"/>
      <c r="DJ206" s="19"/>
      <c r="DK206" s="274"/>
      <c r="DL206" s="82"/>
      <c r="DM206" s="19"/>
      <c r="DN206" s="18"/>
      <c r="DO206" s="19"/>
      <c r="DP206" s="274"/>
      <c r="DQ206" s="82"/>
      <c r="DR206" s="19"/>
      <c r="DS206" s="18"/>
      <c r="DT206" s="19"/>
      <c r="DU206" s="274"/>
      <c r="DV206" s="82"/>
      <c r="DW206" s="19"/>
      <c r="DX206" s="18"/>
      <c r="DY206" s="19"/>
      <c r="DZ206" s="274"/>
      <c r="EA206" s="82"/>
      <c r="EB206" s="19">
        <v>0</v>
      </c>
      <c r="EC206" s="18"/>
      <c r="ED206" s="19"/>
      <c r="EE206" s="274"/>
      <c r="EF206" s="82"/>
      <c r="EG206" s="19">
        <v>0</v>
      </c>
      <c r="EH206" s="18"/>
      <c r="EI206" s="19"/>
      <c r="EJ206" s="274"/>
      <c r="EK206" s="82"/>
      <c r="EL206" s="19">
        <f t="shared" si="2"/>
        <v>0</v>
      </c>
      <c r="EM206" s="18"/>
      <c r="EN206" s="19"/>
      <c r="EO206" s="244"/>
      <c r="ER206" s="451"/>
      <c r="ES206" s="451"/>
    </row>
    <row r="207" spans="4:149" ht="12.75" hidden="1" customHeight="1" x14ac:dyDescent="0.2">
      <c r="D207" s="244" t="s">
        <v>398</v>
      </c>
      <c r="F207" s="82"/>
      <c r="G207" s="19">
        <v>0</v>
      </c>
      <c r="H207" s="18"/>
      <c r="I207" s="19"/>
      <c r="J207" s="274"/>
      <c r="K207" s="82"/>
      <c r="L207" s="19"/>
      <c r="M207" s="18"/>
      <c r="N207" s="19"/>
      <c r="O207" s="274"/>
      <c r="P207" s="82"/>
      <c r="Q207" s="19"/>
      <c r="R207" s="18"/>
      <c r="S207" s="19"/>
      <c r="T207" s="274"/>
      <c r="U207" s="82"/>
      <c r="V207" s="19"/>
      <c r="W207" s="18"/>
      <c r="X207" s="19"/>
      <c r="Y207" s="274"/>
      <c r="Z207" s="82"/>
      <c r="AA207" s="19"/>
      <c r="AB207" s="18"/>
      <c r="AC207" s="19"/>
      <c r="AD207" s="274"/>
      <c r="AE207" s="82"/>
      <c r="AF207" s="19"/>
      <c r="AG207" s="18"/>
      <c r="AH207" s="19"/>
      <c r="AI207" s="274"/>
      <c r="AJ207" s="82"/>
      <c r="AK207" s="19"/>
      <c r="AL207" s="18"/>
      <c r="AM207" s="19"/>
      <c r="AN207" s="274"/>
      <c r="AO207" s="82"/>
      <c r="AP207" s="19"/>
      <c r="AQ207" s="18"/>
      <c r="AR207" s="19"/>
      <c r="AS207" s="274"/>
      <c r="AT207" s="82"/>
      <c r="AU207" s="19"/>
      <c r="AV207" s="18"/>
      <c r="AW207" s="19"/>
      <c r="AX207" s="274"/>
      <c r="AY207" s="82"/>
      <c r="AZ207" s="19"/>
      <c r="BA207" s="18"/>
      <c r="BB207" s="19"/>
      <c r="BC207" s="274"/>
      <c r="BD207" s="82"/>
      <c r="BE207" s="19"/>
      <c r="BF207" s="18"/>
      <c r="BG207" s="19"/>
      <c r="BH207" s="274"/>
      <c r="BI207" s="82"/>
      <c r="BJ207" s="19">
        <v>0</v>
      </c>
      <c r="BK207" s="18"/>
      <c r="BL207" s="19"/>
      <c r="BM207" s="274"/>
      <c r="BN207" s="82"/>
      <c r="BO207" s="19">
        <v>0</v>
      </c>
      <c r="BP207" s="18"/>
      <c r="BQ207" s="19"/>
      <c r="BR207" s="274"/>
      <c r="BS207" s="82"/>
      <c r="BT207" s="19">
        <f t="shared" si="3"/>
        <v>0</v>
      </c>
      <c r="BU207" s="18"/>
      <c r="BV207" s="19"/>
      <c r="BW207" s="274"/>
      <c r="BX207" s="82"/>
      <c r="BY207" s="19">
        <v>0</v>
      </c>
      <c r="BZ207" s="18"/>
      <c r="CA207" s="19"/>
      <c r="CB207" s="274"/>
      <c r="CC207" s="82"/>
      <c r="CD207" s="19"/>
      <c r="CE207" s="18"/>
      <c r="CF207" s="19"/>
      <c r="CG207" s="274"/>
      <c r="CH207" s="82"/>
      <c r="CI207" s="19"/>
      <c r="CJ207" s="18"/>
      <c r="CK207" s="19"/>
      <c r="CL207" s="274"/>
      <c r="CM207" s="82"/>
      <c r="CN207" s="19"/>
      <c r="CO207" s="18"/>
      <c r="CP207" s="19"/>
      <c r="CQ207" s="274"/>
      <c r="CR207" s="82"/>
      <c r="CS207" s="19"/>
      <c r="CT207" s="18"/>
      <c r="CU207" s="19"/>
      <c r="CV207" s="274"/>
      <c r="CW207" s="82"/>
      <c r="CX207" s="19"/>
      <c r="CY207" s="18"/>
      <c r="CZ207" s="19"/>
      <c r="DA207" s="274"/>
      <c r="DB207" s="82"/>
      <c r="DC207" s="19"/>
      <c r="DD207" s="18"/>
      <c r="DE207" s="19"/>
      <c r="DF207" s="274"/>
      <c r="DG207" s="82"/>
      <c r="DH207" s="19"/>
      <c r="DI207" s="18"/>
      <c r="DJ207" s="19"/>
      <c r="DK207" s="274"/>
      <c r="DL207" s="82"/>
      <c r="DM207" s="19"/>
      <c r="DN207" s="18"/>
      <c r="DO207" s="19"/>
      <c r="DP207" s="274"/>
      <c r="DQ207" s="82"/>
      <c r="DR207" s="19"/>
      <c r="DS207" s="18"/>
      <c r="DT207" s="19"/>
      <c r="DU207" s="274"/>
      <c r="DV207" s="82"/>
      <c r="DW207" s="19"/>
      <c r="DX207" s="18"/>
      <c r="DY207" s="19"/>
      <c r="DZ207" s="274"/>
      <c r="EA207" s="82"/>
      <c r="EB207" s="19">
        <v>0</v>
      </c>
      <c r="EC207" s="18"/>
      <c r="ED207" s="19"/>
      <c r="EE207" s="274"/>
      <c r="EF207" s="82"/>
      <c r="EG207" s="19">
        <v>0</v>
      </c>
      <c r="EH207" s="18"/>
      <c r="EI207" s="19"/>
      <c r="EJ207" s="274"/>
      <c r="EK207" s="82"/>
      <c r="EL207" s="19">
        <f t="shared" si="2"/>
        <v>0</v>
      </c>
      <c r="EM207" s="18"/>
      <c r="EN207" s="19"/>
      <c r="EO207" s="244"/>
      <c r="ER207" s="451"/>
      <c r="ES207" s="451"/>
    </row>
    <row r="208" spans="4:149" ht="12.75" hidden="1" customHeight="1" x14ac:dyDescent="0.2">
      <c r="D208" s="244" t="s">
        <v>399</v>
      </c>
      <c r="F208" s="276"/>
      <c r="G208" s="37">
        <v>0</v>
      </c>
      <c r="H208" s="36"/>
      <c r="I208" s="19"/>
      <c r="J208" s="274"/>
      <c r="K208" s="276"/>
      <c r="L208" s="37">
        <v>0</v>
      </c>
      <c r="M208" s="36"/>
      <c r="N208" s="19"/>
      <c r="O208" s="274"/>
      <c r="P208" s="276"/>
      <c r="Q208" s="37">
        <v>0</v>
      </c>
      <c r="R208" s="36"/>
      <c r="S208" s="19"/>
      <c r="T208" s="274"/>
      <c r="U208" s="276"/>
      <c r="V208" s="37">
        <v>0</v>
      </c>
      <c r="W208" s="36"/>
      <c r="X208" s="19"/>
      <c r="Y208" s="274"/>
      <c r="Z208" s="276"/>
      <c r="AA208" s="37">
        <v>0</v>
      </c>
      <c r="AB208" s="36"/>
      <c r="AC208" s="19"/>
      <c r="AD208" s="274"/>
      <c r="AE208" s="276"/>
      <c r="AF208" s="37">
        <v>0</v>
      </c>
      <c r="AG208" s="36"/>
      <c r="AH208" s="19"/>
      <c r="AI208" s="274"/>
      <c r="AJ208" s="276"/>
      <c r="AK208" s="37">
        <v>0</v>
      </c>
      <c r="AL208" s="36"/>
      <c r="AM208" s="19"/>
      <c r="AN208" s="274"/>
      <c r="AO208" s="276"/>
      <c r="AP208" s="37">
        <v>0</v>
      </c>
      <c r="AQ208" s="36"/>
      <c r="AR208" s="19"/>
      <c r="AS208" s="274"/>
      <c r="AT208" s="276"/>
      <c r="AU208" s="37">
        <v>0</v>
      </c>
      <c r="AV208" s="36"/>
      <c r="AW208" s="19"/>
      <c r="AX208" s="274"/>
      <c r="AY208" s="276"/>
      <c r="AZ208" s="37">
        <v>0</v>
      </c>
      <c r="BA208" s="36"/>
      <c r="BB208" s="19"/>
      <c r="BC208" s="274"/>
      <c r="BD208" s="276"/>
      <c r="BE208" s="37">
        <v>0</v>
      </c>
      <c r="BF208" s="36"/>
      <c r="BG208" s="19"/>
      <c r="BH208" s="274"/>
      <c r="BI208" s="276"/>
      <c r="BJ208" s="37">
        <v>0</v>
      </c>
      <c r="BK208" s="36"/>
      <c r="BL208" s="19"/>
      <c r="BM208" s="274"/>
      <c r="BN208" s="276"/>
      <c r="BO208" s="37">
        <v>0</v>
      </c>
      <c r="BP208" s="36"/>
      <c r="BQ208" s="19"/>
      <c r="BR208" s="274"/>
      <c r="BS208" s="276"/>
      <c r="BT208" s="37">
        <f t="shared" si="3"/>
        <v>0</v>
      </c>
      <c r="BU208" s="36"/>
      <c r="BV208" s="19"/>
      <c r="BW208" s="274"/>
      <c r="BX208" s="276"/>
      <c r="BY208" s="37"/>
      <c r="BZ208" s="36"/>
      <c r="CA208" s="19"/>
      <c r="CB208" s="274"/>
      <c r="CC208" s="276"/>
      <c r="CD208" s="37">
        <v>0</v>
      </c>
      <c r="CE208" s="36"/>
      <c r="CF208" s="19"/>
      <c r="CG208" s="274"/>
      <c r="CH208" s="276"/>
      <c r="CI208" s="37">
        <v>0</v>
      </c>
      <c r="CJ208" s="36"/>
      <c r="CK208" s="19"/>
      <c r="CL208" s="274"/>
      <c r="CM208" s="276"/>
      <c r="CN208" s="37">
        <v>0</v>
      </c>
      <c r="CO208" s="36"/>
      <c r="CP208" s="19"/>
      <c r="CQ208" s="274"/>
      <c r="CR208" s="276"/>
      <c r="CS208" s="37">
        <v>0</v>
      </c>
      <c r="CT208" s="36"/>
      <c r="CU208" s="19"/>
      <c r="CV208" s="274"/>
      <c r="CW208" s="276"/>
      <c r="CX208" s="37">
        <v>0</v>
      </c>
      <c r="CY208" s="36"/>
      <c r="CZ208" s="19"/>
      <c r="DA208" s="274"/>
      <c r="DB208" s="276"/>
      <c r="DC208" s="37">
        <v>0</v>
      </c>
      <c r="DD208" s="36"/>
      <c r="DE208" s="19"/>
      <c r="DF208" s="274"/>
      <c r="DG208" s="276"/>
      <c r="DH208" s="37">
        <v>0</v>
      </c>
      <c r="DI208" s="36"/>
      <c r="DJ208" s="19"/>
      <c r="DK208" s="274"/>
      <c r="DL208" s="276"/>
      <c r="DM208" s="37">
        <v>0</v>
      </c>
      <c r="DN208" s="36"/>
      <c r="DO208" s="19"/>
      <c r="DP208" s="274"/>
      <c r="DQ208" s="276"/>
      <c r="DR208" s="37">
        <v>0</v>
      </c>
      <c r="DS208" s="36"/>
      <c r="DT208" s="19"/>
      <c r="DU208" s="274"/>
      <c r="DV208" s="276"/>
      <c r="DW208" s="37">
        <v>0</v>
      </c>
      <c r="DX208" s="36"/>
      <c r="DY208" s="19"/>
      <c r="DZ208" s="274"/>
      <c r="EA208" s="276"/>
      <c r="EB208" s="37">
        <v>0</v>
      </c>
      <c r="EC208" s="36"/>
      <c r="ED208" s="19"/>
      <c r="EE208" s="274"/>
      <c r="EF208" s="276"/>
      <c r="EG208" s="37">
        <v>0</v>
      </c>
      <c r="EH208" s="36"/>
      <c r="EI208" s="19"/>
      <c r="EJ208" s="274"/>
      <c r="EK208" s="276"/>
      <c r="EL208" s="37">
        <f t="shared" si="2"/>
        <v>0</v>
      </c>
      <c r="EM208" s="36"/>
      <c r="EN208" s="19"/>
      <c r="EO208" s="244"/>
      <c r="ER208" s="451"/>
      <c r="ES208" s="451"/>
    </row>
    <row r="209" spans="4:149" x14ac:dyDescent="0.2">
      <c r="D209" s="244"/>
      <c r="E209" s="202"/>
      <c r="F209" s="350"/>
      <c r="G209" s="19"/>
      <c r="H209" s="19"/>
      <c r="I209" s="19"/>
      <c r="J209" s="274"/>
      <c r="K209" s="350"/>
      <c r="L209" s="19"/>
      <c r="M209" s="19"/>
      <c r="N209" s="19"/>
      <c r="O209" s="274"/>
      <c r="P209" s="350"/>
      <c r="Q209" s="19"/>
      <c r="R209" s="19"/>
      <c r="S209" s="19"/>
      <c r="T209" s="274"/>
      <c r="U209" s="350"/>
      <c r="V209" s="19"/>
      <c r="W209" s="19"/>
      <c r="X209" s="19"/>
      <c r="Y209" s="274"/>
      <c r="Z209" s="350"/>
      <c r="AA209" s="19"/>
      <c r="AB209" s="19"/>
      <c r="AC209" s="19"/>
      <c r="AD209" s="274"/>
      <c r="AE209" s="350"/>
      <c r="AF209" s="19"/>
      <c r="AG209" s="19"/>
      <c r="AH209" s="19"/>
      <c r="AI209" s="274"/>
      <c r="AJ209" s="350"/>
      <c r="AK209" s="19"/>
      <c r="AL209" s="19"/>
      <c r="AM209" s="19"/>
      <c r="AN209" s="274"/>
      <c r="AO209" s="350"/>
      <c r="AP209" s="19"/>
      <c r="AQ209" s="19"/>
      <c r="AR209" s="19"/>
      <c r="AS209" s="274"/>
      <c r="AT209" s="350"/>
      <c r="AU209" s="19"/>
      <c r="AV209" s="19"/>
      <c r="AW209" s="19"/>
      <c r="AX209" s="274"/>
      <c r="AY209" s="350"/>
      <c r="AZ209" s="19"/>
      <c r="BA209" s="19"/>
      <c r="BB209" s="19"/>
      <c r="BC209" s="274"/>
      <c r="BD209" s="350"/>
      <c r="BE209" s="19"/>
      <c r="BF209" s="19"/>
      <c r="BG209" s="19"/>
      <c r="BH209" s="274"/>
      <c r="BI209" s="350"/>
      <c r="BJ209" s="19"/>
      <c r="BK209" s="19"/>
      <c r="BL209" s="19"/>
      <c r="BM209" s="274"/>
      <c r="BN209" s="350"/>
      <c r="BO209" s="19"/>
      <c r="BP209" s="19"/>
      <c r="BQ209" s="19"/>
      <c r="BR209" s="274"/>
      <c r="BS209" s="350"/>
      <c r="BT209" s="19"/>
      <c r="BU209" s="19"/>
      <c r="BV209" s="19"/>
      <c r="BW209" s="274"/>
      <c r="BX209" s="350"/>
      <c r="BY209" s="19"/>
      <c r="BZ209" s="19"/>
      <c r="CA209" s="19"/>
      <c r="CB209" s="274"/>
      <c r="CC209" s="350"/>
      <c r="CD209" s="19"/>
      <c r="CE209" s="19"/>
      <c r="CF209" s="19"/>
      <c r="CG209" s="274"/>
      <c r="CH209" s="350"/>
      <c r="CI209" s="19"/>
      <c r="CJ209" s="19"/>
      <c r="CK209" s="19"/>
      <c r="CL209" s="274"/>
      <c r="CM209" s="350"/>
      <c r="CN209" s="19"/>
      <c r="CO209" s="19"/>
      <c r="CP209" s="19"/>
      <c r="CQ209" s="274"/>
      <c r="CR209" s="350"/>
      <c r="CS209" s="19"/>
      <c r="CT209" s="19"/>
      <c r="CU209" s="19"/>
      <c r="CV209" s="274"/>
      <c r="CW209" s="350"/>
      <c r="CX209" s="19"/>
      <c r="CY209" s="19"/>
      <c r="CZ209" s="19"/>
      <c r="DA209" s="274"/>
      <c r="DB209" s="350"/>
      <c r="DC209" s="19"/>
      <c r="DD209" s="19"/>
      <c r="DE209" s="19"/>
      <c r="DF209" s="274"/>
      <c r="DG209" s="350"/>
      <c r="DH209" s="19"/>
      <c r="DI209" s="19"/>
      <c r="DJ209" s="19"/>
      <c r="DK209" s="274"/>
      <c r="DL209" s="350"/>
      <c r="DM209" s="19"/>
      <c r="DN209" s="19"/>
      <c r="DO209" s="19"/>
      <c r="DP209" s="274"/>
      <c r="DQ209" s="350"/>
      <c r="DR209" s="19"/>
      <c r="DS209" s="19"/>
      <c r="DT209" s="19"/>
      <c r="DU209" s="274"/>
      <c r="DV209" s="350"/>
      <c r="DW209" s="19"/>
      <c r="DX209" s="19"/>
      <c r="DY209" s="19"/>
      <c r="DZ209" s="274"/>
      <c r="EA209" s="350"/>
      <c r="EB209" s="19"/>
      <c r="EC209" s="19"/>
      <c r="ED209" s="19"/>
      <c r="EE209" s="274"/>
      <c r="EF209" s="350"/>
      <c r="EG209" s="19"/>
      <c r="EH209" s="19"/>
      <c r="EI209" s="19"/>
      <c r="EJ209" s="274"/>
      <c r="EK209" s="350"/>
      <c r="EL209" s="19"/>
      <c r="EM209" s="19"/>
      <c r="EN209" s="19"/>
      <c r="EO209" s="244"/>
      <c r="ER209" s="451"/>
      <c r="ES209" s="451"/>
    </row>
    <row r="210" spans="4:149" x14ac:dyDescent="0.2">
      <c r="D210" s="393" t="s">
        <v>336</v>
      </c>
      <c r="E210" s="202"/>
      <c r="F210" s="350"/>
      <c r="G210" s="14">
        <f>SUM(G211:G214)</f>
        <v>5243353</v>
      </c>
      <c r="H210" s="19"/>
      <c r="I210" s="19"/>
      <c r="J210" s="274"/>
      <c r="K210" s="350"/>
      <c r="L210" s="14">
        <f>SUM(L211:L214)</f>
        <v>0</v>
      </c>
      <c r="M210" s="19"/>
      <c r="N210" s="19"/>
      <c r="O210" s="274"/>
      <c r="P210" s="350"/>
      <c r="Q210" s="14">
        <f>SUM(Q211:Q214)</f>
        <v>0</v>
      </c>
      <c r="R210" s="19"/>
      <c r="S210" s="19"/>
      <c r="T210" s="274"/>
      <c r="U210" s="350"/>
      <c r="V210" s="14">
        <f>SUM(V211:V214)</f>
        <v>0</v>
      </c>
      <c r="W210" s="19"/>
      <c r="X210" s="19"/>
      <c r="Y210" s="274"/>
      <c r="Z210" s="350"/>
      <c r="AA210" s="14">
        <f>SUM(AA211:AA214)</f>
        <v>0</v>
      </c>
      <c r="AB210" s="19"/>
      <c r="AC210" s="19"/>
      <c r="AD210" s="274"/>
      <c r="AE210" s="350"/>
      <c r="AF210" s="14">
        <f>SUM(AF211:AF214)</f>
        <v>0</v>
      </c>
      <c r="AG210" s="19"/>
      <c r="AH210" s="19"/>
      <c r="AI210" s="274"/>
      <c r="AJ210" s="350"/>
      <c r="AK210" s="14">
        <f>SUM(AK211:AK214)</f>
        <v>0</v>
      </c>
      <c r="AL210" s="19"/>
      <c r="AM210" s="18"/>
      <c r="AN210" s="274"/>
      <c r="AO210" s="350"/>
      <c r="AP210" s="14">
        <f>SUM(AP211:AP214)</f>
        <v>0</v>
      </c>
      <c r="AQ210" s="19"/>
      <c r="AR210" s="19"/>
      <c r="AS210" s="274"/>
      <c r="AT210" s="350"/>
      <c r="AU210" s="14">
        <f>SUM(AU211:AU214)</f>
        <v>0</v>
      </c>
      <c r="AV210" s="19"/>
      <c r="AW210" s="19"/>
      <c r="AX210" s="274"/>
      <c r="AY210" s="350"/>
      <c r="AZ210" s="14">
        <f>SUM(AZ211:AZ214)</f>
        <v>0</v>
      </c>
      <c r="BA210" s="19"/>
      <c r="BB210" s="19"/>
      <c r="BC210" s="274"/>
      <c r="BD210" s="350"/>
      <c r="BE210" s="14">
        <f>SUM(BE211:BE214)</f>
        <v>0</v>
      </c>
      <c r="BF210" s="19"/>
      <c r="BG210" s="19"/>
      <c r="BH210" s="274"/>
      <c r="BI210" s="350"/>
      <c r="BJ210" s="14">
        <f>SUM(BJ211:BJ214)</f>
        <v>7577210</v>
      </c>
      <c r="BK210" s="19"/>
      <c r="BL210" s="19"/>
      <c r="BM210" s="274"/>
      <c r="BN210" s="350"/>
      <c r="BO210" s="14">
        <f>SUM(BO211:BO214)</f>
        <v>0</v>
      </c>
      <c r="BP210" s="19"/>
      <c r="BQ210" s="19"/>
      <c r="BR210" s="274"/>
      <c r="BS210" s="350"/>
      <c r="BT210" s="14">
        <f>SUM(BT211:BT214)</f>
        <v>7577210</v>
      </c>
      <c r="BU210" s="19"/>
      <c r="BV210" s="19"/>
      <c r="BW210" s="274"/>
      <c r="BX210" s="350"/>
      <c r="BY210" s="14">
        <f>SUM(BY211:BY214)</f>
        <v>14152656</v>
      </c>
      <c r="BZ210" s="19"/>
      <c r="CA210" s="19"/>
      <c r="CB210" s="274"/>
      <c r="CC210" s="350"/>
      <c r="CD210" s="14">
        <f>SUM(CD211:CD214)</f>
        <v>0</v>
      </c>
      <c r="CE210" s="19"/>
      <c r="CF210" s="19"/>
      <c r="CG210" s="274"/>
      <c r="CH210" s="350"/>
      <c r="CI210" s="14">
        <f>SUM(CI211:CI214)</f>
        <v>14152656</v>
      </c>
      <c r="CJ210" s="19"/>
      <c r="CK210" s="19"/>
      <c r="CL210" s="274"/>
      <c r="CM210" s="350"/>
      <c r="CN210" s="14">
        <f>SUM(CN211:CN214)</f>
        <v>0</v>
      </c>
      <c r="CO210" s="19"/>
      <c r="CP210" s="19"/>
      <c r="CQ210" s="274"/>
      <c r="CR210" s="350"/>
      <c r="CS210" s="14">
        <f>SUM(CS211:CS214)</f>
        <v>0</v>
      </c>
      <c r="CT210" s="19"/>
      <c r="CU210" s="19"/>
      <c r="CV210" s="274"/>
      <c r="CW210" s="350"/>
      <c r="CX210" s="14">
        <f>SUM(CX211:CX214)</f>
        <v>0</v>
      </c>
      <c r="CY210" s="19"/>
      <c r="CZ210" s="19"/>
      <c r="DA210" s="274"/>
      <c r="DB210" s="350"/>
      <c r="DC210" s="14">
        <f>SUM(DC211:DC214)</f>
        <v>0</v>
      </c>
      <c r="DD210" s="19"/>
      <c r="DE210" s="18"/>
      <c r="DF210" s="274"/>
      <c r="DG210" s="350"/>
      <c r="DH210" s="14">
        <f>SUM(DH211:DH214)</f>
        <v>0</v>
      </c>
      <c r="DI210" s="19"/>
      <c r="DJ210" s="19"/>
      <c r="DK210" s="274"/>
      <c r="DL210" s="350"/>
      <c r="DM210" s="14">
        <f>SUM(DM211:DM214)</f>
        <v>0</v>
      </c>
      <c r="DN210" s="19"/>
      <c r="DO210" s="19"/>
      <c r="DP210" s="274"/>
      <c r="DQ210" s="350"/>
      <c r="DR210" s="14">
        <f>SUM(DR211:DR214)</f>
        <v>0</v>
      </c>
      <c r="DS210" s="19"/>
      <c r="DT210" s="19"/>
      <c r="DU210" s="274"/>
      <c r="DV210" s="350"/>
      <c r="DW210" s="14">
        <f>SUM(DW211:DW214)</f>
        <v>0</v>
      </c>
      <c r="DX210" s="19"/>
      <c r="DY210" s="19"/>
      <c r="DZ210" s="274"/>
      <c r="EA210" s="350"/>
      <c r="EB210" s="14">
        <f>SUM(EB211:EB214)</f>
        <v>0</v>
      </c>
      <c r="EC210" s="19"/>
      <c r="ED210" s="19"/>
      <c r="EE210" s="274"/>
      <c r="EF210" s="350"/>
      <c r="EG210" s="14">
        <f>SUM(EG211:EG214)</f>
        <v>0</v>
      </c>
      <c r="EH210" s="19"/>
      <c r="EI210" s="19"/>
      <c r="EJ210" s="274"/>
      <c r="EK210" s="350"/>
      <c r="EL210" s="14">
        <f>SUM(EL211:EL214)</f>
        <v>14152656</v>
      </c>
      <c r="EM210" s="19"/>
      <c r="EN210" s="19"/>
      <c r="EO210" s="244"/>
      <c r="ER210" s="451"/>
      <c r="ES210" s="451"/>
    </row>
    <row r="211" spans="4:149" x14ac:dyDescent="0.2">
      <c r="D211" s="244" t="s">
        <v>344</v>
      </c>
      <c r="E211" s="202"/>
      <c r="F211" s="358"/>
      <c r="G211" s="374">
        <f>G227+G253+G259+G222+G248+G233+G269+G217+G243+G238+G274+G264</f>
        <v>5234751</v>
      </c>
      <c r="H211" s="475"/>
      <c r="I211" s="19"/>
      <c r="J211" s="274"/>
      <c r="K211" s="358"/>
      <c r="L211" s="374">
        <f>L227+L253+L259+L222+L248+L233+L269+L217+L243+L238+L274+L264</f>
        <v>0</v>
      </c>
      <c r="M211" s="475"/>
      <c r="N211" s="19"/>
      <c r="O211" s="274"/>
      <c r="P211" s="358"/>
      <c r="Q211" s="374">
        <f>Q227+Q253+Q259+Q222+Q248+Q233+Q269+Q217+Q243+Q238+Q274+Q264</f>
        <v>0</v>
      </c>
      <c r="R211" s="475"/>
      <c r="S211" s="19"/>
      <c r="T211" s="274"/>
      <c r="U211" s="358"/>
      <c r="V211" s="374">
        <f>V227+V253+V259+V222+V248+V233+V269+V217+V243+V238+V274+V264</f>
        <v>0</v>
      </c>
      <c r="W211" s="475"/>
      <c r="X211" s="19"/>
      <c r="Y211" s="274"/>
      <c r="Z211" s="358"/>
      <c r="AA211" s="374">
        <f>AA227+AA253+AA259+AA222+AA248+AA233+AA269+AA217+AA243+AA238+AA274+AA264</f>
        <v>0</v>
      </c>
      <c r="AB211" s="475"/>
      <c r="AC211" s="19"/>
      <c r="AD211" s="274"/>
      <c r="AE211" s="358"/>
      <c r="AF211" s="374">
        <f>AF227+AF253+AF259+AF222+AF248+AF233+AF269+AF217+AF243+AF238+AF274+AF264</f>
        <v>0</v>
      </c>
      <c r="AG211" s="475"/>
      <c r="AH211" s="19"/>
      <c r="AI211" s="274"/>
      <c r="AJ211" s="358"/>
      <c r="AK211" s="374">
        <f>AK227+AK253+AK259+AK222+AK248+AK233+AK269+AK217+AK243+AK238+AK274+AK264</f>
        <v>0</v>
      </c>
      <c r="AL211" s="475"/>
      <c r="AM211" s="18"/>
      <c r="AN211" s="274"/>
      <c r="AO211" s="358"/>
      <c r="AP211" s="374">
        <f>AP227+AP253+AP259+AP222+AP248+AP233+AP269+AP217+AP243+AP238+AP274+AP264</f>
        <v>0</v>
      </c>
      <c r="AQ211" s="475"/>
      <c r="AR211" s="19"/>
      <c r="AS211" s="274"/>
      <c r="AT211" s="358"/>
      <c r="AU211" s="374">
        <f>AU227+AU253+AU259+AU222+AU248+AU233+AU269+AU217+AU243+AU238+AU274+AU264</f>
        <v>0</v>
      </c>
      <c r="AV211" s="475"/>
      <c r="AW211" s="19"/>
      <c r="AX211" s="274"/>
      <c r="AY211" s="358"/>
      <c r="AZ211" s="374">
        <f>AZ227+AZ253+AZ259+AZ222+AZ248+AZ233+AZ269+AZ217+AZ243+AZ238+AZ274+AZ264</f>
        <v>0</v>
      </c>
      <c r="BA211" s="475"/>
      <c r="BB211" s="19"/>
      <c r="BC211" s="274"/>
      <c r="BD211" s="358"/>
      <c r="BE211" s="374">
        <f>BE227+BE253+BE259+BE222+BE248+BE233+BE269+BE217+BE243+BE238+BE274+BE264</f>
        <v>0</v>
      </c>
      <c r="BF211" s="475"/>
      <c r="BG211" s="19"/>
      <c r="BH211" s="274"/>
      <c r="BI211" s="358"/>
      <c r="BJ211" s="374">
        <f>BJ227+BJ253+BJ259+BJ222+BJ248+BJ233+BJ269+BJ217+BJ243+BJ238+BJ274+BJ264</f>
        <v>7244040</v>
      </c>
      <c r="BK211" s="475"/>
      <c r="BL211" s="19"/>
      <c r="BM211" s="274"/>
      <c r="BN211" s="358"/>
      <c r="BO211" s="374">
        <f>BO227+BO253+BO259+BO222+BO248+BO233+BO269+BO217+BO243+BO238+BO274+BO264</f>
        <v>0</v>
      </c>
      <c r="BP211" s="475"/>
      <c r="BQ211" s="19"/>
      <c r="BR211" s="274"/>
      <c r="BS211" s="358"/>
      <c r="BT211" s="374">
        <f>BT227+BT253+BT259+BT222+BT248+BT233+BT269+BT217+BT243+BT238+BT274+BT264</f>
        <v>7244040</v>
      </c>
      <c r="BU211" s="475"/>
      <c r="BV211" s="19"/>
      <c r="BW211" s="274"/>
      <c r="BX211" s="358"/>
      <c r="BY211" s="374">
        <f>BY227+BY253+BY259+BY222+BY248+BY233+BY269+BY217+BY243+BY238+BY274+BY264</f>
        <v>12883788</v>
      </c>
      <c r="BZ211" s="475"/>
      <c r="CA211" s="19"/>
      <c r="CB211" s="274"/>
      <c r="CC211" s="358"/>
      <c r="CD211" s="374">
        <f>CD227+CD253+CD259+CD222+CD248+CD233+CD269+CD217+CD243+CD238+CD274+CD264</f>
        <v>0</v>
      </c>
      <c r="CE211" s="475"/>
      <c r="CF211" s="19"/>
      <c r="CG211" s="274"/>
      <c r="CH211" s="358"/>
      <c r="CI211" s="374">
        <f>CI227+CI253+CI259+CI222+CI248+CI233+CI269+CI217+CI243+CI238+CI274+CI264</f>
        <v>12883788</v>
      </c>
      <c r="CJ211" s="475"/>
      <c r="CK211" s="19"/>
      <c r="CL211" s="274"/>
      <c r="CM211" s="358"/>
      <c r="CN211" s="374">
        <f>CN227+CN253+CN259+CN222+CN248+CN233+CN269+CN217+CN243+CN238+CN274+CN264</f>
        <v>0</v>
      </c>
      <c r="CO211" s="475"/>
      <c r="CP211" s="19"/>
      <c r="CQ211" s="274"/>
      <c r="CR211" s="358"/>
      <c r="CS211" s="374">
        <f>CS227+CS253+CS259+CS222+CS248+CS233+CS269+CS217+CS243+CS238+CS274+CS264</f>
        <v>0</v>
      </c>
      <c r="CT211" s="475"/>
      <c r="CU211" s="19"/>
      <c r="CV211" s="274"/>
      <c r="CW211" s="358"/>
      <c r="CX211" s="374">
        <f>CX227+CX253+CX259+CX222+CX248+CX233+CX269+CX217+CX243+CX238+CX274+CX264</f>
        <v>0</v>
      </c>
      <c r="CY211" s="475"/>
      <c r="CZ211" s="19"/>
      <c r="DA211" s="274"/>
      <c r="DB211" s="358"/>
      <c r="DC211" s="374">
        <f>DC227+DC253+DC259+DC222+DC248+DC233+DC269+DC217+DC243+DC238+DC274+DC264</f>
        <v>0</v>
      </c>
      <c r="DD211" s="475"/>
      <c r="DE211" s="18"/>
      <c r="DF211" s="274"/>
      <c r="DG211" s="358"/>
      <c r="DH211" s="374">
        <f>DH227+DH253+DH259+DH222+DH248+DH233+DH269+DH217+DH243+DH238+DH274+DH264</f>
        <v>0</v>
      </c>
      <c r="DI211" s="475"/>
      <c r="DJ211" s="19"/>
      <c r="DK211" s="274"/>
      <c r="DL211" s="358"/>
      <c r="DM211" s="374">
        <f>DM227+DM253+DM259+DM222+DM248+DM233+DM269+DM217+DM243+DM238+DM274+DM264</f>
        <v>0</v>
      </c>
      <c r="DN211" s="475"/>
      <c r="DO211" s="19"/>
      <c r="DP211" s="274"/>
      <c r="DQ211" s="358"/>
      <c r="DR211" s="374">
        <f>DR227+DR253+DR259+DR222+DR248+DR233+DR269+DR217+DR243+DR238+DR274+DR264</f>
        <v>0</v>
      </c>
      <c r="DS211" s="475"/>
      <c r="DT211" s="19"/>
      <c r="DU211" s="274"/>
      <c r="DV211" s="358"/>
      <c r="DW211" s="374">
        <f>DW227+DW253+DW259+DW222+DW248+DW233+DW269+DW217+DW243+DW238+DW274+DW264</f>
        <v>0</v>
      </c>
      <c r="DX211" s="475"/>
      <c r="DY211" s="19"/>
      <c r="DZ211" s="274"/>
      <c r="EA211" s="358"/>
      <c r="EB211" s="374">
        <f>EB227+EB253+EB259+EB222+EB248+EB233+EB269+EB217+EB243+EB238+EB274+EB264</f>
        <v>0</v>
      </c>
      <c r="EC211" s="475"/>
      <c r="ED211" s="19"/>
      <c r="EE211" s="274"/>
      <c r="EF211" s="358"/>
      <c r="EG211" s="374">
        <f>EG227+EG253+EG259+EG222+EG248+EG233+EG269+EG217+EG243+EG238+EG274+EG264</f>
        <v>0</v>
      </c>
      <c r="EH211" s="475"/>
      <c r="EI211" s="19"/>
      <c r="EJ211" s="274"/>
      <c r="EK211" s="358"/>
      <c r="EL211" s="374">
        <f>EL227+EL253+EL259+EL222+EL248+EL233+EL269+EL217+EL243+EL238+EL274+EL264</f>
        <v>12883788</v>
      </c>
      <c r="EM211" s="475"/>
      <c r="EN211" s="19"/>
      <c r="EO211" s="244"/>
      <c r="ER211" s="451"/>
      <c r="ES211" s="451"/>
    </row>
    <row r="212" spans="4:149" x14ac:dyDescent="0.2">
      <c r="D212" s="244" t="s">
        <v>346</v>
      </c>
      <c r="E212" s="202"/>
      <c r="F212" s="147"/>
      <c r="G212" s="19">
        <f>G228+G254+G260+G223+G249+G234+G270+G218+G244+G239+G275+G265</f>
        <v>405928</v>
      </c>
      <c r="H212" s="18"/>
      <c r="I212" s="19"/>
      <c r="J212" s="274"/>
      <c r="K212" s="147"/>
      <c r="L212" s="19">
        <f>L228+L254+L260+L223+L249+L234+L270+L218+L244+L239+L275+L265</f>
        <v>0</v>
      </c>
      <c r="M212" s="18"/>
      <c r="N212" s="19"/>
      <c r="O212" s="274"/>
      <c r="P212" s="147"/>
      <c r="Q212" s="19">
        <f>Q228+Q254+Q260+Q223+Q249+Q234+Q270+Q218+Q244+Q239+Q275+Q265</f>
        <v>0</v>
      </c>
      <c r="R212" s="18"/>
      <c r="S212" s="19"/>
      <c r="T212" s="274"/>
      <c r="U212" s="147"/>
      <c r="V212" s="19">
        <f>V228+V254+V260+V223+V249+V234+V270+V218+V244+V239+V275+V265</f>
        <v>0</v>
      </c>
      <c r="W212" s="18"/>
      <c r="X212" s="19"/>
      <c r="Y212" s="274"/>
      <c r="Z212" s="147"/>
      <c r="AA212" s="19">
        <f>AA228+AA254+AA260+AA223+AA249+AA234+AA270+AA218+AA244+AA239+AA275+AA265</f>
        <v>0</v>
      </c>
      <c r="AB212" s="18"/>
      <c r="AC212" s="19"/>
      <c r="AD212" s="274"/>
      <c r="AE212" s="147"/>
      <c r="AF212" s="19">
        <f>AF228+AF254+AF260+AF223+AF249+AF234+AF270+AF218+AF244+AF239+AF275+AF265</f>
        <v>0</v>
      </c>
      <c r="AG212" s="18"/>
      <c r="AH212" s="19"/>
      <c r="AI212" s="274"/>
      <c r="AJ212" s="147"/>
      <c r="AK212" s="19">
        <f>AK228+AK254+AK260+AK223+AK249+AK234+AK270+AK218+AK244+AK239+AK275+AK265</f>
        <v>0</v>
      </c>
      <c r="AL212" s="18"/>
      <c r="AM212" s="19"/>
      <c r="AN212" s="274"/>
      <c r="AO212" s="147"/>
      <c r="AP212" s="19">
        <f>AP228+AP254+AP260+AP223+AP249+AP234+AP270+AP218+AP244+AP239+AP275+AP265</f>
        <v>0</v>
      </c>
      <c r="AQ212" s="18"/>
      <c r="AR212" s="19"/>
      <c r="AS212" s="274"/>
      <c r="AT212" s="147"/>
      <c r="AU212" s="19">
        <f>AU228+AU254+AU260+AU223+AU249+AU234+AU270+AU218+AU244+AU239+AU275+AU265</f>
        <v>0</v>
      </c>
      <c r="AV212" s="18"/>
      <c r="AW212" s="19"/>
      <c r="AX212" s="274"/>
      <c r="AY212" s="147"/>
      <c r="AZ212" s="19">
        <f>AZ228+AZ254+AZ260+AZ223+AZ249+AZ234+AZ270+AZ218+AZ244+AZ239+AZ275+AZ265</f>
        <v>0</v>
      </c>
      <c r="BA212" s="18"/>
      <c r="BB212" s="19"/>
      <c r="BC212" s="274"/>
      <c r="BD212" s="147"/>
      <c r="BE212" s="19">
        <f>BE228+BE254+BE260+BE223+BE249+BE234+BE270+BE218+BE244+BE239+BE275+BE265</f>
        <v>0</v>
      </c>
      <c r="BF212" s="18"/>
      <c r="BG212" s="19"/>
      <c r="BH212" s="274"/>
      <c r="BI212" s="147"/>
      <c r="BJ212" s="19">
        <f>BJ228+BJ254+BJ260+BJ223+BJ249+BJ234+BJ270+BJ218+BJ244+BJ239+BJ275+BJ265</f>
        <v>730496</v>
      </c>
      <c r="BK212" s="18"/>
      <c r="BL212" s="19"/>
      <c r="BM212" s="274"/>
      <c r="BN212" s="147"/>
      <c r="BO212" s="19">
        <f>BO228+BO254+BO260+BO223+BO249+BO234+BO270+BO218+BO244+BO239+BO275+BO265</f>
        <v>0</v>
      </c>
      <c r="BP212" s="18"/>
      <c r="BQ212" s="19"/>
      <c r="BR212" s="274"/>
      <c r="BS212" s="147"/>
      <c r="BT212" s="19">
        <f>BT228+BT254+BT260+BT223+BT249+BT234+BT270+BT218+BT244+BT239+BT275+BT265</f>
        <v>730496</v>
      </c>
      <c r="BU212" s="18"/>
      <c r="BV212" s="19"/>
      <c r="BW212" s="274"/>
      <c r="BX212" s="147"/>
      <c r="BY212" s="19">
        <f>BY228+BY254+BY260+BY223+BY249+BY234+BY270+BY218+BY244+BY239+BY275+BY265</f>
        <v>1646946</v>
      </c>
      <c r="BZ212" s="18"/>
      <c r="CA212" s="19"/>
      <c r="CB212" s="274"/>
      <c r="CC212" s="147"/>
      <c r="CD212" s="19">
        <f>CD228+CD254+CD260+CD223+CD249+CD234+CD270+CD218+CD244+CD239+CD275+CD265</f>
        <v>0</v>
      </c>
      <c r="CE212" s="18"/>
      <c r="CF212" s="19"/>
      <c r="CG212" s="274"/>
      <c r="CH212" s="147"/>
      <c r="CI212" s="19">
        <f>CI228+CI254+CI260+CI223+CI249+CI234+CI270+CI218+CI244+CI239+CI275+CI265</f>
        <v>1646946</v>
      </c>
      <c r="CJ212" s="18"/>
      <c r="CK212" s="19"/>
      <c r="CL212" s="274"/>
      <c r="CM212" s="147"/>
      <c r="CN212" s="19">
        <f>CN228+CN254+CN260+CN223+CN249+CN234+CN270+CN218+CN244+CN239+CN275+CN265</f>
        <v>0</v>
      </c>
      <c r="CO212" s="18"/>
      <c r="CP212" s="19"/>
      <c r="CQ212" s="274"/>
      <c r="CR212" s="147"/>
      <c r="CS212" s="19">
        <f>CS228+CS254+CS260+CS223+CS249+CS234+CS270+CS218+CS244+CS239+CS275+CS265</f>
        <v>0</v>
      </c>
      <c r="CT212" s="18"/>
      <c r="CU212" s="19"/>
      <c r="CV212" s="274"/>
      <c r="CW212" s="147"/>
      <c r="CX212" s="19">
        <f>CX228+CX254+CX260+CX223+CX249+CX234+CX270+CX218+CX244+CX239+CX275+CX265</f>
        <v>0</v>
      </c>
      <c r="CY212" s="18"/>
      <c r="CZ212" s="19"/>
      <c r="DA212" s="274"/>
      <c r="DB212" s="147"/>
      <c r="DC212" s="19">
        <f>DC228+DC254+DC260+DC223+DC249+DC234+DC270+DC218+DC244+DC239+DC275+DC265</f>
        <v>0</v>
      </c>
      <c r="DD212" s="18"/>
      <c r="DE212" s="19"/>
      <c r="DF212" s="274"/>
      <c r="DG212" s="147"/>
      <c r="DH212" s="19">
        <f>DH228+DH254+DH260+DH223+DH249+DH234+DH270+DH218+DH244+DH239+DH275+DH265</f>
        <v>0</v>
      </c>
      <c r="DI212" s="18"/>
      <c r="DJ212" s="19"/>
      <c r="DK212" s="274"/>
      <c r="DL212" s="147"/>
      <c r="DM212" s="19">
        <f>DM228+DM254+DM260+DM223+DM249+DM234+DM270+DM218+DM244+DM239+DM275+DM265</f>
        <v>0</v>
      </c>
      <c r="DN212" s="18"/>
      <c r="DO212" s="19"/>
      <c r="DP212" s="274"/>
      <c r="DQ212" s="147"/>
      <c r="DR212" s="19">
        <f>DR228+DR254+DR260+DR223+DR249+DR234+DR270+DR218+DR244+DR239+DR275+DR265</f>
        <v>0</v>
      </c>
      <c r="DS212" s="18"/>
      <c r="DT212" s="19"/>
      <c r="DU212" s="274"/>
      <c r="DV212" s="147"/>
      <c r="DW212" s="19">
        <f>DW228+DW254+DW260+DW223+DW249+DW234+DW270+DW218+DW244+DW239+DW275+DW265</f>
        <v>0</v>
      </c>
      <c r="DX212" s="18"/>
      <c r="DY212" s="19"/>
      <c r="DZ212" s="274"/>
      <c r="EA212" s="147"/>
      <c r="EB212" s="19">
        <f>EB228+EB254+EB260+EB223+EB249+EB234+EB270+EB218+EB244+EB239+EB275+EB265</f>
        <v>0</v>
      </c>
      <c r="EC212" s="18"/>
      <c r="ED212" s="19"/>
      <c r="EE212" s="274"/>
      <c r="EF212" s="147"/>
      <c r="EG212" s="19">
        <f>EG228+EG254+EG260+EG223+EG249+EG234+EG270+EG218+EG244+EG239+EG275+EG265</f>
        <v>0</v>
      </c>
      <c r="EH212" s="18"/>
      <c r="EI212" s="19"/>
      <c r="EJ212" s="274"/>
      <c r="EK212" s="147"/>
      <c r="EL212" s="19">
        <f>EL228+EL254+EL260+EL223+EL249+EL234+EL270+EL218+EL244+EL239+EL275+EL265</f>
        <v>1646946</v>
      </c>
      <c r="EM212" s="18"/>
      <c r="EN212" s="19"/>
      <c r="EO212" s="244"/>
      <c r="ER212" s="451"/>
      <c r="ES212" s="451"/>
    </row>
    <row r="213" spans="4:149" x14ac:dyDescent="0.2">
      <c r="D213" s="244" t="s">
        <v>354</v>
      </c>
      <c r="E213" s="202"/>
      <c r="F213" s="147"/>
      <c r="G213" s="19">
        <f>G229+G255+G261+G224+G250+G235+G271+G219+G245+G240+G276+G266</f>
        <v>-397326</v>
      </c>
      <c r="H213" s="18"/>
      <c r="I213" s="19"/>
      <c r="J213" s="274"/>
      <c r="K213" s="147"/>
      <c r="L213" s="19">
        <f>L229+L255+L261+L224+L250+L235+L271+L219+L245+L240+L276+L266</f>
        <v>0</v>
      </c>
      <c r="M213" s="18"/>
      <c r="N213" s="19"/>
      <c r="O213" s="274"/>
      <c r="P213" s="147"/>
      <c r="Q213" s="19">
        <f>Q229+Q255+Q261+Q224+Q250+Q235+Q271+Q219+Q245+Q240+Q276+Q266</f>
        <v>0</v>
      </c>
      <c r="R213" s="18"/>
      <c r="S213" s="19"/>
      <c r="T213" s="274"/>
      <c r="U213" s="147"/>
      <c r="V213" s="19">
        <f>V229+V255+V261+V224+V250+V235+V271+V219+V245+V240+V276+V266</f>
        <v>0</v>
      </c>
      <c r="W213" s="18"/>
      <c r="X213" s="19"/>
      <c r="Y213" s="274"/>
      <c r="Z213" s="147"/>
      <c r="AA213" s="19">
        <f>AA229+AA255+AA261+AA224+AA250+AA235+AA271+AA219+AA245+AA240+AA276+AA266</f>
        <v>0</v>
      </c>
      <c r="AB213" s="18"/>
      <c r="AC213" s="19"/>
      <c r="AD213" s="274"/>
      <c r="AE213" s="147"/>
      <c r="AF213" s="19">
        <f>AF229+AF255+AF261+AF224+AF250+AF235+AF271+AF219+AF245+AF240+AF276+AF266</f>
        <v>0</v>
      </c>
      <c r="AG213" s="18"/>
      <c r="AH213" s="19"/>
      <c r="AI213" s="274"/>
      <c r="AJ213" s="147"/>
      <c r="AK213" s="19">
        <f>AK229+AK255+AK261+AK224+AK250+AK235+AK271+AK219+AK245+AK240+AK276+AK266</f>
        <v>0</v>
      </c>
      <c r="AL213" s="18"/>
      <c r="AM213" s="19"/>
      <c r="AN213" s="274"/>
      <c r="AO213" s="147"/>
      <c r="AP213" s="19">
        <f>AP229+AP255+AP261+AP224+AP250+AP235+AP271+AP219+AP245+AP240+AP276+AP266</f>
        <v>0</v>
      </c>
      <c r="AQ213" s="18"/>
      <c r="AR213" s="19"/>
      <c r="AS213" s="274"/>
      <c r="AT213" s="147"/>
      <c r="AU213" s="19">
        <f>AU229+AU255+AU261+AU224+AU250+AU235+AU271+AU219+AU245+AU240+AU276+AU266</f>
        <v>0</v>
      </c>
      <c r="AV213" s="18"/>
      <c r="AW213" s="19"/>
      <c r="AX213" s="274"/>
      <c r="AY213" s="147"/>
      <c r="AZ213" s="19">
        <f>AZ229+AZ255+AZ261+AZ224+AZ250+AZ235+AZ271+AZ219+AZ245+AZ240+AZ276+AZ266</f>
        <v>0</v>
      </c>
      <c r="BA213" s="18"/>
      <c r="BB213" s="19"/>
      <c r="BC213" s="274"/>
      <c r="BD213" s="147"/>
      <c r="BE213" s="19">
        <f>BE229+BE255+BE261+BE224+BE250+BE235+BE271+BE219+BE245+BE240+BE276+BE266</f>
        <v>0</v>
      </c>
      <c r="BF213" s="18"/>
      <c r="BG213" s="19"/>
      <c r="BH213" s="274"/>
      <c r="BI213" s="147"/>
      <c r="BJ213" s="19">
        <f>BJ229+BJ255+BJ261+BJ224+BJ250+BJ235+BJ271+BJ219+BJ245+BJ240+BJ276+BJ266</f>
        <v>-397326</v>
      </c>
      <c r="BK213" s="18"/>
      <c r="BL213" s="19"/>
      <c r="BM213" s="274"/>
      <c r="BN213" s="147"/>
      <c r="BO213" s="19">
        <f>BO229+BO255+BO261+BO224+BO250+BO235+BO271+BO219+BO245+BO240+BO276+BO266</f>
        <v>0</v>
      </c>
      <c r="BP213" s="18"/>
      <c r="BQ213" s="19"/>
      <c r="BR213" s="274"/>
      <c r="BS213" s="147"/>
      <c r="BT213" s="19">
        <f>BT229+BT255+BT261+BT224+BT250+BT235+BT271+BT219+BT245+BT240+BT276+BT266</f>
        <v>-397326</v>
      </c>
      <c r="BU213" s="18"/>
      <c r="BV213" s="19"/>
      <c r="BW213" s="274"/>
      <c r="BX213" s="147"/>
      <c r="BY213" s="19">
        <f>BY229+BY255+BY261+BY224+BY250+BY235+BY271+BY219+BY245+BY240+BY276+BY266</f>
        <v>-378078</v>
      </c>
      <c r="BZ213" s="18"/>
      <c r="CA213" s="19"/>
      <c r="CB213" s="274"/>
      <c r="CC213" s="147"/>
      <c r="CD213" s="19">
        <f>CD229+CD255+CD261+CD224+CD250+CD235+CD271+CD219+CD245+CD240+CD276+CD266</f>
        <v>0</v>
      </c>
      <c r="CE213" s="18"/>
      <c r="CF213" s="19"/>
      <c r="CG213" s="274"/>
      <c r="CH213" s="147"/>
      <c r="CI213" s="19">
        <f>CI229+CI255+CI261+CI224+CI250+CI235+CI271+CI219+CI245+CI240+CI276+CI266</f>
        <v>-378078</v>
      </c>
      <c r="CJ213" s="18"/>
      <c r="CK213" s="19"/>
      <c r="CL213" s="274"/>
      <c r="CM213" s="147"/>
      <c r="CN213" s="19">
        <f>CN229+CN255+CN261+CN224+CN250+CN235+CN271+CN219+CN245+CN240+CN276+CN266</f>
        <v>0</v>
      </c>
      <c r="CO213" s="18"/>
      <c r="CP213" s="19"/>
      <c r="CQ213" s="274"/>
      <c r="CR213" s="147"/>
      <c r="CS213" s="19">
        <f>CS229+CS255+CS261+CS224+CS250+CS235+CS271+CS219+CS245+CS240+CS276+CS266</f>
        <v>0</v>
      </c>
      <c r="CT213" s="18"/>
      <c r="CU213" s="19"/>
      <c r="CV213" s="274"/>
      <c r="CW213" s="147"/>
      <c r="CX213" s="19">
        <f>CX229+CX255+CX261+CX224+CX250+CX235+CX271+CX219+CX245+CX240+CX276+CX266</f>
        <v>0</v>
      </c>
      <c r="CY213" s="18"/>
      <c r="CZ213" s="19"/>
      <c r="DA213" s="274"/>
      <c r="DB213" s="147"/>
      <c r="DC213" s="19">
        <f>DC229+DC255+DC261+DC224+DC250+DC235+DC271+DC219+DC245+DC240+DC276+DC266</f>
        <v>0</v>
      </c>
      <c r="DD213" s="18"/>
      <c r="DE213" s="19"/>
      <c r="DF213" s="274"/>
      <c r="DG213" s="147"/>
      <c r="DH213" s="19">
        <f>DH229+DH255+DH261+DH224+DH250+DH235+DH271+DH219+DH245+DH240+DH276+DH266</f>
        <v>0</v>
      </c>
      <c r="DI213" s="18"/>
      <c r="DJ213" s="19"/>
      <c r="DK213" s="274"/>
      <c r="DL213" s="147"/>
      <c r="DM213" s="19">
        <f>DM229+DM255+DM261+DM224+DM250+DM235+DM271+DM219+DM245+DM240+DM276+DM266</f>
        <v>0</v>
      </c>
      <c r="DN213" s="18"/>
      <c r="DO213" s="19"/>
      <c r="DP213" s="274"/>
      <c r="DQ213" s="147"/>
      <c r="DR213" s="19">
        <f>DR229+DR255+DR261+DR224+DR250+DR235+DR271+DR219+DR245+DR240+DR276+DR266</f>
        <v>0</v>
      </c>
      <c r="DS213" s="18"/>
      <c r="DT213" s="19"/>
      <c r="DU213" s="274"/>
      <c r="DV213" s="147"/>
      <c r="DW213" s="19">
        <f>DW229+DW255+DW261+DW224+DW250+DW235+DW271+DW219+DW245+DW240+DW276+DW266</f>
        <v>0</v>
      </c>
      <c r="DX213" s="18"/>
      <c r="DY213" s="19"/>
      <c r="DZ213" s="274"/>
      <c r="EA213" s="147"/>
      <c r="EB213" s="19">
        <f>EB229+EB255+EB261+EB224+EB250+EB235+EB271+EB219+EB245+EB240+EB276+EB266</f>
        <v>0</v>
      </c>
      <c r="EC213" s="18"/>
      <c r="ED213" s="19"/>
      <c r="EE213" s="274"/>
      <c r="EF213" s="147"/>
      <c r="EG213" s="19">
        <f>EG229+EG255+EG261+EG224+EG250+EG235+EG271+EG219+EG245+EG240+EG276+EG266</f>
        <v>0</v>
      </c>
      <c r="EH213" s="18"/>
      <c r="EI213" s="19"/>
      <c r="EJ213" s="274"/>
      <c r="EK213" s="147"/>
      <c r="EL213" s="19">
        <f>EL229+EL255+EL261+EL224+EL250+EL235+EL271+EL219+EL245+EL240+EL276+EL266</f>
        <v>-378078</v>
      </c>
      <c r="EM213" s="18"/>
      <c r="EN213" s="19"/>
      <c r="EO213" s="244"/>
      <c r="ER213" s="451"/>
      <c r="ES213" s="451"/>
    </row>
    <row r="214" spans="4:149" x14ac:dyDescent="0.2">
      <c r="D214" s="244" t="s">
        <v>348</v>
      </c>
      <c r="E214" s="202"/>
      <c r="F214" s="255"/>
      <c r="G214" s="37">
        <f>G230+G256</f>
        <v>0</v>
      </c>
      <c r="H214" s="36"/>
      <c r="I214" s="19"/>
      <c r="J214" s="274"/>
      <c r="K214" s="255"/>
      <c r="L214" s="37">
        <f>L230+L256</f>
        <v>0</v>
      </c>
      <c r="M214" s="36"/>
      <c r="N214" s="19"/>
      <c r="O214" s="274"/>
      <c r="P214" s="255"/>
      <c r="Q214" s="37">
        <f>Q230+Q256</f>
        <v>0</v>
      </c>
      <c r="R214" s="36"/>
      <c r="S214" s="19"/>
      <c r="T214" s="274"/>
      <c r="U214" s="255"/>
      <c r="V214" s="37">
        <f>V230+V256</f>
        <v>0</v>
      </c>
      <c r="W214" s="36"/>
      <c r="X214" s="19"/>
      <c r="Y214" s="274"/>
      <c r="Z214" s="255"/>
      <c r="AA214" s="37">
        <f>AA230+AA256</f>
        <v>0</v>
      </c>
      <c r="AB214" s="36"/>
      <c r="AC214" s="19"/>
      <c r="AD214" s="274"/>
      <c r="AE214" s="255"/>
      <c r="AF214" s="37">
        <f>AF230+AF256</f>
        <v>0</v>
      </c>
      <c r="AG214" s="36"/>
      <c r="AH214" s="19"/>
      <c r="AI214" s="274"/>
      <c r="AJ214" s="255"/>
      <c r="AK214" s="37">
        <f>AK230+AK256</f>
        <v>0</v>
      </c>
      <c r="AL214" s="36"/>
      <c r="AM214" s="19"/>
      <c r="AN214" s="274"/>
      <c r="AO214" s="255"/>
      <c r="AP214" s="37">
        <f>AP230+AP256</f>
        <v>0</v>
      </c>
      <c r="AQ214" s="36"/>
      <c r="AR214" s="19"/>
      <c r="AS214" s="274"/>
      <c r="AT214" s="255"/>
      <c r="AU214" s="37">
        <f>AU230+AU256</f>
        <v>0</v>
      </c>
      <c r="AV214" s="36"/>
      <c r="AW214" s="19"/>
      <c r="AX214" s="274"/>
      <c r="AY214" s="255"/>
      <c r="AZ214" s="37">
        <f>AZ230+AZ256</f>
        <v>0</v>
      </c>
      <c r="BA214" s="36"/>
      <c r="BB214" s="19"/>
      <c r="BC214" s="274"/>
      <c r="BD214" s="255"/>
      <c r="BE214" s="37">
        <f>BE230+BE256</f>
        <v>0</v>
      </c>
      <c r="BF214" s="36"/>
      <c r="BG214" s="19"/>
      <c r="BH214" s="274"/>
      <c r="BI214" s="255"/>
      <c r="BJ214" s="37">
        <f>BJ230+BJ256</f>
        <v>0</v>
      </c>
      <c r="BK214" s="36"/>
      <c r="BL214" s="19"/>
      <c r="BM214" s="274"/>
      <c r="BN214" s="255"/>
      <c r="BO214" s="37">
        <f>BO230+BO256</f>
        <v>0</v>
      </c>
      <c r="BP214" s="36"/>
      <c r="BQ214" s="19"/>
      <c r="BR214" s="274"/>
      <c r="BS214" s="255"/>
      <c r="BT214" s="37">
        <f>BT230+BT256</f>
        <v>0</v>
      </c>
      <c r="BU214" s="36"/>
      <c r="BV214" s="19"/>
      <c r="BW214" s="274"/>
      <c r="BX214" s="255"/>
      <c r="BY214" s="37">
        <f>BY230+BY256</f>
        <v>0</v>
      </c>
      <c r="BZ214" s="36"/>
      <c r="CA214" s="19"/>
      <c r="CB214" s="274"/>
      <c r="CC214" s="255"/>
      <c r="CD214" s="37">
        <f>CD230+CD256</f>
        <v>0</v>
      </c>
      <c r="CE214" s="36"/>
      <c r="CF214" s="19"/>
      <c r="CG214" s="274"/>
      <c r="CH214" s="255"/>
      <c r="CI214" s="37">
        <f>CI230+CI256</f>
        <v>0</v>
      </c>
      <c r="CJ214" s="36"/>
      <c r="CK214" s="19"/>
      <c r="CL214" s="274"/>
      <c r="CM214" s="255"/>
      <c r="CN214" s="37">
        <f>CN230+CN256</f>
        <v>0</v>
      </c>
      <c r="CO214" s="36"/>
      <c r="CP214" s="19"/>
      <c r="CQ214" s="274"/>
      <c r="CR214" s="255"/>
      <c r="CS214" s="37">
        <f>CS230+CS256</f>
        <v>0</v>
      </c>
      <c r="CT214" s="36"/>
      <c r="CU214" s="19"/>
      <c r="CV214" s="274"/>
      <c r="CW214" s="255"/>
      <c r="CX214" s="37">
        <f>CX230+CX256</f>
        <v>0</v>
      </c>
      <c r="CY214" s="36"/>
      <c r="CZ214" s="19"/>
      <c r="DA214" s="274"/>
      <c r="DB214" s="255"/>
      <c r="DC214" s="37">
        <f>DC230+DC256</f>
        <v>0</v>
      </c>
      <c r="DD214" s="36"/>
      <c r="DE214" s="19"/>
      <c r="DF214" s="274"/>
      <c r="DG214" s="255"/>
      <c r="DH214" s="37">
        <f>DH230+DH256</f>
        <v>0</v>
      </c>
      <c r="DI214" s="36"/>
      <c r="DJ214" s="19"/>
      <c r="DK214" s="274"/>
      <c r="DL214" s="255"/>
      <c r="DM214" s="37">
        <f>DM230+DM256</f>
        <v>0</v>
      </c>
      <c r="DN214" s="36"/>
      <c r="DO214" s="19"/>
      <c r="DP214" s="274"/>
      <c r="DQ214" s="255"/>
      <c r="DR214" s="37">
        <f>DR230+DR256</f>
        <v>0</v>
      </c>
      <c r="DS214" s="36"/>
      <c r="DT214" s="19"/>
      <c r="DU214" s="274"/>
      <c r="DV214" s="255"/>
      <c r="DW214" s="37">
        <f>DW230+DW256</f>
        <v>0</v>
      </c>
      <c r="DX214" s="36"/>
      <c r="DY214" s="19"/>
      <c r="DZ214" s="274"/>
      <c r="EA214" s="255"/>
      <c r="EB214" s="37">
        <f>EB230+EB256</f>
        <v>0</v>
      </c>
      <c r="EC214" s="36"/>
      <c r="ED214" s="19"/>
      <c r="EE214" s="274"/>
      <c r="EF214" s="255"/>
      <c r="EG214" s="37">
        <f>EG230+EG256</f>
        <v>0</v>
      </c>
      <c r="EH214" s="36"/>
      <c r="EI214" s="19"/>
      <c r="EJ214" s="274"/>
      <c r="EK214" s="255"/>
      <c r="EL214" s="37">
        <f>EL230+EL256</f>
        <v>0</v>
      </c>
      <c r="EM214" s="36"/>
      <c r="EN214" s="19"/>
      <c r="EO214" s="244"/>
      <c r="ER214" s="451"/>
      <c r="ES214" s="451"/>
    </row>
    <row r="215" spans="4:149" x14ac:dyDescent="0.2">
      <c r="D215" s="244"/>
      <c r="E215" s="202"/>
      <c r="F215" s="350"/>
      <c r="G215" s="19"/>
      <c r="H215" s="19"/>
      <c r="I215" s="19"/>
      <c r="J215" s="274"/>
      <c r="K215" s="350"/>
      <c r="L215" s="19"/>
      <c r="M215" s="19"/>
      <c r="N215" s="19"/>
      <c r="O215" s="274"/>
      <c r="P215" s="350"/>
      <c r="Q215" s="19"/>
      <c r="R215" s="19"/>
      <c r="S215" s="19"/>
      <c r="T215" s="274"/>
      <c r="U215" s="350"/>
      <c r="V215" s="19"/>
      <c r="W215" s="19"/>
      <c r="X215" s="19"/>
      <c r="Y215" s="274"/>
      <c r="Z215" s="350"/>
      <c r="AA215" s="19"/>
      <c r="AB215" s="19"/>
      <c r="AC215" s="19"/>
      <c r="AD215" s="274"/>
      <c r="AE215" s="350"/>
      <c r="AF215" s="19"/>
      <c r="AG215" s="19"/>
      <c r="AH215" s="19"/>
      <c r="AI215" s="274"/>
      <c r="AJ215" s="350"/>
      <c r="AK215" s="19"/>
      <c r="AL215" s="19"/>
      <c r="AM215" s="19"/>
      <c r="AN215" s="274"/>
      <c r="AO215" s="350"/>
      <c r="AP215" s="19"/>
      <c r="AQ215" s="19"/>
      <c r="AR215" s="19"/>
      <c r="AS215" s="274"/>
      <c r="AT215" s="350"/>
      <c r="AU215" s="19"/>
      <c r="AV215" s="19"/>
      <c r="AW215" s="19"/>
      <c r="AX215" s="274"/>
      <c r="AY215" s="350"/>
      <c r="AZ215" s="19"/>
      <c r="BA215" s="19"/>
      <c r="BB215" s="19"/>
      <c r="BC215" s="274"/>
      <c r="BD215" s="350"/>
      <c r="BE215" s="19"/>
      <c r="BF215" s="19"/>
      <c r="BG215" s="19"/>
      <c r="BH215" s="274"/>
      <c r="BI215" s="350"/>
      <c r="BJ215" s="19"/>
      <c r="BK215" s="19"/>
      <c r="BL215" s="19"/>
      <c r="BM215" s="274"/>
      <c r="BN215" s="350"/>
      <c r="BO215" s="19"/>
      <c r="BP215" s="19"/>
      <c r="BQ215" s="19"/>
      <c r="BR215" s="274"/>
      <c r="BS215" s="350"/>
      <c r="BT215" s="19"/>
      <c r="BU215" s="19"/>
      <c r="BV215" s="19"/>
      <c r="BW215" s="274"/>
      <c r="BX215" s="350"/>
      <c r="BY215" s="19"/>
      <c r="BZ215" s="19"/>
      <c r="CA215" s="19"/>
      <c r="CB215" s="274"/>
      <c r="CC215" s="350"/>
      <c r="CD215" s="19"/>
      <c r="CE215" s="19"/>
      <c r="CF215" s="19"/>
      <c r="CG215" s="274"/>
      <c r="CH215" s="350"/>
      <c r="CI215" s="19"/>
      <c r="CJ215" s="19"/>
      <c r="CK215" s="19"/>
      <c r="CL215" s="274"/>
      <c r="CM215" s="350"/>
      <c r="CN215" s="19"/>
      <c r="CO215" s="19"/>
      <c r="CP215" s="19"/>
      <c r="CQ215" s="274"/>
      <c r="CR215" s="350"/>
      <c r="CS215" s="19"/>
      <c r="CT215" s="19"/>
      <c r="CU215" s="19"/>
      <c r="CV215" s="274"/>
      <c r="CW215" s="350"/>
      <c r="CX215" s="19"/>
      <c r="CY215" s="19"/>
      <c r="CZ215" s="19"/>
      <c r="DA215" s="274"/>
      <c r="DB215" s="350"/>
      <c r="DC215" s="19"/>
      <c r="DD215" s="19"/>
      <c r="DE215" s="19"/>
      <c r="DF215" s="274"/>
      <c r="DG215" s="350"/>
      <c r="DH215" s="19"/>
      <c r="DI215" s="19"/>
      <c r="DJ215" s="19"/>
      <c r="DK215" s="274"/>
      <c r="DL215" s="350"/>
      <c r="DM215" s="19"/>
      <c r="DN215" s="19"/>
      <c r="DO215" s="19"/>
      <c r="DP215" s="274"/>
      <c r="DQ215" s="350"/>
      <c r="DR215" s="19"/>
      <c r="DS215" s="19"/>
      <c r="DT215" s="19"/>
      <c r="DU215" s="274"/>
      <c r="DV215" s="350"/>
      <c r="DW215" s="19"/>
      <c r="DX215" s="19"/>
      <c r="DY215" s="19"/>
      <c r="DZ215" s="274"/>
      <c r="EA215" s="350"/>
      <c r="EB215" s="19"/>
      <c r="EC215" s="19"/>
      <c r="ED215" s="19"/>
      <c r="EE215" s="274"/>
      <c r="EF215" s="350"/>
      <c r="EG215" s="19"/>
      <c r="EH215" s="19"/>
      <c r="EI215" s="19"/>
      <c r="EJ215" s="274"/>
      <c r="EK215" s="350"/>
      <c r="EL215" s="19"/>
      <c r="EM215" s="19"/>
      <c r="EN215" s="19"/>
      <c r="EO215" s="244"/>
      <c r="ER215" s="451"/>
      <c r="ES215" s="451"/>
    </row>
    <row r="216" spans="4:149" x14ac:dyDescent="0.2">
      <c r="D216" s="244" t="s">
        <v>400</v>
      </c>
      <c r="G216" s="19">
        <f>SUM(G217:G219)</f>
        <v>0</v>
      </c>
      <c r="H216" s="19"/>
      <c r="I216" s="19"/>
      <c r="J216" s="274"/>
      <c r="K216" s="19"/>
      <c r="L216" s="19">
        <f>SUM(L217:L219)</f>
        <v>0</v>
      </c>
      <c r="M216" s="19"/>
      <c r="N216" s="19"/>
      <c r="O216" s="274"/>
      <c r="P216" s="19"/>
      <c r="Q216" s="19">
        <f>SUM(Q217:Q219)</f>
        <v>0</v>
      </c>
      <c r="R216" s="19"/>
      <c r="S216" s="19"/>
      <c r="T216" s="274"/>
      <c r="U216" s="19"/>
      <c r="V216" s="19">
        <f>SUM(V217:V219)</f>
        <v>0</v>
      </c>
      <c r="W216" s="19"/>
      <c r="X216" s="19"/>
      <c r="Y216" s="274"/>
      <c r="Z216" s="19"/>
      <c r="AA216" s="19">
        <f>SUM(AA217:AA219)</f>
        <v>0</v>
      </c>
      <c r="AB216" s="19"/>
      <c r="AC216" s="19"/>
      <c r="AD216" s="274"/>
      <c r="AE216" s="19"/>
      <c r="AF216" s="19">
        <f>SUM(AF217:AF219)</f>
        <v>0</v>
      </c>
      <c r="AG216" s="19"/>
      <c r="AH216" s="19"/>
      <c r="AI216" s="274"/>
      <c r="AJ216" s="19"/>
      <c r="AK216" s="19">
        <f>SUM(AK217:AK219)</f>
        <v>0</v>
      </c>
      <c r="AL216" s="19"/>
      <c r="AM216" s="19"/>
      <c r="AN216" s="274"/>
      <c r="AO216" s="19"/>
      <c r="AP216" s="19">
        <f>SUM(AP217:AP219)</f>
        <v>0</v>
      </c>
      <c r="AQ216" s="19"/>
      <c r="AR216" s="19"/>
      <c r="AS216" s="274"/>
      <c r="AT216" s="19"/>
      <c r="AU216" s="19">
        <f>SUM(AU217:AU219)</f>
        <v>0</v>
      </c>
      <c r="AV216" s="19"/>
      <c r="AW216" s="19"/>
      <c r="AX216" s="274"/>
      <c r="AY216" s="19"/>
      <c r="AZ216" s="19">
        <f>SUM(AZ217:AZ219)</f>
        <v>0</v>
      </c>
      <c r="BA216" s="19"/>
      <c r="BB216" s="19"/>
      <c r="BC216" s="274"/>
      <c r="BD216" s="19"/>
      <c r="BE216" s="19">
        <f>SUM(BE217:BE219)</f>
        <v>0</v>
      </c>
      <c r="BF216" s="19"/>
      <c r="BG216" s="19"/>
      <c r="BH216" s="274"/>
      <c r="BI216" s="19"/>
      <c r="BJ216" s="19">
        <f>SUM(BJ217:BJ219)</f>
        <v>0</v>
      </c>
      <c r="BK216" s="19"/>
      <c r="BL216" s="19"/>
      <c r="BM216" s="274"/>
      <c r="BN216" s="19"/>
      <c r="BO216" s="19">
        <f>SUM(BO217:BO219)</f>
        <v>0</v>
      </c>
      <c r="BP216" s="19"/>
      <c r="BQ216" s="19"/>
      <c r="BR216" s="274"/>
      <c r="BS216" s="19"/>
      <c r="BT216" s="19">
        <f>SUM(BT217:BT219)</f>
        <v>0</v>
      </c>
      <c r="BU216" s="19"/>
      <c r="BV216" s="19"/>
      <c r="BW216" s="274"/>
      <c r="BX216" s="19"/>
      <c r="BY216" s="19">
        <f>SUM(BY217:BY219)</f>
        <v>975324</v>
      </c>
      <c r="BZ216" s="19"/>
      <c r="CA216" s="19"/>
      <c r="CB216" s="274"/>
      <c r="CC216" s="19"/>
      <c r="CD216" s="19">
        <f>SUM(CD217:CD219)</f>
        <v>0</v>
      </c>
      <c r="CE216" s="19"/>
      <c r="CF216" s="19"/>
      <c r="CG216" s="274"/>
      <c r="CH216" s="19"/>
      <c r="CI216" s="19">
        <f>SUM(CI217:CI219)</f>
        <v>975324</v>
      </c>
      <c r="CJ216" s="19"/>
      <c r="CK216" s="19"/>
      <c r="CL216" s="274"/>
      <c r="CM216" s="19"/>
      <c r="CN216" s="19">
        <f>SUM(CN217:CN219)</f>
        <v>0</v>
      </c>
      <c r="CO216" s="19"/>
      <c r="CP216" s="19"/>
      <c r="CQ216" s="274"/>
      <c r="CR216" s="19"/>
      <c r="CS216" s="19">
        <f>SUM(CS217:CS219)</f>
        <v>0</v>
      </c>
      <c r="CT216" s="19"/>
      <c r="CU216" s="19"/>
      <c r="CV216" s="274"/>
      <c r="CW216" s="19"/>
      <c r="CX216" s="19">
        <f>SUM(CX217:CX219)</f>
        <v>0</v>
      </c>
      <c r="CY216" s="19"/>
      <c r="CZ216" s="19"/>
      <c r="DA216" s="274"/>
      <c r="DB216" s="19"/>
      <c r="DC216" s="19">
        <f>SUM(DC217:DC219)</f>
        <v>0</v>
      </c>
      <c r="DD216" s="19"/>
      <c r="DE216" s="19"/>
      <c r="DF216" s="274"/>
      <c r="DG216" s="19"/>
      <c r="DH216" s="19">
        <f>SUM(DH217:DH219)</f>
        <v>0</v>
      </c>
      <c r="DI216" s="19"/>
      <c r="DJ216" s="19"/>
      <c r="DK216" s="274"/>
      <c r="DL216" s="19"/>
      <c r="DM216" s="19">
        <f>SUM(DM217:DM219)</f>
        <v>0</v>
      </c>
      <c r="DN216" s="19"/>
      <c r="DO216" s="19"/>
      <c r="DP216" s="274"/>
      <c r="DQ216" s="19"/>
      <c r="DR216" s="19">
        <f>SUM(DR217:DR219)</f>
        <v>0</v>
      </c>
      <c r="DS216" s="19"/>
      <c r="DT216" s="19"/>
      <c r="DU216" s="274"/>
      <c r="DV216" s="19"/>
      <c r="DW216" s="19">
        <f>SUM(DW217:DW219)</f>
        <v>0</v>
      </c>
      <c r="DX216" s="19"/>
      <c r="DY216" s="19"/>
      <c r="DZ216" s="274"/>
      <c r="EA216" s="19"/>
      <c r="EB216" s="19">
        <f>SUM(EB217:EB219)</f>
        <v>0</v>
      </c>
      <c r="EC216" s="19"/>
      <c r="ED216" s="19"/>
      <c r="EE216" s="274"/>
      <c r="EF216" s="19"/>
      <c r="EG216" s="19">
        <f>SUM(EG217:EG219)</f>
        <v>0</v>
      </c>
      <c r="EH216" s="19"/>
      <c r="EI216" s="19"/>
      <c r="EJ216" s="274"/>
      <c r="EK216" s="19"/>
      <c r="EL216" s="19">
        <f>SUM(EL217:EL219)</f>
        <v>975324</v>
      </c>
      <c r="EM216" s="19"/>
      <c r="EN216" s="19"/>
      <c r="EO216" s="244"/>
      <c r="ER216" s="451"/>
      <c r="ES216" s="451"/>
    </row>
    <row r="217" spans="4:149" x14ac:dyDescent="0.2">
      <c r="D217" s="244" t="s">
        <v>344</v>
      </c>
      <c r="F217" s="112"/>
      <c r="G217" s="374">
        <v>0</v>
      </c>
      <c r="H217" s="475"/>
      <c r="I217" s="19"/>
      <c r="J217" s="274"/>
      <c r="K217" s="173"/>
      <c r="L217" s="374">
        <v>0</v>
      </c>
      <c r="M217" s="475"/>
      <c r="N217" s="19"/>
      <c r="O217" s="274"/>
      <c r="P217" s="173"/>
      <c r="Q217" s="374">
        <v>0</v>
      </c>
      <c r="R217" s="475"/>
      <c r="S217" s="19"/>
      <c r="T217" s="274"/>
      <c r="U217" s="173"/>
      <c r="V217" s="374">
        <v>0</v>
      </c>
      <c r="W217" s="475"/>
      <c r="X217" s="19"/>
      <c r="Y217" s="274"/>
      <c r="Z217" s="173"/>
      <c r="AA217" s="374">
        <v>0</v>
      </c>
      <c r="AB217" s="475"/>
      <c r="AC217" s="19"/>
      <c r="AD217" s="274"/>
      <c r="AE217" s="173"/>
      <c r="AF217" s="374">
        <v>0</v>
      </c>
      <c r="AG217" s="475"/>
      <c r="AH217" s="19"/>
      <c r="AI217" s="274"/>
      <c r="AJ217" s="173"/>
      <c r="AK217" s="374">
        <v>0</v>
      </c>
      <c r="AL217" s="475"/>
      <c r="AM217" s="19"/>
      <c r="AN217" s="274"/>
      <c r="AO217" s="173"/>
      <c r="AP217" s="374">
        <v>0</v>
      </c>
      <c r="AQ217" s="475"/>
      <c r="AR217" s="19"/>
      <c r="AS217" s="274"/>
      <c r="AT217" s="173"/>
      <c r="AU217" s="374">
        <v>0</v>
      </c>
      <c r="AV217" s="475"/>
      <c r="AW217" s="19"/>
      <c r="AX217" s="274"/>
      <c r="AY217" s="173"/>
      <c r="AZ217" s="374">
        <v>0</v>
      </c>
      <c r="BA217" s="475"/>
      <c r="BB217" s="19"/>
      <c r="BC217" s="274"/>
      <c r="BD217" s="173"/>
      <c r="BE217" s="374">
        <v>0</v>
      </c>
      <c r="BF217" s="475"/>
      <c r="BG217" s="19"/>
      <c r="BH217" s="274"/>
      <c r="BI217" s="173"/>
      <c r="BJ217" s="374">
        <v>0</v>
      </c>
      <c r="BK217" s="475"/>
      <c r="BL217" s="19"/>
      <c r="BM217" s="274"/>
      <c r="BN217" s="173"/>
      <c r="BO217" s="374">
        <v>0</v>
      </c>
      <c r="BP217" s="475"/>
      <c r="BQ217" s="19"/>
      <c r="BR217" s="274"/>
      <c r="BS217" s="173"/>
      <c r="BT217" s="374">
        <f>SUM(L217:BO217)</f>
        <v>0</v>
      </c>
      <c r="BU217" s="475"/>
      <c r="BV217" s="19"/>
      <c r="BW217" s="274"/>
      <c r="BX217" s="173"/>
      <c r="BY217" s="374">
        <v>878056</v>
      </c>
      <c r="BZ217" s="475"/>
      <c r="CA217" s="19"/>
      <c r="CB217" s="274"/>
      <c r="CC217" s="173"/>
      <c r="CD217" s="374">
        <v>0</v>
      </c>
      <c r="CE217" s="475"/>
      <c r="CF217" s="19"/>
      <c r="CG217" s="274"/>
      <c r="CH217" s="173"/>
      <c r="CI217" s="374">
        <f>975324-97268</f>
        <v>878056</v>
      </c>
      <c r="CJ217" s="475"/>
      <c r="CK217" s="19"/>
      <c r="CL217" s="274"/>
      <c r="CM217" s="173"/>
      <c r="CN217" s="374">
        <v>0</v>
      </c>
      <c r="CO217" s="475"/>
      <c r="CP217" s="19"/>
      <c r="CQ217" s="274"/>
      <c r="CR217" s="173"/>
      <c r="CS217" s="374">
        <v>0</v>
      </c>
      <c r="CT217" s="475"/>
      <c r="CU217" s="19"/>
      <c r="CV217" s="274"/>
      <c r="CW217" s="173"/>
      <c r="CX217" s="374">
        <v>0</v>
      </c>
      <c r="CY217" s="475"/>
      <c r="CZ217" s="19"/>
      <c r="DA217" s="274"/>
      <c r="DB217" s="173"/>
      <c r="DC217" s="374">
        <v>0</v>
      </c>
      <c r="DD217" s="475"/>
      <c r="DE217" s="19"/>
      <c r="DF217" s="274"/>
      <c r="DG217" s="173"/>
      <c r="DH217" s="374">
        <v>0</v>
      </c>
      <c r="DI217" s="475"/>
      <c r="DJ217" s="19"/>
      <c r="DK217" s="274"/>
      <c r="DL217" s="173"/>
      <c r="DM217" s="374">
        <v>0</v>
      </c>
      <c r="DN217" s="475"/>
      <c r="DO217" s="19"/>
      <c r="DP217" s="274"/>
      <c r="DQ217" s="173"/>
      <c r="DR217" s="374">
        <v>0</v>
      </c>
      <c r="DS217" s="475"/>
      <c r="DT217" s="19"/>
      <c r="DU217" s="274"/>
      <c r="DV217" s="173"/>
      <c r="DW217" s="374">
        <v>0</v>
      </c>
      <c r="DX217" s="475"/>
      <c r="DY217" s="19"/>
      <c r="DZ217" s="274"/>
      <c r="EA217" s="173"/>
      <c r="EB217" s="374">
        <v>0</v>
      </c>
      <c r="EC217" s="475"/>
      <c r="ED217" s="19"/>
      <c r="EE217" s="274"/>
      <c r="EF217" s="173"/>
      <c r="EG217" s="374">
        <v>0</v>
      </c>
      <c r="EH217" s="475"/>
      <c r="EI217" s="19"/>
      <c r="EJ217" s="274"/>
      <c r="EK217" s="173"/>
      <c r="EL217" s="374">
        <f>SUM(CD217:EG217)</f>
        <v>878056</v>
      </c>
      <c r="EM217" s="475"/>
      <c r="EN217" s="19"/>
      <c r="EO217" s="244"/>
      <c r="ER217" s="451"/>
      <c r="ES217" s="451"/>
    </row>
    <row r="218" spans="4:149" x14ac:dyDescent="0.2">
      <c r="D218" s="244" t="s">
        <v>346</v>
      </c>
      <c r="F218" s="82"/>
      <c r="G218" s="19">
        <v>0</v>
      </c>
      <c r="H218" s="18"/>
      <c r="I218" s="19"/>
      <c r="J218" s="274"/>
      <c r="K218" s="274"/>
      <c r="L218" s="19">
        <v>0</v>
      </c>
      <c r="M218" s="18"/>
      <c r="N218" s="19"/>
      <c r="O218" s="274"/>
      <c r="P218" s="274"/>
      <c r="Q218" s="19">
        <v>0</v>
      </c>
      <c r="R218" s="18"/>
      <c r="S218" s="19"/>
      <c r="T218" s="274"/>
      <c r="U218" s="274"/>
      <c r="V218" s="19">
        <v>0</v>
      </c>
      <c r="W218" s="18"/>
      <c r="X218" s="19"/>
      <c r="Y218" s="274"/>
      <c r="Z218" s="274"/>
      <c r="AA218" s="19">
        <v>0</v>
      </c>
      <c r="AB218" s="18"/>
      <c r="AC218" s="19"/>
      <c r="AD218" s="274"/>
      <c r="AE218" s="274"/>
      <c r="AF218" s="19">
        <v>0</v>
      </c>
      <c r="AG218" s="18"/>
      <c r="AH218" s="19"/>
      <c r="AI218" s="274"/>
      <c r="AJ218" s="274"/>
      <c r="AK218" s="19">
        <v>0</v>
      </c>
      <c r="AL218" s="18"/>
      <c r="AM218" s="19"/>
      <c r="AN218" s="274"/>
      <c r="AO218" s="274"/>
      <c r="AP218" s="19">
        <v>0</v>
      </c>
      <c r="AQ218" s="18"/>
      <c r="AR218" s="19"/>
      <c r="AS218" s="274"/>
      <c r="AT218" s="274"/>
      <c r="AU218" s="19">
        <v>0</v>
      </c>
      <c r="AV218" s="18"/>
      <c r="AW218" s="19"/>
      <c r="AX218" s="274"/>
      <c r="AY218" s="274"/>
      <c r="AZ218" s="19">
        <v>0</v>
      </c>
      <c r="BA218" s="18"/>
      <c r="BB218" s="19"/>
      <c r="BC218" s="274"/>
      <c r="BD218" s="274"/>
      <c r="BE218" s="19">
        <v>0</v>
      </c>
      <c r="BF218" s="18"/>
      <c r="BG218" s="19"/>
      <c r="BH218" s="274"/>
      <c r="BI218" s="274"/>
      <c r="BJ218" s="19">
        <v>0</v>
      </c>
      <c r="BK218" s="18"/>
      <c r="BL218" s="19"/>
      <c r="BM218" s="274"/>
      <c r="BN218" s="274"/>
      <c r="BO218" s="19">
        <v>0</v>
      </c>
      <c r="BP218" s="18"/>
      <c r="BQ218" s="19"/>
      <c r="BR218" s="274"/>
      <c r="BS218" s="274"/>
      <c r="BT218" s="19">
        <f>SUM(L218:BO218)</f>
        <v>0</v>
      </c>
      <c r="BU218" s="18"/>
      <c r="BV218" s="19"/>
      <c r="BW218" s="274"/>
      <c r="BX218" s="274"/>
      <c r="BY218" s="19">
        <v>97268</v>
      </c>
      <c r="BZ218" s="18"/>
      <c r="CA218" s="19"/>
      <c r="CB218" s="274"/>
      <c r="CC218" s="274"/>
      <c r="CD218" s="19">
        <v>0</v>
      </c>
      <c r="CE218" s="18"/>
      <c r="CF218" s="19"/>
      <c r="CG218" s="274"/>
      <c r="CH218" s="274"/>
      <c r="CI218" s="19">
        <v>97268</v>
      </c>
      <c r="CJ218" s="18"/>
      <c r="CK218" s="19"/>
      <c r="CL218" s="274"/>
      <c r="CM218" s="274"/>
      <c r="CN218" s="19">
        <v>0</v>
      </c>
      <c r="CO218" s="18"/>
      <c r="CP218" s="19"/>
      <c r="CQ218" s="274"/>
      <c r="CR218" s="274"/>
      <c r="CS218" s="19">
        <v>0</v>
      </c>
      <c r="CT218" s="18"/>
      <c r="CU218" s="19"/>
      <c r="CV218" s="274"/>
      <c r="CW218" s="274"/>
      <c r="CX218" s="19">
        <v>0</v>
      </c>
      <c r="CY218" s="18"/>
      <c r="CZ218" s="19"/>
      <c r="DA218" s="274"/>
      <c r="DB218" s="274"/>
      <c r="DC218" s="19">
        <v>0</v>
      </c>
      <c r="DD218" s="18"/>
      <c r="DE218" s="19"/>
      <c r="DF218" s="274"/>
      <c r="DG218" s="274"/>
      <c r="DH218" s="19">
        <v>0</v>
      </c>
      <c r="DI218" s="18"/>
      <c r="DJ218" s="19"/>
      <c r="DK218" s="274"/>
      <c r="DL218" s="274"/>
      <c r="DM218" s="19">
        <v>0</v>
      </c>
      <c r="DN218" s="18"/>
      <c r="DO218" s="19"/>
      <c r="DP218" s="274"/>
      <c r="DQ218" s="274"/>
      <c r="DR218" s="19">
        <v>0</v>
      </c>
      <c r="DS218" s="18"/>
      <c r="DT218" s="19"/>
      <c r="DU218" s="274"/>
      <c r="DV218" s="274"/>
      <c r="DW218" s="19">
        <v>0</v>
      </c>
      <c r="DX218" s="18"/>
      <c r="DY218" s="19"/>
      <c r="DZ218" s="274"/>
      <c r="EA218" s="274"/>
      <c r="EB218" s="19">
        <v>0</v>
      </c>
      <c r="EC218" s="18"/>
      <c r="ED218" s="19"/>
      <c r="EE218" s="274"/>
      <c r="EF218" s="274"/>
      <c r="EG218" s="19">
        <v>0</v>
      </c>
      <c r="EH218" s="18"/>
      <c r="EI218" s="19"/>
      <c r="EJ218" s="274"/>
      <c r="EK218" s="274"/>
      <c r="EL218" s="19">
        <f>SUM(CD218:EG218)</f>
        <v>97268</v>
      </c>
      <c r="EM218" s="18"/>
      <c r="EN218" s="19"/>
      <c r="EO218" s="244"/>
      <c r="ER218" s="451"/>
      <c r="ES218" s="451"/>
    </row>
    <row r="219" spans="4:149" x14ac:dyDescent="0.2">
      <c r="D219" s="244" t="s">
        <v>354</v>
      </c>
      <c r="F219" s="276"/>
      <c r="G219" s="37">
        <v>0</v>
      </c>
      <c r="H219" s="36"/>
      <c r="I219" s="19"/>
      <c r="J219" s="274"/>
      <c r="K219" s="231"/>
      <c r="L219" s="37">
        <v>0</v>
      </c>
      <c r="M219" s="36"/>
      <c r="N219" s="19"/>
      <c r="O219" s="274"/>
      <c r="P219" s="231"/>
      <c r="Q219" s="37">
        <v>0</v>
      </c>
      <c r="R219" s="36"/>
      <c r="S219" s="19"/>
      <c r="T219" s="274"/>
      <c r="U219" s="231"/>
      <c r="V219" s="37">
        <v>0</v>
      </c>
      <c r="W219" s="36"/>
      <c r="X219" s="19"/>
      <c r="Y219" s="274"/>
      <c r="Z219" s="231"/>
      <c r="AA219" s="37">
        <v>0</v>
      </c>
      <c r="AB219" s="36"/>
      <c r="AC219" s="19"/>
      <c r="AD219" s="274"/>
      <c r="AE219" s="231"/>
      <c r="AF219" s="37">
        <v>0</v>
      </c>
      <c r="AG219" s="36"/>
      <c r="AH219" s="19"/>
      <c r="AI219" s="274"/>
      <c r="AJ219" s="231"/>
      <c r="AK219" s="37">
        <v>0</v>
      </c>
      <c r="AL219" s="36"/>
      <c r="AM219" s="19"/>
      <c r="AN219" s="274"/>
      <c r="AO219" s="231"/>
      <c r="AP219" s="37">
        <v>0</v>
      </c>
      <c r="AQ219" s="36"/>
      <c r="AR219" s="19"/>
      <c r="AS219" s="274"/>
      <c r="AT219" s="231"/>
      <c r="AU219" s="37">
        <v>0</v>
      </c>
      <c r="AV219" s="36"/>
      <c r="AW219" s="19"/>
      <c r="AX219" s="274"/>
      <c r="AY219" s="231"/>
      <c r="AZ219" s="37">
        <v>0</v>
      </c>
      <c r="BA219" s="36"/>
      <c r="BB219" s="19"/>
      <c r="BC219" s="274"/>
      <c r="BD219" s="231"/>
      <c r="BE219" s="37">
        <v>0</v>
      </c>
      <c r="BF219" s="36"/>
      <c r="BG219" s="19"/>
      <c r="BH219" s="274"/>
      <c r="BI219" s="231"/>
      <c r="BJ219" s="37">
        <v>0</v>
      </c>
      <c r="BK219" s="36"/>
      <c r="BL219" s="19"/>
      <c r="BM219" s="274"/>
      <c r="BN219" s="231"/>
      <c r="BO219" s="37">
        <v>0</v>
      </c>
      <c r="BP219" s="36"/>
      <c r="BQ219" s="19"/>
      <c r="BR219" s="274"/>
      <c r="BS219" s="231"/>
      <c r="BT219" s="37">
        <f>SUM(L219:BO219)</f>
        <v>0</v>
      </c>
      <c r="BU219" s="36"/>
      <c r="BV219" s="19"/>
      <c r="BW219" s="274"/>
      <c r="BX219" s="231"/>
      <c r="BY219" s="37">
        <v>0</v>
      </c>
      <c r="BZ219" s="36"/>
      <c r="CA219" s="19"/>
      <c r="CB219" s="274"/>
      <c r="CC219" s="231"/>
      <c r="CD219" s="37">
        <v>0</v>
      </c>
      <c r="CE219" s="36"/>
      <c r="CF219" s="19"/>
      <c r="CG219" s="274"/>
      <c r="CH219" s="231"/>
      <c r="CI219" s="37">
        <v>0</v>
      </c>
      <c r="CJ219" s="36"/>
      <c r="CK219" s="19"/>
      <c r="CL219" s="274"/>
      <c r="CM219" s="231"/>
      <c r="CN219" s="37">
        <v>0</v>
      </c>
      <c r="CO219" s="36"/>
      <c r="CP219" s="19"/>
      <c r="CQ219" s="274"/>
      <c r="CR219" s="231"/>
      <c r="CS219" s="37">
        <v>0</v>
      </c>
      <c r="CT219" s="36"/>
      <c r="CU219" s="19"/>
      <c r="CV219" s="274"/>
      <c r="CW219" s="231"/>
      <c r="CX219" s="37">
        <v>0</v>
      </c>
      <c r="CY219" s="36"/>
      <c r="CZ219" s="19"/>
      <c r="DA219" s="274"/>
      <c r="DB219" s="231"/>
      <c r="DC219" s="37">
        <v>0</v>
      </c>
      <c r="DD219" s="36"/>
      <c r="DE219" s="19"/>
      <c r="DF219" s="274"/>
      <c r="DG219" s="231"/>
      <c r="DH219" s="37">
        <v>0</v>
      </c>
      <c r="DI219" s="36"/>
      <c r="DJ219" s="19"/>
      <c r="DK219" s="274"/>
      <c r="DL219" s="231"/>
      <c r="DM219" s="37">
        <v>0</v>
      </c>
      <c r="DN219" s="36"/>
      <c r="DO219" s="19"/>
      <c r="DP219" s="274"/>
      <c r="DQ219" s="231"/>
      <c r="DR219" s="37">
        <v>0</v>
      </c>
      <c r="DS219" s="36"/>
      <c r="DT219" s="19"/>
      <c r="DU219" s="274"/>
      <c r="DV219" s="231"/>
      <c r="DW219" s="37">
        <v>0</v>
      </c>
      <c r="DX219" s="36"/>
      <c r="DY219" s="19"/>
      <c r="DZ219" s="274"/>
      <c r="EA219" s="231"/>
      <c r="EB219" s="37">
        <v>0</v>
      </c>
      <c r="EC219" s="36"/>
      <c r="ED219" s="19"/>
      <c r="EE219" s="274"/>
      <c r="EF219" s="231"/>
      <c r="EG219" s="37">
        <v>0</v>
      </c>
      <c r="EH219" s="36"/>
      <c r="EI219" s="19"/>
      <c r="EJ219" s="274"/>
      <c r="EK219" s="231"/>
      <c r="EL219" s="37">
        <f>SUM(CD219:EG219)</f>
        <v>0</v>
      </c>
      <c r="EM219" s="36"/>
      <c r="EN219" s="19"/>
      <c r="EO219" s="244"/>
      <c r="ER219" s="451"/>
      <c r="ES219" s="451"/>
    </row>
    <row r="220" spans="4:149" x14ac:dyDescent="0.2">
      <c r="D220" s="244"/>
      <c r="G220" s="19"/>
      <c r="H220" s="19"/>
      <c r="I220" s="19"/>
      <c r="J220" s="274"/>
      <c r="K220" s="19"/>
      <c r="L220" s="19"/>
      <c r="M220" s="19"/>
      <c r="N220" s="19"/>
      <c r="O220" s="274"/>
      <c r="P220" s="19"/>
      <c r="Q220" s="19"/>
      <c r="R220" s="19"/>
      <c r="S220" s="19"/>
      <c r="T220" s="274"/>
      <c r="U220" s="19"/>
      <c r="V220" s="19"/>
      <c r="W220" s="19"/>
      <c r="X220" s="19"/>
      <c r="Y220" s="274"/>
      <c r="Z220" s="19"/>
      <c r="AA220" s="19"/>
      <c r="AB220" s="19"/>
      <c r="AC220" s="19"/>
      <c r="AD220" s="274"/>
      <c r="AE220" s="19"/>
      <c r="AF220" s="19"/>
      <c r="AG220" s="19"/>
      <c r="AH220" s="19"/>
      <c r="AI220" s="274"/>
      <c r="AJ220" s="19"/>
      <c r="AK220" s="19"/>
      <c r="AL220" s="19"/>
      <c r="AM220" s="19"/>
      <c r="AN220" s="274"/>
      <c r="AO220" s="19"/>
      <c r="AP220" s="19"/>
      <c r="AQ220" s="19"/>
      <c r="AR220" s="19"/>
      <c r="AS220" s="274"/>
      <c r="AT220" s="19"/>
      <c r="AU220" s="19"/>
      <c r="AV220" s="19"/>
      <c r="AW220" s="19"/>
      <c r="AX220" s="274"/>
      <c r="AY220" s="19"/>
      <c r="AZ220" s="19"/>
      <c r="BA220" s="19"/>
      <c r="BB220" s="19"/>
      <c r="BC220" s="274"/>
      <c r="BD220" s="19"/>
      <c r="BE220" s="19"/>
      <c r="BF220" s="19"/>
      <c r="BG220" s="19"/>
      <c r="BH220" s="274"/>
      <c r="BI220" s="19"/>
      <c r="BJ220" s="19"/>
      <c r="BK220" s="19"/>
      <c r="BL220" s="19"/>
      <c r="BM220" s="274"/>
      <c r="BN220" s="19"/>
      <c r="BO220" s="19"/>
      <c r="BP220" s="19"/>
      <c r="BQ220" s="19"/>
      <c r="BR220" s="274"/>
      <c r="BS220" s="19"/>
      <c r="BT220" s="19"/>
      <c r="BU220" s="19"/>
      <c r="BV220" s="19"/>
      <c r="BW220" s="274"/>
      <c r="BX220" s="19"/>
      <c r="BY220" s="19"/>
      <c r="BZ220" s="19"/>
      <c r="CA220" s="19"/>
      <c r="CB220" s="274"/>
      <c r="CC220" s="19"/>
      <c r="CD220" s="19"/>
      <c r="CE220" s="19"/>
      <c r="CF220" s="19"/>
      <c r="CG220" s="274"/>
      <c r="CH220" s="19"/>
      <c r="CI220" s="19"/>
      <c r="CJ220" s="19"/>
      <c r="CK220" s="19"/>
      <c r="CL220" s="274"/>
      <c r="CM220" s="19"/>
      <c r="CN220" s="19"/>
      <c r="CO220" s="19"/>
      <c r="CP220" s="19"/>
      <c r="CQ220" s="274"/>
      <c r="CR220" s="19"/>
      <c r="CS220" s="19"/>
      <c r="CT220" s="19"/>
      <c r="CU220" s="19"/>
      <c r="CV220" s="274"/>
      <c r="CW220" s="19"/>
      <c r="CX220" s="19"/>
      <c r="CY220" s="19"/>
      <c r="CZ220" s="19"/>
      <c r="DA220" s="274"/>
      <c r="DB220" s="19"/>
      <c r="DC220" s="19"/>
      <c r="DD220" s="19"/>
      <c r="DE220" s="19"/>
      <c r="DF220" s="274"/>
      <c r="DG220" s="19"/>
      <c r="DH220" s="19"/>
      <c r="DI220" s="19"/>
      <c r="DJ220" s="19"/>
      <c r="DK220" s="274"/>
      <c r="DL220" s="19"/>
      <c r="DM220" s="19"/>
      <c r="DN220" s="19"/>
      <c r="DO220" s="19"/>
      <c r="DP220" s="274"/>
      <c r="DQ220" s="19"/>
      <c r="DR220" s="19"/>
      <c r="DS220" s="19"/>
      <c r="DT220" s="19"/>
      <c r="DU220" s="274"/>
      <c r="DV220" s="19"/>
      <c r="DW220" s="19"/>
      <c r="DX220" s="19"/>
      <c r="DY220" s="19"/>
      <c r="DZ220" s="274"/>
      <c r="EA220" s="19"/>
      <c r="EB220" s="19"/>
      <c r="EC220" s="19"/>
      <c r="ED220" s="19"/>
      <c r="EE220" s="274"/>
      <c r="EF220" s="19"/>
      <c r="EG220" s="19"/>
      <c r="EH220" s="19"/>
      <c r="EI220" s="19"/>
      <c r="EJ220" s="274"/>
      <c r="EK220" s="19"/>
      <c r="EL220" s="19"/>
      <c r="EM220" s="19"/>
      <c r="EN220" s="19"/>
      <c r="EO220" s="244"/>
      <c r="ER220" s="451"/>
      <c r="ES220" s="451"/>
    </row>
    <row r="221" spans="4:149" x14ac:dyDescent="0.2">
      <c r="D221" s="244" t="s">
        <v>355</v>
      </c>
      <c r="G221" s="19">
        <f>SUM(G222:G224)</f>
        <v>2181572</v>
      </c>
      <c r="H221" s="19"/>
      <c r="I221" s="19"/>
      <c r="J221" s="274"/>
      <c r="K221" s="19"/>
      <c r="L221" s="19">
        <f>SUM(L222:L224)</f>
        <v>0</v>
      </c>
      <c r="M221" s="19"/>
      <c r="N221" s="19"/>
      <c r="O221" s="274"/>
      <c r="P221" s="19"/>
      <c r="Q221" s="19">
        <f>SUM(Q222:Q224)</f>
        <v>0</v>
      </c>
      <c r="R221" s="19"/>
      <c r="S221" s="19"/>
      <c r="T221" s="274"/>
      <c r="U221" s="19"/>
      <c r="V221" s="19">
        <f>SUM(V222:V224)</f>
        <v>0</v>
      </c>
      <c r="W221" s="19"/>
      <c r="X221" s="19"/>
      <c r="Y221" s="274"/>
      <c r="Z221" s="19"/>
      <c r="AA221" s="19">
        <f>SUM(AA222:AA224)</f>
        <v>0</v>
      </c>
      <c r="AB221" s="19"/>
      <c r="AC221" s="19"/>
      <c r="AD221" s="274"/>
      <c r="AE221" s="19"/>
      <c r="AF221" s="19">
        <f>SUM(AF222:AF224)</f>
        <v>0</v>
      </c>
      <c r="AG221" s="19"/>
      <c r="AH221" s="19"/>
      <c r="AI221" s="274"/>
      <c r="AJ221" s="19"/>
      <c r="AK221" s="19">
        <f>SUM(AK222:AK224)</f>
        <v>0</v>
      </c>
      <c r="AL221" s="19"/>
      <c r="AM221" s="19"/>
      <c r="AN221" s="274"/>
      <c r="AO221" s="19"/>
      <c r="AP221" s="19">
        <f>SUM(AP222:AP224)</f>
        <v>0</v>
      </c>
      <c r="AQ221" s="19"/>
      <c r="AR221" s="19"/>
      <c r="AS221" s="274"/>
      <c r="AT221" s="19"/>
      <c r="AU221" s="19">
        <f>SUM(AU222:AU224)</f>
        <v>0</v>
      </c>
      <c r="AV221" s="19"/>
      <c r="AW221" s="19"/>
      <c r="AX221" s="274"/>
      <c r="AY221" s="19"/>
      <c r="AZ221" s="19">
        <f>SUM(AZ222:AZ224)</f>
        <v>0</v>
      </c>
      <c r="BA221" s="19"/>
      <c r="BB221" s="19"/>
      <c r="BC221" s="274"/>
      <c r="BD221" s="19"/>
      <c r="BE221" s="19">
        <f>SUM(BE222:BE224)</f>
        <v>0</v>
      </c>
      <c r="BF221" s="19"/>
      <c r="BG221" s="19"/>
      <c r="BH221" s="274"/>
      <c r="BI221" s="19"/>
      <c r="BJ221" s="19">
        <f>SUM(BJ222:BJ224)</f>
        <v>2181572</v>
      </c>
      <c r="BK221" s="19"/>
      <c r="BL221" s="19"/>
      <c r="BM221" s="274"/>
      <c r="BN221" s="19"/>
      <c r="BO221" s="19">
        <f>SUM(BO222:BO224)</f>
        <v>0</v>
      </c>
      <c r="BP221" s="19"/>
      <c r="BQ221" s="19"/>
      <c r="BR221" s="274"/>
      <c r="BS221" s="19"/>
      <c r="BT221" s="19">
        <f>SUM(BT222:BT224)</f>
        <v>2181572</v>
      </c>
      <c r="BU221" s="19"/>
      <c r="BV221" s="19"/>
      <c r="BW221" s="274"/>
      <c r="BX221" s="19"/>
      <c r="BY221" s="19">
        <f>SUM(BY222:BY224)</f>
        <v>3591635</v>
      </c>
      <c r="BZ221" s="19"/>
      <c r="CA221" s="19"/>
      <c r="CB221" s="274"/>
      <c r="CC221" s="19"/>
      <c r="CD221" s="19">
        <f>SUM(CD222:CD224)</f>
        <v>0</v>
      </c>
      <c r="CE221" s="19"/>
      <c r="CF221" s="19"/>
      <c r="CG221" s="274"/>
      <c r="CH221" s="19"/>
      <c r="CI221" s="19">
        <f>SUM(CI222:CI224)</f>
        <v>3591635</v>
      </c>
      <c r="CJ221" s="19"/>
      <c r="CK221" s="19"/>
      <c r="CL221" s="274"/>
      <c r="CM221" s="19"/>
      <c r="CN221" s="19">
        <f>SUM(CN222:CN224)</f>
        <v>0</v>
      </c>
      <c r="CO221" s="19"/>
      <c r="CP221" s="19"/>
      <c r="CQ221" s="274"/>
      <c r="CR221" s="19"/>
      <c r="CS221" s="19">
        <f>SUM(CS222:CS224)</f>
        <v>0</v>
      </c>
      <c r="CT221" s="19"/>
      <c r="CU221" s="19"/>
      <c r="CV221" s="274"/>
      <c r="CW221" s="19"/>
      <c r="CX221" s="19">
        <f>SUM(CX222:CX224)</f>
        <v>0</v>
      </c>
      <c r="CY221" s="19"/>
      <c r="CZ221" s="19"/>
      <c r="DA221" s="274"/>
      <c r="DB221" s="19"/>
      <c r="DC221" s="19">
        <f>SUM(DC222:DC224)</f>
        <v>0</v>
      </c>
      <c r="DD221" s="19"/>
      <c r="DE221" s="19"/>
      <c r="DF221" s="274"/>
      <c r="DG221" s="19"/>
      <c r="DH221" s="19">
        <f>SUM(DH222:DH224)</f>
        <v>0</v>
      </c>
      <c r="DI221" s="19"/>
      <c r="DJ221" s="19"/>
      <c r="DK221" s="274"/>
      <c r="DL221" s="19"/>
      <c r="DM221" s="19">
        <f>SUM(DM222:DM224)</f>
        <v>0</v>
      </c>
      <c r="DN221" s="19"/>
      <c r="DO221" s="19"/>
      <c r="DP221" s="274"/>
      <c r="DQ221" s="19"/>
      <c r="DR221" s="19">
        <f>SUM(DR222:DR224)</f>
        <v>0</v>
      </c>
      <c r="DS221" s="19"/>
      <c r="DT221" s="19"/>
      <c r="DU221" s="274"/>
      <c r="DV221" s="19"/>
      <c r="DW221" s="19">
        <f>SUM(DW222:DW224)</f>
        <v>0</v>
      </c>
      <c r="DX221" s="19"/>
      <c r="DY221" s="19"/>
      <c r="DZ221" s="274"/>
      <c r="EA221" s="19"/>
      <c r="EB221" s="19">
        <f>SUM(EB222:EB224)</f>
        <v>0</v>
      </c>
      <c r="EC221" s="19"/>
      <c r="ED221" s="19"/>
      <c r="EE221" s="274"/>
      <c r="EF221" s="19"/>
      <c r="EG221" s="19">
        <f>SUM(EG222:EG224)</f>
        <v>0</v>
      </c>
      <c r="EH221" s="19"/>
      <c r="EI221" s="19"/>
      <c r="EJ221" s="274"/>
      <c r="EK221" s="19"/>
      <c r="EL221" s="19">
        <f>SUM(EL222:EL224)</f>
        <v>3591635</v>
      </c>
      <c r="EM221" s="19"/>
      <c r="EN221" s="19"/>
      <c r="EO221" s="244"/>
      <c r="ER221" s="451"/>
      <c r="ES221" s="451"/>
    </row>
    <row r="222" spans="4:149" x14ac:dyDescent="0.2">
      <c r="D222" s="244" t="s">
        <v>344</v>
      </c>
      <c r="F222" s="112"/>
      <c r="G222" s="374">
        <f>2181572+397326</f>
        <v>2578898</v>
      </c>
      <c r="H222" s="475"/>
      <c r="I222" s="19"/>
      <c r="J222" s="274"/>
      <c r="K222" s="173"/>
      <c r="L222" s="374">
        <v>0</v>
      </c>
      <c r="M222" s="475"/>
      <c r="N222" s="19"/>
      <c r="O222" s="274"/>
      <c r="P222" s="173"/>
      <c r="Q222" s="374">
        <v>0</v>
      </c>
      <c r="R222" s="475"/>
      <c r="S222" s="19"/>
      <c r="T222" s="274"/>
      <c r="U222" s="173"/>
      <c r="V222" s="374">
        <v>0</v>
      </c>
      <c r="W222" s="475"/>
      <c r="X222" s="19"/>
      <c r="Y222" s="274"/>
      <c r="Z222" s="173"/>
      <c r="AA222" s="374">
        <v>0</v>
      </c>
      <c r="AB222" s="475"/>
      <c r="AC222" s="19"/>
      <c r="AD222" s="274"/>
      <c r="AE222" s="173"/>
      <c r="AF222" s="374">
        <v>0</v>
      </c>
      <c r="AG222" s="475"/>
      <c r="AH222" s="19"/>
      <c r="AI222" s="274"/>
      <c r="AJ222" s="173"/>
      <c r="AK222" s="374">
        <v>0</v>
      </c>
      <c r="AL222" s="475"/>
      <c r="AM222" s="19"/>
      <c r="AN222" s="274"/>
      <c r="AO222" s="173"/>
      <c r="AP222" s="374">
        <v>0</v>
      </c>
      <c r="AQ222" s="475"/>
      <c r="AR222" s="19"/>
      <c r="AS222" s="274"/>
      <c r="AT222" s="173"/>
      <c r="AU222" s="374">
        <v>0</v>
      </c>
      <c r="AV222" s="475"/>
      <c r="AW222" s="19"/>
      <c r="AX222" s="274"/>
      <c r="AY222" s="173"/>
      <c r="AZ222" s="374">
        <v>0</v>
      </c>
      <c r="BA222" s="475"/>
      <c r="BB222" s="19"/>
      <c r="BC222" s="274"/>
      <c r="BD222" s="173"/>
      <c r="BE222" s="374">
        <v>0</v>
      </c>
      <c r="BF222" s="475"/>
      <c r="BG222" s="19"/>
      <c r="BH222" s="274"/>
      <c r="BI222" s="173"/>
      <c r="BJ222" s="374">
        <f>2181572+397326</f>
        <v>2578898</v>
      </c>
      <c r="BK222" s="475"/>
      <c r="BL222" s="19"/>
      <c r="BM222" s="274"/>
      <c r="BN222" s="173"/>
      <c r="BO222" s="374">
        <v>0</v>
      </c>
      <c r="BP222" s="475"/>
      <c r="BQ222" s="19"/>
      <c r="BR222" s="274"/>
      <c r="BS222" s="173"/>
      <c r="BT222" s="374">
        <f>SUM(L222:BO222)</f>
        <v>2578898</v>
      </c>
      <c r="BU222" s="475"/>
      <c r="BV222" s="19"/>
      <c r="BW222" s="274"/>
      <c r="BX222" s="173"/>
      <c r="BY222" s="374">
        <v>3969713</v>
      </c>
      <c r="BZ222" s="475"/>
      <c r="CA222" s="19"/>
      <c r="CB222" s="274"/>
      <c r="CC222" s="173"/>
      <c r="CD222" s="374">
        <v>0</v>
      </c>
      <c r="CE222" s="475"/>
      <c r="CF222" s="19"/>
      <c r="CG222" s="274"/>
      <c r="CH222" s="173"/>
      <c r="CI222" s="374">
        <f>3591635+378078</f>
        <v>3969713</v>
      </c>
      <c r="CJ222" s="475"/>
      <c r="CK222" s="19"/>
      <c r="CL222" s="274"/>
      <c r="CM222" s="173"/>
      <c r="CN222" s="374">
        <v>0</v>
      </c>
      <c r="CO222" s="475"/>
      <c r="CP222" s="19"/>
      <c r="CQ222" s="274"/>
      <c r="CR222" s="173"/>
      <c r="CS222" s="374">
        <v>0</v>
      </c>
      <c r="CT222" s="475"/>
      <c r="CU222" s="19"/>
      <c r="CV222" s="274"/>
      <c r="CW222" s="173"/>
      <c r="CX222" s="374">
        <v>0</v>
      </c>
      <c r="CY222" s="475"/>
      <c r="CZ222" s="19"/>
      <c r="DA222" s="274"/>
      <c r="DB222" s="173"/>
      <c r="DC222" s="374">
        <v>0</v>
      </c>
      <c r="DD222" s="475"/>
      <c r="DE222" s="19"/>
      <c r="DF222" s="274"/>
      <c r="DG222" s="173"/>
      <c r="DH222" s="374">
        <v>0</v>
      </c>
      <c r="DI222" s="475"/>
      <c r="DJ222" s="19"/>
      <c r="DK222" s="274"/>
      <c r="DL222" s="173"/>
      <c r="DM222" s="374">
        <v>0</v>
      </c>
      <c r="DN222" s="475"/>
      <c r="DO222" s="19"/>
      <c r="DP222" s="274"/>
      <c r="DQ222" s="173"/>
      <c r="DR222" s="374">
        <v>0</v>
      </c>
      <c r="DS222" s="475"/>
      <c r="DT222" s="19"/>
      <c r="DU222" s="274"/>
      <c r="DV222" s="173"/>
      <c r="DW222" s="374">
        <v>0</v>
      </c>
      <c r="DX222" s="475"/>
      <c r="DY222" s="19"/>
      <c r="DZ222" s="274"/>
      <c r="EA222" s="173"/>
      <c r="EB222" s="374">
        <v>0</v>
      </c>
      <c r="EC222" s="475"/>
      <c r="ED222" s="19"/>
      <c r="EE222" s="274"/>
      <c r="EF222" s="173"/>
      <c r="EG222" s="374">
        <v>0</v>
      </c>
      <c r="EH222" s="475"/>
      <c r="EI222" s="19"/>
      <c r="EJ222" s="274"/>
      <c r="EK222" s="173"/>
      <c r="EL222" s="374">
        <f>SUM(CD222:EG222)</f>
        <v>3969713</v>
      </c>
      <c r="EM222" s="475"/>
      <c r="EN222" s="19"/>
      <c r="EO222" s="244"/>
      <c r="ER222" s="451"/>
      <c r="ES222" s="451"/>
    </row>
    <row r="223" spans="4:149" x14ac:dyDescent="0.2">
      <c r="D223" s="244" t="s">
        <v>346</v>
      </c>
      <c r="F223" s="82"/>
      <c r="G223" s="19">
        <v>0</v>
      </c>
      <c r="H223" s="18"/>
      <c r="I223" s="19"/>
      <c r="J223" s="274"/>
      <c r="K223" s="274"/>
      <c r="L223" s="19">
        <v>0</v>
      </c>
      <c r="M223" s="18"/>
      <c r="N223" s="19"/>
      <c r="O223" s="274"/>
      <c r="P223" s="274"/>
      <c r="Q223" s="19">
        <v>0</v>
      </c>
      <c r="R223" s="18"/>
      <c r="S223" s="19"/>
      <c r="T223" s="274"/>
      <c r="U223" s="274"/>
      <c r="V223" s="19">
        <v>0</v>
      </c>
      <c r="W223" s="18"/>
      <c r="X223" s="19"/>
      <c r="Y223" s="274"/>
      <c r="Z223" s="274"/>
      <c r="AA223" s="19">
        <v>0</v>
      </c>
      <c r="AB223" s="18"/>
      <c r="AC223" s="19"/>
      <c r="AD223" s="274"/>
      <c r="AE223" s="274"/>
      <c r="AF223" s="19">
        <v>0</v>
      </c>
      <c r="AG223" s="18"/>
      <c r="AH223" s="19"/>
      <c r="AI223" s="274"/>
      <c r="AJ223" s="274"/>
      <c r="AK223" s="19">
        <v>0</v>
      </c>
      <c r="AL223" s="18"/>
      <c r="AM223" s="19"/>
      <c r="AN223" s="274"/>
      <c r="AO223" s="274"/>
      <c r="AP223" s="19">
        <v>0</v>
      </c>
      <c r="AQ223" s="18"/>
      <c r="AR223" s="19"/>
      <c r="AS223" s="274"/>
      <c r="AT223" s="274"/>
      <c r="AU223" s="19">
        <v>0</v>
      </c>
      <c r="AV223" s="18"/>
      <c r="AW223" s="19"/>
      <c r="AX223" s="274"/>
      <c r="AY223" s="274"/>
      <c r="AZ223" s="19">
        <v>0</v>
      </c>
      <c r="BA223" s="18"/>
      <c r="BB223" s="19"/>
      <c r="BC223" s="274"/>
      <c r="BD223" s="274"/>
      <c r="BE223" s="19">
        <v>0</v>
      </c>
      <c r="BF223" s="18"/>
      <c r="BG223" s="19"/>
      <c r="BH223" s="274"/>
      <c r="BI223" s="274"/>
      <c r="BJ223" s="19">
        <v>0</v>
      </c>
      <c r="BK223" s="18"/>
      <c r="BL223" s="19"/>
      <c r="BM223" s="274"/>
      <c r="BN223" s="274"/>
      <c r="BO223" s="19">
        <v>0</v>
      </c>
      <c r="BP223" s="18"/>
      <c r="BQ223" s="19"/>
      <c r="BR223" s="274"/>
      <c r="BS223" s="274"/>
      <c r="BT223" s="19">
        <f>SUM(L223:BO223)</f>
        <v>0</v>
      </c>
      <c r="BU223" s="18"/>
      <c r="BV223" s="19"/>
      <c r="BW223" s="274"/>
      <c r="BX223" s="274"/>
      <c r="BY223" s="19">
        <v>0</v>
      </c>
      <c r="BZ223" s="18"/>
      <c r="CA223" s="19"/>
      <c r="CB223" s="274"/>
      <c r="CC223" s="274"/>
      <c r="CD223" s="19">
        <v>0</v>
      </c>
      <c r="CE223" s="18"/>
      <c r="CF223" s="19"/>
      <c r="CG223" s="274"/>
      <c r="CH223" s="274"/>
      <c r="CI223" s="19">
        <v>0</v>
      </c>
      <c r="CJ223" s="18"/>
      <c r="CK223" s="19"/>
      <c r="CL223" s="274"/>
      <c r="CM223" s="274"/>
      <c r="CN223" s="19">
        <v>0</v>
      </c>
      <c r="CO223" s="18"/>
      <c r="CP223" s="19"/>
      <c r="CQ223" s="274"/>
      <c r="CR223" s="274"/>
      <c r="CS223" s="19">
        <v>0</v>
      </c>
      <c r="CT223" s="18"/>
      <c r="CU223" s="19"/>
      <c r="CV223" s="274"/>
      <c r="CW223" s="274"/>
      <c r="CX223" s="19">
        <v>0</v>
      </c>
      <c r="CY223" s="18"/>
      <c r="CZ223" s="19"/>
      <c r="DA223" s="274"/>
      <c r="DB223" s="274"/>
      <c r="DC223" s="19">
        <v>0</v>
      </c>
      <c r="DD223" s="18"/>
      <c r="DE223" s="19"/>
      <c r="DF223" s="274"/>
      <c r="DG223" s="274"/>
      <c r="DH223" s="19">
        <v>0</v>
      </c>
      <c r="DI223" s="18"/>
      <c r="DJ223" s="19"/>
      <c r="DK223" s="274"/>
      <c r="DL223" s="274"/>
      <c r="DM223" s="19">
        <v>0</v>
      </c>
      <c r="DN223" s="18"/>
      <c r="DO223" s="19"/>
      <c r="DP223" s="274"/>
      <c r="DQ223" s="274"/>
      <c r="DR223" s="19">
        <v>0</v>
      </c>
      <c r="DS223" s="18"/>
      <c r="DT223" s="19"/>
      <c r="DU223" s="274"/>
      <c r="DV223" s="274"/>
      <c r="DW223" s="19">
        <v>0</v>
      </c>
      <c r="DX223" s="18"/>
      <c r="DY223" s="19"/>
      <c r="DZ223" s="274"/>
      <c r="EA223" s="274"/>
      <c r="EB223" s="19">
        <v>0</v>
      </c>
      <c r="EC223" s="18"/>
      <c r="ED223" s="19"/>
      <c r="EE223" s="274"/>
      <c r="EF223" s="274"/>
      <c r="EG223" s="19">
        <v>0</v>
      </c>
      <c r="EH223" s="18"/>
      <c r="EI223" s="19"/>
      <c r="EJ223" s="274"/>
      <c r="EK223" s="274"/>
      <c r="EL223" s="19">
        <f>SUM(CD223:EG223)</f>
        <v>0</v>
      </c>
      <c r="EM223" s="18"/>
      <c r="EN223" s="19"/>
      <c r="EO223" s="244"/>
      <c r="ER223" s="451"/>
      <c r="ES223" s="451"/>
    </row>
    <row r="224" spans="4:149" x14ac:dyDescent="0.2">
      <c r="D224" s="244" t="s">
        <v>354</v>
      </c>
      <c r="F224" s="276"/>
      <c r="G224" s="37">
        <v>-397326</v>
      </c>
      <c r="H224" s="36"/>
      <c r="I224" s="19"/>
      <c r="J224" s="274"/>
      <c r="K224" s="231"/>
      <c r="L224" s="37">
        <v>0</v>
      </c>
      <c r="M224" s="36"/>
      <c r="N224" s="19"/>
      <c r="O224" s="274"/>
      <c r="P224" s="231"/>
      <c r="Q224" s="37">
        <v>0</v>
      </c>
      <c r="R224" s="36"/>
      <c r="S224" s="19"/>
      <c r="T224" s="274"/>
      <c r="U224" s="231"/>
      <c r="V224" s="37">
        <v>0</v>
      </c>
      <c r="W224" s="36"/>
      <c r="X224" s="19"/>
      <c r="Y224" s="274"/>
      <c r="Z224" s="231"/>
      <c r="AA224" s="37">
        <v>0</v>
      </c>
      <c r="AB224" s="36"/>
      <c r="AC224" s="19"/>
      <c r="AD224" s="274"/>
      <c r="AE224" s="231"/>
      <c r="AF224" s="37">
        <v>0</v>
      </c>
      <c r="AG224" s="36"/>
      <c r="AH224" s="19"/>
      <c r="AI224" s="274"/>
      <c r="AJ224" s="231"/>
      <c r="AK224" s="37">
        <v>0</v>
      </c>
      <c r="AL224" s="36"/>
      <c r="AM224" s="19"/>
      <c r="AN224" s="274"/>
      <c r="AO224" s="231"/>
      <c r="AP224" s="37">
        <v>0</v>
      </c>
      <c r="AQ224" s="36"/>
      <c r="AR224" s="19"/>
      <c r="AS224" s="274"/>
      <c r="AT224" s="231"/>
      <c r="AU224" s="37">
        <v>0</v>
      </c>
      <c r="AV224" s="36"/>
      <c r="AW224" s="19"/>
      <c r="AX224" s="274"/>
      <c r="AY224" s="231"/>
      <c r="AZ224" s="37">
        <v>0</v>
      </c>
      <c r="BA224" s="36"/>
      <c r="BB224" s="19"/>
      <c r="BC224" s="274"/>
      <c r="BD224" s="231"/>
      <c r="BE224" s="37">
        <v>0</v>
      </c>
      <c r="BF224" s="36"/>
      <c r="BG224" s="19"/>
      <c r="BH224" s="274"/>
      <c r="BI224" s="231"/>
      <c r="BJ224" s="37">
        <v>-397326</v>
      </c>
      <c r="BK224" s="36"/>
      <c r="BL224" s="19"/>
      <c r="BM224" s="274"/>
      <c r="BN224" s="231"/>
      <c r="BO224" s="37">
        <v>0</v>
      </c>
      <c r="BP224" s="36"/>
      <c r="BQ224" s="19"/>
      <c r="BR224" s="274"/>
      <c r="BS224" s="231"/>
      <c r="BT224" s="37">
        <f>SUM(L224:BO224)</f>
        <v>-397326</v>
      </c>
      <c r="BU224" s="36"/>
      <c r="BV224" s="19"/>
      <c r="BW224" s="274"/>
      <c r="BX224" s="231"/>
      <c r="BY224" s="37">
        <v>-378078</v>
      </c>
      <c r="BZ224" s="36"/>
      <c r="CA224" s="19"/>
      <c r="CB224" s="274"/>
      <c r="CC224" s="231"/>
      <c r="CD224" s="37">
        <v>0</v>
      </c>
      <c r="CE224" s="36"/>
      <c r="CF224" s="19"/>
      <c r="CG224" s="274"/>
      <c r="CH224" s="231"/>
      <c r="CI224" s="37">
        <v>-378078</v>
      </c>
      <c r="CJ224" s="36"/>
      <c r="CK224" s="19"/>
      <c r="CL224" s="274"/>
      <c r="CM224" s="231"/>
      <c r="CN224" s="37">
        <v>0</v>
      </c>
      <c r="CO224" s="36"/>
      <c r="CP224" s="19"/>
      <c r="CQ224" s="274"/>
      <c r="CR224" s="231"/>
      <c r="CS224" s="37">
        <v>0</v>
      </c>
      <c r="CT224" s="36"/>
      <c r="CU224" s="19"/>
      <c r="CV224" s="274"/>
      <c r="CW224" s="231"/>
      <c r="CX224" s="37">
        <v>0</v>
      </c>
      <c r="CY224" s="36"/>
      <c r="CZ224" s="19"/>
      <c r="DA224" s="274"/>
      <c r="DB224" s="231"/>
      <c r="DC224" s="37">
        <v>0</v>
      </c>
      <c r="DD224" s="36"/>
      <c r="DE224" s="19"/>
      <c r="DF224" s="274"/>
      <c r="DG224" s="231"/>
      <c r="DH224" s="37">
        <v>0</v>
      </c>
      <c r="DI224" s="36"/>
      <c r="DJ224" s="19"/>
      <c r="DK224" s="274"/>
      <c r="DL224" s="231"/>
      <c r="DM224" s="37">
        <v>0</v>
      </c>
      <c r="DN224" s="36"/>
      <c r="DO224" s="19"/>
      <c r="DP224" s="274"/>
      <c r="DQ224" s="231"/>
      <c r="DR224" s="37">
        <v>0</v>
      </c>
      <c r="DS224" s="36"/>
      <c r="DT224" s="19"/>
      <c r="DU224" s="274"/>
      <c r="DV224" s="231"/>
      <c r="DW224" s="37">
        <v>0</v>
      </c>
      <c r="DX224" s="36"/>
      <c r="DY224" s="19"/>
      <c r="DZ224" s="274"/>
      <c r="EA224" s="231"/>
      <c r="EB224" s="37">
        <v>0</v>
      </c>
      <c r="EC224" s="36"/>
      <c r="ED224" s="19"/>
      <c r="EE224" s="274"/>
      <c r="EF224" s="231"/>
      <c r="EG224" s="37">
        <v>0</v>
      </c>
      <c r="EH224" s="36"/>
      <c r="EI224" s="19"/>
      <c r="EJ224" s="274"/>
      <c r="EK224" s="231"/>
      <c r="EL224" s="37">
        <f>SUM(CD224:EG224)</f>
        <v>-378078</v>
      </c>
      <c r="EM224" s="36"/>
      <c r="EN224" s="19"/>
      <c r="EO224" s="244"/>
      <c r="ER224" s="451"/>
      <c r="ES224" s="451"/>
    </row>
    <row r="225" spans="4:149" ht="12.75" customHeight="1" x14ac:dyDescent="0.2">
      <c r="D225" s="244"/>
      <c r="E225" s="202"/>
      <c r="F225" s="350"/>
      <c r="G225" s="19"/>
      <c r="H225" s="19"/>
      <c r="I225" s="19"/>
      <c r="J225" s="274"/>
      <c r="K225" s="350"/>
      <c r="L225" s="19"/>
      <c r="M225" s="19"/>
      <c r="N225" s="19"/>
      <c r="O225" s="274"/>
      <c r="P225" s="350"/>
      <c r="Q225" s="19"/>
      <c r="R225" s="19"/>
      <c r="S225" s="19"/>
      <c r="T225" s="274"/>
      <c r="U225" s="350"/>
      <c r="V225" s="19"/>
      <c r="W225" s="19"/>
      <c r="X225" s="19"/>
      <c r="Y225" s="274"/>
      <c r="Z225" s="350"/>
      <c r="AA225" s="19"/>
      <c r="AB225" s="19"/>
      <c r="AC225" s="19"/>
      <c r="AD225" s="274"/>
      <c r="AE225" s="350"/>
      <c r="AF225" s="19"/>
      <c r="AG225" s="19"/>
      <c r="AH225" s="19"/>
      <c r="AI225" s="274"/>
      <c r="AJ225" s="350"/>
      <c r="AK225" s="19"/>
      <c r="AL225" s="19"/>
      <c r="AM225" s="19"/>
      <c r="AN225" s="274"/>
      <c r="AO225" s="350"/>
      <c r="AP225" s="19"/>
      <c r="AQ225" s="19"/>
      <c r="AR225" s="19"/>
      <c r="AS225" s="274"/>
      <c r="AT225" s="350"/>
      <c r="AU225" s="19"/>
      <c r="AV225" s="19"/>
      <c r="AW225" s="19"/>
      <c r="AX225" s="274"/>
      <c r="AY225" s="350"/>
      <c r="AZ225" s="19"/>
      <c r="BA225" s="19"/>
      <c r="BB225" s="19"/>
      <c r="BC225" s="274"/>
      <c r="BD225" s="350"/>
      <c r="BE225" s="19"/>
      <c r="BF225" s="19"/>
      <c r="BG225" s="19"/>
      <c r="BH225" s="274"/>
      <c r="BI225" s="350"/>
      <c r="BJ225" s="19"/>
      <c r="BK225" s="19"/>
      <c r="BL225" s="19"/>
      <c r="BM225" s="274"/>
      <c r="BN225" s="350"/>
      <c r="BO225" s="19"/>
      <c r="BP225" s="19"/>
      <c r="BQ225" s="19"/>
      <c r="BR225" s="274"/>
      <c r="BS225" s="350"/>
      <c r="BT225" s="19"/>
      <c r="BU225" s="19"/>
      <c r="BV225" s="19"/>
      <c r="BW225" s="274"/>
      <c r="BX225" s="350"/>
      <c r="BY225" s="19"/>
      <c r="BZ225" s="19"/>
      <c r="CA225" s="19"/>
      <c r="CB225" s="274"/>
      <c r="CC225" s="350"/>
      <c r="CD225" s="19"/>
      <c r="CE225" s="19"/>
      <c r="CF225" s="19"/>
      <c r="CG225" s="274"/>
      <c r="CH225" s="350"/>
      <c r="CI225" s="19"/>
      <c r="CJ225" s="19"/>
      <c r="CK225" s="19"/>
      <c r="CL225" s="274"/>
      <c r="CM225" s="350"/>
      <c r="CN225" s="19"/>
      <c r="CO225" s="19"/>
      <c r="CP225" s="19"/>
      <c r="CQ225" s="274"/>
      <c r="CR225" s="350"/>
      <c r="CS225" s="19"/>
      <c r="CT225" s="19"/>
      <c r="CU225" s="19"/>
      <c r="CV225" s="274"/>
      <c r="CW225" s="350"/>
      <c r="CX225" s="19"/>
      <c r="CY225" s="19"/>
      <c r="CZ225" s="19"/>
      <c r="DA225" s="274"/>
      <c r="DB225" s="350"/>
      <c r="DC225" s="19"/>
      <c r="DD225" s="19"/>
      <c r="DE225" s="19"/>
      <c r="DF225" s="274"/>
      <c r="DG225" s="350"/>
      <c r="DH225" s="19"/>
      <c r="DI225" s="19"/>
      <c r="DJ225" s="19"/>
      <c r="DK225" s="274"/>
      <c r="DL225" s="350"/>
      <c r="DM225" s="19"/>
      <c r="DN225" s="19"/>
      <c r="DO225" s="19"/>
      <c r="DP225" s="274"/>
      <c r="DQ225" s="350"/>
      <c r="DR225" s="19"/>
      <c r="DS225" s="19"/>
      <c r="DT225" s="19"/>
      <c r="DU225" s="274"/>
      <c r="DV225" s="350"/>
      <c r="DW225" s="19"/>
      <c r="DX225" s="19"/>
      <c r="DY225" s="19"/>
      <c r="DZ225" s="274"/>
      <c r="EA225" s="350"/>
      <c r="EB225" s="19"/>
      <c r="EC225" s="19"/>
      <c r="ED225" s="19"/>
      <c r="EE225" s="274"/>
      <c r="EF225" s="350"/>
      <c r="EG225" s="19"/>
      <c r="EH225" s="19"/>
      <c r="EI225" s="19"/>
      <c r="EJ225" s="274"/>
      <c r="EK225" s="350"/>
      <c r="EL225" s="19"/>
      <c r="EM225" s="19"/>
      <c r="EN225" s="19"/>
      <c r="EO225" s="244"/>
      <c r="ER225" s="451"/>
      <c r="ES225" s="451"/>
    </row>
    <row r="226" spans="4:149" ht="12.75" customHeight="1" x14ac:dyDescent="0.2">
      <c r="D226" s="244" t="str">
        <f>D115</f>
        <v xml:space="preserve">  R2040 (9.00%  2040/09/11)</v>
      </c>
      <c r="E226" s="202"/>
      <c r="F226" s="350"/>
      <c r="G226" s="19">
        <v>0</v>
      </c>
      <c r="H226" s="19"/>
      <c r="I226" s="19"/>
      <c r="J226" s="274"/>
      <c r="K226" s="19"/>
      <c r="L226" s="19">
        <v>0</v>
      </c>
      <c r="M226" s="19"/>
      <c r="N226" s="19"/>
      <c r="O226" s="274"/>
      <c r="P226" s="350"/>
      <c r="Q226" s="19">
        <f>SUM(Q227:Q229)</f>
        <v>0</v>
      </c>
      <c r="R226" s="19"/>
      <c r="S226" s="19"/>
      <c r="T226" s="274"/>
      <c r="U226" s="350"/>
      <c r="V226" s="19">
        <v>0</v>
      </c>
      <c r="W226" s="19"/>
      <c r="X226" s="19"/>
      <c r="Y226" s="274"/>
      <c r="Z226" s="350"/>
      <c r="AA226" s="19">
        <v>0</v>
      </c>
      <c r="AB226" s="19"/>
      <c r="AC226" s="19"/>
      <c r="AD226" s="274"/>
      <c r="AE226" s="350"/>
      <c r="AF226" s="19">
        <f>SUM(AF227:AF229)</f>
        <v>0</v>
      </c>
      <c r="AG226" s="19"/>
      <c r="AH226" s="19"/>
      <c r="AI226" s="274"/>
      <c r="AJ226" s="350"/>
      <c r="AK226" s="19">
        <f>SUM(AK227:AK229)</f>
        <v>0</v>
      </c>
      <c r="AL226" s="19"/>
      <c r="AM226" s="19"/>
      <c r="AN226" s="274"/>
      <c r="AO226" s="350"/>
      <c r="AP226" s="19">
        <v>0</v>
      </c>
      <c r="AQ226" s="19"/>
      <c r="AR226" s="19"/>
      <c r="AS226" s="274"/>
      <c r="AT226" s="350"/>
      <c r="AU226" s="19">
        <f>SUM(AU227:AU230)</f>
        <v>0</v>
      </c>
      <c r="AV226" s="19"/>
      <c r="AW226" s="19"/>
      <c r="AX226" s="274"/>
      <c r="AY226" s="350"/>
      <c r="AZ226" s="19">
        <f>SUM(AZ227:AZ229)</f>
        <v>0</v>
      </c>
      <c r="BA226" s="19"/>
      <c r="BB226" s="19"/>
      <c r="BC226" s="274"/>
      <c r="BD226" s="350"/>
      <c r="BE226" s="19">
        <v>0</v>
      </c>
      <c r="BF226" s="19"/>
      <c r="BG226" s="19"/>
      <c r="BH226" s="274"/>
      <c r="BI226" s="350"/>
      <c r="BJ226" s="19">
        <f>SUM(BJ227:BJ229)</f>
        <v>0</v>
      </c>
      <c r="BK226" s="19"/>
      <c r="BL226" s="19"/>
      <c r="BM226" s="274"/>
      <c r="BN226" s="350"/>
      <c r="BO226" s="19">
        <v>0</v>
      </c>
      <c r="BP226" s="19"/>
      <c r="BQ226" s="19"/>
      <c r="BR226" s="274"/>
      <c r="BS226" s="350"/>
      <c r="BT226" s="19">
        <f>SUM(BT227:BT230)</f>
        <v>0</v>
      </c>
      <c r="BU226" s="19"/>
      <c r="BV226" s="19"/>
      <c r="BW226" s="274"/>
      <c r="BX226" s="350"/>
      <c r="BY226" s="19">
        <f>SUM(BY227:BY230)</f>
        <v>707823</v>
      </c>
      <c r="BZ226" s="19"/>
      <c r="CA226" s="19"/>
      <c r="CB226" s="274"/>
      <c r="CC226" s="19"/>
      <c r="CD226" s="19">
        <v>0</v>
      </c>
      <c r="CE226" s="19"/>
      <c r="CF226" s="19"/>
      <c r="CG226" s="274"/>
      <c r="CH226" s="350"/>
      <c r="CI226" s="19">
        <f>SUM(CI227:CI229)</f>
        <v>707823</v>
      </c>
      <c r="CJ226" s="19"/>
      <c r="CK226" s="19"/>
      <c r="CL226" s="274"/>
      <c r="CM226" s="350"/>
      <c r="CN226" s="19">
        <v>0</v>
      </c>
      <c r="CO226" s="19"/>
      <c r="CP226" s="19"/>
      <c r="CQ226" s="274"/>
      <c r="CR226" s="350"/>
      <c r="CS226" s="19">
        <v>0</v>
      </c>
      <c r="CT226" s="19"/>
      <c r="CU226" s="19"/>
      <c r="CV226" s="274"/>
      <c r="CW226" s="350"/>
      <c r="CX226" s="19">
        <f>SUM(CX227:CX229)</f>
        <v>0</v>
      </c>
      <c r="CY226" s="19"/>
      <c r="CZ226" s="19"/>
      <c r="DA226" s="274"/>
      <c r="DB226" s="350"/>
      <c r="DC226" s="19">
        <f>SUM(DC227:DC229)</f>
        <v>0</v>
      </c>
      <c r="DD226" s="19"/>
      <c r="DE226" s="19"/>
      <c r="DF226" s="274"/>
      <c r="DG226" s="350"/>
      <c r="DH226" s="19">
        <v>0</v>
      </c>
      <c r="DI226" s="19"/>
      <c r="DJ226" s="19"/>
      <c r="DK226" s="274"/>
      <c r="DL226" s="350"/>
      <c r="DM226" s="19">
        <f>SUM(DM227:DM230)</f>
        <v>0</v>
      </c>
      <c r="DN226" s="19"/>
      <c r="DO226" s="19"/>
      <c r="DP226" s="274"/>
      <c r="DQ226" s="350"/>
      <c r="DR226" s="19">
        <f>SUM(DR227:DR229)</f>
        <v>0</v>
      </c>
      <c r="DS226" s="19"/>
      <c r="DT226" s="19"/>
      <c r="DU226" s="274"/>
      <c r="DV226" s="350"/>
      <c r="DW226" s="19">
        <v>0</v>
      </c>
      <c r="DX226" s="19"/>
      <c r="DY226" s="19"/>
      <c r="DZ226" s="274"/>
      <c r="EA226" s="350"/>
      <c r="EB226" s="19">
        <f>SUM(EB227:EB229)</f>
        <v>0</v>
      </c>
      <c r="EC226" s="19"/>
      <c r="ED226" s="19"/>
      <c r="EE226" s="274"/>
      <c r="EF226" s="350"/>
      <c r="EG226" s="19">
        <v>0</v>
      </c>
      <c r="EH226" s="19"/>
      <c r="EI226" s="19"/>
      <c r="EJ226" s="274"/>
      <c r="EK226" s="350"/>
      <c r="EL226" s="19">
        <f>SUM(EL227:EL230)</f>
        <v>707823</v>
      </c>
      <c r="EM226" s="19"/>
      <c r="EN226" s="19"/>
      <c r="EO226" s="244"/>
      <c r="ER226" s="451"/>
      <c r="ES226" s="451"/>
    </row>
    <row r="227" spans="4:149" ht="12.75" customHeight="1" x14ac:dyDescent="0.2">
      <c r="D227" s="244" t="s">
        <v>344</v>
      </c>
      <c r="E227" s="202"/>
      <c r="F227" s="112"/>
      <c r="G227" s="374">
        <v>0</v>
      </c>
      <c r="H227" s="475"/>
      <c r="I227" s="19"/>
      <c r="J227" s="274"/>
      <c r="K227" s="173"/>
      <c r="L227" s="374">
        <v>0</v>
      </c>
      <c r="M227" s="475"/>
      <c r="N227" s="19"/>
      <c r="O227" s="274"/>
      <c r="P227" s="173"/>
      <c r="Q227" s="374">
        <v>0</v>
      </c>
      <c r="R227" s="475"/>
      <c r="S227" s="19"/>
      <c r="T227" s="274"/>
      <c r="U227" s="358"/>
      <c r="V227" s="374">
        <v>0</v>
      </c>
      <c r="W227" s="475"/>
      <c r="X227" s="19"/>
      <c r="Y227" s="274"/>
      <c r="Z227" s="358"/>
      <c r="AA227" s="374">
        <v>0</v>
      </c>
      <c r="AB227" s="475"/>
      <c r="AC227" s="19"/>
      <c r="AD227" s="274"/>
      <c r="AE227" s="358"/>
      <c r="AF227" s="374">
        <v>0</v>
      </c>
      <c r="AG227" s="475"/>
      <c r="AH227" s="19"/>
      <c r="AI227" s="274"/>
      <c r="AJ227" s="358"/>
      <c r="AK227" s="374">
        <v>0</v>
      </c>
      <c r="AL227" s="475"/>
      <c r="AM227" s="19"/>
      <c r="AN227" s="274"/>
      <c r="AO227" s="358"/>
      <c r="AP227" s="374">
        <v>0</v>
      </c>
      <c r="AQ227" s="475"/>
      <c r="AR227" s="19"/>
      <c r="AS227" s="274"/>
      <c r="AT227" s="112"/>
      <c r="AU227" s="374">
        <v>0</v>
      </c>
      <c r="AV227" s="475"/>
      <c r="AW227" s="19"/>
      <c r="AX227" s="274"/>
      <c r="AY227" s="112"/>
      <c r="AZ227" s="374">
        <v>0</v>
      </c>
      <c r="BA227" s="475"/>
      <c r="BB227" s="19"/>
      <c r="BC227" s="274"/>
      <c r="BD227" s="112"/>
      <c r="BE227" s="374">
        <v>0</v>
      </c>
      <c r="BF227" s="475"/>
      <c r="BG227" s="19"/>
      <c r="BH227" s="274"/>
      <c r="BI227" s="112"/>
      <c r="BJ227" s="374">
        <v>0</v>
      </c>
      <c r="BK227" s="475"/>
      <c r="BL227" s="19"/>
      <c r="BM227" s="274"/>
      <c r="BN227" s="112"/>
      <c r="BO227" s="374">
        <v>0</v>
      </c>
      <c r="BP227" s="475"/>
      <c r="BQ227" s="19"/>
      <c r="BR227" s="274"/>
      <c r="BS227" s="112"/>
      <c r="BT227" s="374">
        <f>SUM(L227:BO227)</f>
        <v>0</v>
      </c>
      <c r="BU227" s="475"/>
      <c r="BV227" s="19"/>
      <c r="BW227" s="274"/>
      <c r="BX227" s="112"/>
      <c r="BY227" s="374">
        <v>657332</v>
      </c>
      <c r="BZ227" s="475"/>
      <c r="CA227" s="19"/>
      <c r="CB227" s="274"/>
      <c r="CC227" s="173"/>
      <c r="CD227" s="374">
        <v>0</v>
      </c>
      <c r="CE227" s="475"/>
      <c r="CF227" s="19"/>
      <c r="CG227" s="274"/>
      <c r="CH227" s="173"/>
      <c r="CI227" s="374">
        <f>707823-50491</f>
        <v>657332</v>
      </c>
      <c r="CJ227" s="475"/>
      <c r="CK227" s="19"/>
      <c r="CL227" s="274"/>
      <c r="CM227" s="358"/>
      <c r="CN227" s="374">
        <v>0</v>
      </c>
      <c r="CO227" s="475"/>
      <c r="CP227" s="19"/>
      <c r="CQ227" s="274"/>
      <c r="CR227" s="358"/>
      <c r="CS227" s="374">
        <v>0</v>
      </c>
      <c r="CT227" s="475"/>
      <c r="CU227" s="19"/>
      <c r="CV227" s="274"/>
      <c r="CW227" s="358"/>
      <c r="CX227" s="374">
        <v>0</v>
      </c>
      <c r="CY227" s="475"/>
      <c r="CZ227" s="19"/>
      <c r="DA227" s="274"/>
      <c r="DB227" s="358"/>
      <c r="DC227" s="374">
        <v>0</v>
      </c>
      <c r="DD227" s="475"/>
      <c r="DE227" s="19"/>
      <c r="DF227" s="274"/>
      <c r="DG227" s="358"/>
      <c r="DH227" s="374">
        <v>0</v>
      </c>
      <c r="DI227" s="475"/>
      <c r="DJ227" s="19"/>
      <c r="DK227" s="274"/>
      <c r="DL227" s="112"/>
      <c r="DM227" s="374">
        <v>0</v>
      </c>
      <c r="DN227" s="475"/>
      <c r="DO227" s="19"/>
      <c r="DP227" s="274"/>
      <c r="DQ227" s="112"/>
      <c r="DR227" s="374">
        <v>0</v>
      </c>
      <c r="DS227" s="475"/>
      <c r="DT227" s="19"/>
      <c r="DU227" s="274"/>
      <c r="DV227" s="112"/>
      <c r="DW227" s="374">
        <v>0</v>
      </c>
      <c r="DX227" s="475"/>
      <c r="DY227" s="19"/>
      <c r="DZ227" s="274"/>
      <c r="EA227" s="112"/>
      <c r="EB227" s="374">
        <v>0</v>
      </c>
      <c r="EC227" s="475"/>
      <c r="ED227" s="19"/>
      <c r="EE227" s="274"/>
      <c r="EF227" s="112"/>
      <c r="EG227" s="374">
        <v>0</v>
      </c>
      <c r="EH227" s="475"/>
      <c r="EI227" s="19"/>
      <c r="EJ227" s="274"/>
      <c r="EK227" s="112"/>
      <c r="EL227" s="374">
        <f>SUM(CD227:EG227)</f>
        <v>657332</v>
      </c>
      <c r="EM227" s="475"/>
      <c r="EN227" s="19"/>
      <c r="EO227" s="244"/>
      <c r="ER227" s="451"/>
      <c r="ES227" s="451"/>
    </row>
    <row r="228" spans="4:149" ht="12.75" customHeight="1" x14ac:dyDescent="0.2">
      <c r="D228" s="244" t="s">
        <v>346</v>
      </c>
      <c r="E228" s="202"/>
      <c r="F228" s="82"/>
      <c r="G228" s="19">
        <v>0</v>
      </c>
      <c r="H228" s="18"/>
      <c r="I228" s="19"/>
      <c r="J228" s="274"/>
      <c r="K228" s="274"/>
      <c r="L228" s="19">
        <v>0</v>
      </c>
      <c r="M228" s="18"/>
      <c r="N228" s="19"/>
      <c r="O228" s="274"/>
      <c r="P228" s="274"/>
      <c r="Q228" s="19">
        <v>0</v>
      </c>
      <c r="R228" s="18"/>
      <c r="S228" s="19"/>
      <c r="T228" s="274"/>
      <c r="U228" s="147"/>
      <c r="V228" s="19">
        <v>0</v>
      </c>
      <c r="W228" s="18"/>
      <c r="X228" s="19"/>
      <c r="Y228" s="274"/>
      <c r="Z228" s="147"/>
      <c r="AA228" s="19">
        <v>0</v>
      </c>
      <c r="AB228" s="18"/>
      <c r="AC228" s="19"/>
      <c r="AD228" s="274"/>
      <c r="AE228" s="147"/>
      <c r="AF228" s="19">
        <v>0</v>
      </c>
      <c r="AG228" s="18"/>
      <c r="AH228" s="19"/>
      <c r="AI228" s="274"/>
      <c r="AJ228" s="147"/>
      <c r="AK228" s="19">
        <v>0</v>
      </c>
      <c r="AL228" s="18"/>
      <c r="AM228" s="19"/>
      <c r="AN228" s="274"/>
      <c r="AO228" s="147"/>
      <c r="AP228" s="19">
        <v>0</v>
      </c>
      <c r="AQ228" s="18"/>
      <c r="AR228" s="19"/>
      <c r="AS228" s="274"/>
      <c r="AT228" s="82"/>
      <c r="AU228" s="19">
        <v>0</v>
      </c>
      <c r="AV228" s="18"/>
      <c r="AW228" s="19"/>
      <c r="AX228" s="274"/>
      <c r="AY228" s="82"/>
      <c r="AZ228" s="19">
        <v>0</v>
      </c>
      <c r="BA228" s="18"/>
      <c r="BB228" s="19"/>
      <c r="BC228" s="274"/>
      <c r="BD228" s="82"/>
      <c r="BE228" s="19">
        <v>0</v>
      </c>
      <c r="BF228" s="18"/>
      <c r="BG228" s="19"/>
      <c r="BH228" s="274"/>
      <c r="BI228" s="82"/>
      <c r="BJ228" s="19">
        <v>0</v>
      </c>
      <c r="BK228" s="18"/>
      <c r="BL228" s="19"/>
      <c r="BM228" s="274"/>
      <c r="BN228" s="82"/>
      <c r="BO228" s="19">
        <v>0</v>
      </c>
      <c r="BP228" s="18"/>
      <c r="BQ228" s="19"/>
      <c r="BR228" s="274"/>
      <c r="BS228" s="82"/>
      <c r="BT228" s="19">
        <f>SUM(L228:BO228)</f>
        <v>0</v>
      </c>
      <c r="BU228" s="18"/>
      <c r="BV228" s="19"/>
      <c r="BW228" s="274"/>
      <c r="BX228" s="82"/>
      <c r="BY228" s="19">
        <v>50491</v>
      </c>
      <c r="BZ228" s="18"/>
      <c r="CA228" s="19"/>
      <c r="CB228" s="274"/>
      <c r="CC228" s="274"/>
      <c r="CD228" s="19">
        <v>0</v>
      </c>
      <c r="CE228" s="18"/>
      <c r="CF228" s="19"/>
      <c r="CG228" s="274"/>
      <c r="CH228" s="274"/>
      <c r="CI228" s="19">
        <v>50491</v>
      </c>
      <c r="CJ228" s="18"/>
      <c r="CK228" s="19"/>
      <c r="CL228" s="274"/>
      <c r="CM228" s="147"/>
      <c r="CN228" s="19">
        <v>0</v>
      </c>
      <c r="CO228" s="18"/>
      <c r="CP228" s="19"/>
      <c r="CQ228" s="274"/>
      <c r="CR228" s="147"/>
      <c r="CS228" s="19">
        <v>0</v>
      </c>
      <c r="CT228" s="18"/>
      <c r="CU228" s="19"/>
      <c r="CV228" s="274"/>
      <c r="CW228" s="147"/>
      <c r="CX228" s="19">
        <v>0</v>
      </c>
      <c r="CY228" s="18"/>
      <c r="CZ228" s="19"/>
      <c r="DA228" s="274"/>
      <c r="DB228" s="147"/>
      <c r="DC228" s="19">
        <v>0</v>
      </c>
      <c r="DD228" s="18"/>
      <c r="DE228" s="19"/>
      <c r="DF228" s="274"/>
      <c r="DG228" s="147"/>
      <c r="DH228" s="19">
        <v>0</v>
      </c>
      <c r="DI228" s="18"/>
      <c r="DJ228" s="19"/>
      <c r="DK228" s="274"/>
      <c r="DL228" s="82"/>
      <c r="DM228" s="19">
        <v>0</v>
      </c>
      <c r="DN228" s="18"/>
      <c r="DO228" s="19"/>
      <c r="DP228" s="274"/>
      <c r="DQ228" s="82"/>
      <c r="DR228" s="19">
        <v>0</v>
      </c>
      <c r="DS228" s="18"/>
      <c r="DT228" s="19"/>
      <c r="DU228" s="274"/>
      <c r="DV228" s="82"/>
      <c r="DW228" s="19">
        <v>0</v>
      </c>
      <c r="DX228" s="18"/>
      <c r="DY228" s="19"/>
      <c r="DZ228" s="274"/>
      <c r="EA228" s="82"/>
      <c r="EB228" s="19">
        <v>0</v>
      </c>
      <c r="EC228" s="18"/>
      <c r="ED228" s="19"/>
      <c r="EE228" s="274"/>
      <c r="EF228" s="82"/>
      <c r="EG228" s="19">
        <v>0</v>
      </c>
      <c r="EH228" s="18"/>
      <c r="EI228" s="19"/>
      <c r="EJ228" s="274"/>
      <c r="EK228" s="82"/>
      <c r="EL228" s="19">
        <f>SUM(CD228:EG228)</f>
        <v>50491</v>
      </c>
      <c r="EM228" s="18"/>
      <c r="EN228" s="19"/>
      <c r="EO228" s="244"/>
      <c r="ER228" s="451"/>
      <c r="ES228" s="451"/>
    </row>
    <row r="229" spans="4:149" ht="12.75" customHeight="1" x14ac:dyDescent="0.2">
      <c r="D229" s="244" t="s">
        <v>354</v>
      </c>
      <c r="E229" s="202"/>
      <c r="F229" s="276"/>
      <c r="G229" s="37">
        <v>0</v>
      </c>
      <c r="H229" s="36"/>
      <c r="I229" s="19"/>
      <c r="J229" s="274"/>
      <c r="K229" s="231"/>
      <c r="L229" s="37">
        <v>0</v>
      </c>
      <c r="M229" s="36"/>
      <c r="N229" s="19"/>
      <c r="O229" s="274"/>
      <c r="P229" s="231"/>
      <c r="Q229" s="37">
        <v>0</v>
      </c>
      <c r="R229" s="36"/>
      <c r="S229" s="19"/>
      <c r="T229" s="274"/>
      <c r="U229" s="276"/>
      <c r="V229" s="37">
        <v>0</v>
      </c>
      <c r="W229" s="36"/>
      <c r="X229" s="19"/>
      <c r="Y229" s="274"/>
      <c r="Z229" s="276"/>
      <c r="AA229" s="37">
        <v>0</v>
      </c>
      <c r="AB229" s="36"/>
      <c r="AC229" s="19"/>
      <c r="AD229" s="274"/>
      <c r="AE229" s="276"/>
      <c r="AF229" s="37">
        <v>0</v>
      </c>
      <c r="AG229" s="36"/>
      <c r="AH229" s="19"/>
      <c r="AI229" s="274"/>
      <c r="AJ229" s="276"/>
      <c r="AK229" s="37">
        <v>0</v>
      </c>
      <c r="AL229" s="36"/>
      <c r="AM229" s="19"/>
      <c r="AN229" s="274"/>
      <c r="AO229" s="276"/>
      <c r="AP229" s="37">
        <v>0</v>
      </c>
      <c r="AQ229" s="36"/>
      <c r="AR229" s="19"/>
      <c r="AS229" s="274"/>
      <c r="AT229" s="276"/>
      <c r="AU229" s="37">
        <v>0</v>
      </c>
      <c r="AV229" s="36"/>
      <c r="AW229" s="19"/>
      <c r="AX229" s="274"/>
      <c r="AY229" s="276"/>
      <c r="AZ229" s="37">
        <v>0</v>
      </c>
      <c r="BA229" s="36"/>
      <c r="BB229" s="19"/>
      <c r="BC229" s="274"/>
      <c r="BD229" s="276"/>
      <c r="BE229" s="37">
        <v>0</v>
      </c>
      <c r="BF229" s="36"/>
      <c r="BG229" s="19"/>
      <c r="BH229" s="274"/>
      <c r="BI229" s="276"/>
      <c r="BJ229" s="37">
        <v>0</v>
      </c>
      <c r="BK229" s="36"/>
      <c r="BL229" s="19"/>
      <c r="BM229" s="274"/>
      <c r="BN229" s="276"/>
      <c r="BO229" s="37">
        <v>0</v>
      </c>
      <c r="BP229" s="36"/>
      <c r="BQ229" s="19"/>
      <c r="BR229" s="274"/>
      <c r="BS229" s="276"/>
      <c r="BT229" s="37">
        <f>SUM(L229:BO229)</f>
        <v>0</v>
      </c>
      <c r="BU229" s="36"/>
      <c r="BV229" s="19"/>
      <c r="BW229" s="274"/>
      <c r="BX229" s="276"/>
      <c r="BY229" s="37">
        <v>0</v>
      </c>
      <c r="BZ229" s="36"/>
      <c r="CA229" s="19"/>
      <c r="CB229" s="274"/>
      <c r="CC229" s="231"/>
      <c r="CD229" s="37">
        <v>0</v>
      </c>
      <c r="CE229" s="36"/>
      <c r="CF229" s="19"/>
      <c r="CG229" s="274"/>
      <c r="CH229" s="231"/>
      <c r="CI229" s="37">
        <v>0</v>
      </c>
      <c r="CJ229" s="36"/>
      <c r="CK229" s="19"/>
      <c r="CL229" s="274"/>
      <c r="CM229" s="276"/>
      <c r="CN229" s="37">
        <v>0</v>
      </c>
      <c r="CO229" s="36"/>
      <c r="CP229" s="19"/>
      <c r="CQ229" s="274"/>
      <c r="CR229" s="276"/>
      <c r="CS229" s="37">
        <v>0</v>
      </c>
      <c r="CT229" s="36"/>
      <c r="CU229" s="19"/>
      <c r="CV229" s="274"/>
      <c r="CW229" s="276"/>
      <c r="CX229" s="37">
        <v>0</v>
      </c>
      <c r="CY229" s="36"/>
      <c r="CZ229" s="19"/>
      <c r="DA229" s="274"/>
      <c r="DB229" s="276"/>
      <c r="DC229" s="37">
        <v>0</v>
      </c>
      <c r="DD229" s="36"/>
      <c r="DE229" s="19"/>
      <c r="DF229" s="274"/>
      <c r="DG229" s="276"/>
      <c r="DH229" s="37">
        <v>0</v>
      </c>
      <c r="DI229" s="36"/>
      <c r="DJ229" s="19"/>
      <c r="DK229" s="274"/>
      <c r="DL229" s="276"/>
      <c r="DM229" s="37">
        <v>0</v>
      </c>
      <c r="DN229" s="36"/>
      <c r="DO229" s="19"/>
      <c r="DP229" s="274"/>
      <c r="DQ229" s="276"/>
      <c r="DR229" s="37">
        <v>0</v>
      </c>
      <c r="DS229" s="36"/>
      <c r="DT229" s="19"/>
      <c r="DU229" s="274"/>
      <c r="DV229" s="276"/>
      <c r="DW229" s="37">
        <v>0</v>
      </c>
      <c r="DX229" s="36"/>
      <c r="DY229" s="19"/>
      <c r="DZ229" s="274"/>
      <c r="EA229" s="276"/>
      <c r="EB229" s="37">
        <v>0</v>
      </c>
      <c r="EC229" s="36"/>
      <c r="ED229" s="19"/>
      <c r="EE229" s="274"/>
      <c r="EF229" s="276"/>
      <c r="EG229" s="37">
        <v>0</v>
      </c>
      <c r="EH229" s="36"/>
      <c r="EI229" s="19"/>
      <c r="EJ229" s="274"/>
      <c r="EK229" s="276"/>
      <c r="EL229" s="37">
        <f>SUM(CD229:EG229)</f>
        <v>0</v>
      </c>
      <c r="EM229" s="36"/>
      <c r="EN229" s="19"/>
      <c r="EO229" s="244"/>
      <c r="ER229" s="451"/>
      <c r="ES229" s="451"/>
    </row>
    <row r="230" spans="4:149" ht="12.75" hidden="1" customHeight="1" x14ac:dyDescent="0.2">
      <c r="D230" s="244" t="s">
        <v>348</v>
      </c>
      <c r="E230" s="202"/>
      <c r="F230" s="255"/>
      <c r="G230" s="37">
        <v>0</v>
      </c>
      <c r="H230" s="36"/>
      <c r="I230" s="19"/>
      <c r="J230" s="274"/>
      <c r="K230" s="255"/>
      <c r="L230" s="37">
        <v>0</v>
      </c>
      <c r="M230" s="36"/>
      <c r="N230" s="19"/>
      <c r="O230" s="274"/>
      <c r="P230" s="255"/>
      <c r="Q230" s="37">
        <v>0</v>
      </c>
      <c r="R230" s="36"/>
      <c r="S230" s="19"/>
      <c r="T230" s="274"/>
      <c r="U230" s="255"/>
      <c r="V230" s="37">
        <v>0</v>
      </c>
      <c r="W230" s="36"/>
      <c r="X230" s="19"/>
      <c r="Y230" s="274"/>
      <c r="Z230" s="255"/>
      <c r="AA230" s="37">
        <v>0</v>
      </c>
      <c r="AB230" s="36"/>
      <c r="AC230" s="19"/>
      <c r="AD230" s="274"/>
      <c r="AE230" s="255"/>
      <c r="AF230" s="37">
        <v>0</v>
      </c>
      <c r="AG230" s="36"/>
      <c r="AH230" s="19"/>
      <c r="AI230" s="274"/>
      <c r="AJ230" s="255"/>
      <c r="AK230" s="37">
        <v>0</v>
      </c>
      <c r="AL230" s="36"/>
      <c r="AM230" s="19"/>
      <c r="AN230" s="274"/>
      <c r="AO230" s="255"/>
      <c r="AP230" s="37">
        <v>0</v>
      </c>
      <c r="AQ230" s="36"/>
      <c r="AR230" s="19"/>
      <c r="AS230" s="274"/>
      <c r="AT230" s="255"/>
      <c r="AU230" s="37">
        <v>0</v>
      </c>
      <c r="AV230" s="36"/>
      <c r="AW230" s="19"/>
      <c r="AX230" s="274"/>
      <c r="AY230" s="255"/>
      <c r="AZ230" s="37">
        <v>0</v>
      </c>
      <c r="BA230" s="36"/>
      <c r="BB230" s="19"/>
      <c r="BC230" s="274"/>
      <c r="BD230" s="255"/>
      <c r="BE230" s="37">
        <v>0</v>
      </c>
      <c r="BF230" s="36"/>
      <c r="BG230" s="19"/>
      <c r="BH230" s="274"/>
      <c r="BI230" s="255"/>
      <c r="BJ230" s="37">
        <v>0</v>
      </c>
      <c r="BK230" s="36"/>
      <c r="BL230" s="19"/>
      <c r="BM230" s="274"/>
      <c r="BN230" s="255"/>
      <c r="BO230" s="37">
        <v>0</v>
      </c>
      <c r="BP230" s="36"/>
      <c r="BQ230" s="19"/>
      <c r="BR230" s="274"/>
      <c r="BS230" s="255"/>
      <c r="BT230" s="37">
        <f>SUM(L230:BO230)</f>
        <v>0</v>
      </c>
      <c r="BU230" s="36"/>
      <c r="BV230" s="19"/>
      <c r="BW230" s="274"/>
      <c r="BX230" s="255"/>
      <c r="BY230" s="37">
        <f>SUM(Q230:BT230)</f>
        <v>0</v>
      </c>
      <c r="BZ230" s="36"/>
      <c r="CA230" s="19"/>
      <c r="CB230" s="274"/>
      <c r="CC230" s="255"/>
      <c r="CD230" s="37">
        <v>0</v>
      </c>
      <c r="CE230" s="36"/>
      <c r="CF230" s="19"/>
      <c r="CG230" s="274"/>
      <c r="CH230" s="255"/>
      <c r="CI230" s="37">
        <v>0</v>
      </c>
      <c r="CJ230" s="36"/>
      <c r="CK230" s="19"/>
      <c r="CL230" s="274"/>
      <c r="CM230" s="255"/>
      <c r="CN230" s="37">
        <v>0</v>
      </c>
      <c r="CO230" s="36"/>
      <c r="CP230" s="19"/>
      <c r="CQ230" s="274"/>
      <c r="CR230" s="255"/>
      <c r="CS230" s="37">
        <v>0</v>
      </c>
      <c r="CT230" s="36"/>
      <c r="CU230" s="19"/>
      <c r="CV230" s="274"/>
      <c r="CW230" s="255"/>
      <c r="CX230" s="37">
        <v>0</v>
      </c>
      <c r="CY230" s="36"/>
      <c r="CZ230" s="19"/>
      <c r="DA230" s="274"/>
      <c r="DB230" s="255"/>
      <c r="DC230" s="37">
        <v>0</v>
      </c>
      <c r="DD230" s="36"/>
      <c r="DE230" s="19"/>
      <c r="DF230" s="274"/>
      <c r="DG230" s="255"/>
      <c r="DH230" s="37">
        <v>0</v>
      </c>
      <c r="DI230" s="36"/>
      <c r="DJ230" s="19"/>
      <c r="DK230" s="274"/>
      <c r="DL230" s="255"/>
      <c r="DM230" s="37">
        <v>0</v>
      </c>
      <c r="DN230" s="36"/>
      <c r="DO230" s="19"/>
      <c r="DP230" s="274"/>
      <c r="DQ230" s="255"/>
      <c r="DR230" s="37">
        <v>0</v>
      </c>
      <c r="DS230" s="36"/>
      <c r="DT230" s="19"/>
      <c r="DU230" s="274"/>
      <c r="DV230" s="255"/>
      <c r="DW230" s="37">
        <v>0</v>
      </c>
      <c r="DX230" s="36"/>
      <c r="DY230" s="19"/>
      <c r="DZ230" s="274"/>
      <c r="EA230" s="255"/>
      <c r="EB230" s="37">
        <v>0</v>
      </c>
      <c r="EC230" s="36"/>
      <c r="ED230" s="19"/>
      <c r="EE230" s="274"/>
      <c r="EF230" s="255"/>
      <c r="EG230" s="37">
        <v>0</v>
      </c>
      <c r="EH230" s="36"/>
      <c r="EI230" s="19"/>
      <c r="EJ230" s="274"/>
      <c r="EK230" s="255"/>
      <c r="EL230" s="37">
        <f>SUM(CD230:EG230)</f>
        <v>0</v>
      </c>
      <c r="EM230" s="36"/>
      <c r="EN230" s="19"/>
      <c r="EO230" s="244"/>
      <c r="ER230" s="451"/>
      <c r="ES230" s="451"/>
    </row>
    <row r="231" spans="4:149" ht="12.75" customHeight="1" x14ac:dyDescent="0.2">
      <c r="D231" s="244"/>
      <c r="E231" s="202"/>
      <c r="F231" s="350"/>
      <c r="G231" s="19"/>
      <c r="H231" s="19"/>
      <c r="I231" s="19"/>
      <c r="J231" s="274"/>
      <c r="K231" s="350"/>
      <c r="L231" s="19"/>
      <c r="M231" s="19"/>
      <c r="N231" s="19"/>
      <c r="O231" s="274"/>
      <c r="P231" s="350"/>
      <c r="Q231" s="19"/>
      <c r="R231" s="19"/>
      <c r="S231" s="19"/>
      <c r="T231" s="274"/>
      <c r="U231" s="350"/>
      <c r="V231" s="19"/>
      <c r="W231" s="19"/>
      <c r="X231" s="19"/>
      <c r="Y231" s="274"/>
      <c r="Z231" s="350"/>
      <c r="AA231" s="19"/>
      <c r="AB231" s="19"/>
      <c r="AC231" s="19"/>
      <c r="AD231" s="274"/>
      <c r="AE231" s="350"/>
      <c r="AF231" s="19"/>
      <c r="AG231" s="19"/>
      <c r="AH231" s="19"/>
      <c r="AI231" s="274"/>
      <c r="AJ231" s="350"/>
      <c r="AK231" s="19"/>
      <c r="AL231" s="19"/>
      <c r="AM231" s="19"/>
      <c r="AN231" s="274"/>
      <c r="AO231" s="350"/>
      <c r="AP231" s="19"/>
      <c r="AQ231" s="19"/>
      <c r="AR231" s="19"/>
      <c r="AS231" s="274"/>
      <c r="AT231" s="350"/>
      <c r="AU231" s="19"/>
      <c r="AV231" s="19"/>
      <c r="AW231" s="19"/>
      <c r="AX231" s="274"/>
      <c r="AY231" s="350"/>
      <c r="AZ231" s="19"/>
      <c r="BA231" s="19"/>
      <c r="BB231" s="19"/>
      <c r="BC231" s="274"/>
      <c r="BD231" s="350"/>
      <c r="BE231" s="19"/>
      <c r="BF231" s="19"/>
      <c r="BG231" s="19"/>
      <c r="BH231" s="274"/>
      <c r="BI231" s="350"/>
      <c r="BJ231" s="19"/>
      <c r="BK231" s="19"/>
      <c r="BL231" s="19"/>
      <c r="BM231" s="274"/>
      <c r="BN231" s="350"/>
      <c r="BO231" s="19"/>
      <c r="BP231" s="19"/>
      <c r="BQ231" s="19"/>
      <c r="BR231" s="274"/>
      <c r="BS231" s="350"/>
      <c r="BT231" s="19"/>
      <c r="BU231" s="19"/>
      <c r="BV231" s="19"/>
      <c r="BW231" s="274"/>
      <c r="BX231" s="350"/>
      <c r="BY231" s="19"/>
      <c r="BZ231" s="19"/>
      <c r="CA231" s="19"/>
      <c r="CB231" s="274"/>
      <c r="CC231" s="350"/>
      <c r="CD231" s="19"/>
      <c r="CE231" s="19"/>
      <c r="CF231" s="19"/>
      <c r="CG231" s="274"/>
      <c r="CH231" s="350"/>
      <c r="CI231" s="19"/>
      <c r="CJ231" s="19"/>
      <c r="CK231" s="19"/>
      <c r="CL231" s="274"/>
      <c r="CM231" s="350"/>
      <c r="CN231" s="19"/>
      <c r="CO231" s="19"/>
      <c r="CP231" s="19"/>
      <c r="CQ231" s="274"/>
      <c r="CR231" s="350"/>
      <c r="CS231" s="19"/>
      <c r="CT231" s="19"/>
      <c r="CU231" s="19"/>
      <c r="CV231" s="274"/>
      <c r="CW231" s="350"/>
      <c r="CX231" s="19"/>
      <c r="CY231" s="19"/>
      <c r="CZ231" s="19"/>
      <c r="DA231" s="274"/>
      <c r="DB231" s="350"/>
      <c r="DC231" s="19"/>
      <c r="DD231" s="19"/>
      <c r="DE231" s="19"/>
      <c r="DF231" s="274"/>
      <c r="DG231" s="350"/>
      <c r="DH231" s="19"/>
      <c r="DI231" s="19"/>
      <c r="DJ231" s="19"/>
      <c r="DK231" s="274"/>
      <c r="DL231" s="350"/>
      <c r="DM231" s="19"/>
      <c r="DN231" s="19"/>
      <c r="DO231" s="19"/>
      <c r="DP231" s="274"/>
      <c r="DQ231" s="350"/>
      <c r="DR231" s="19"/>
      <c r="DS231" s="19"/>
      <c r="DT231" s="19"/>
      <c r="DU231" s="274"/>
      <c r="DV231" s="350"/>
      <c r="DW231" s="19"/>
      <c r="DX231" s="19"/>
      <c r="DY231" s="19"/>
      <c r="DZ231" s="274"/>
      <c r="EA231" s="350"/>
      <c r="EB231" s="19"/>
      <c r="EC231" s="19"/>
      <c r="ED231" s="19"/>
      <c r="EE231" s="274"/>
      <c r="EF231" s="350"/>
      <c r="EG231" s="19"/>
      <c r="EH231" s="19"/>
      <c r="EI231" s="19"/>
      <c r="EJ231" s="274"/>
      <c r="EK231" s="350"/>
      <c r="EL231" s="19"/>
      <c r="EM231" s="19"/>
      <c r="EN231" s="19"/>
      <c r="EO231" s="244"/>
      <c r="ER231" s="451"/>
      <c r="ES231" s="451"/>
    </row>
    <row r="232" spans="4:149" ht="12.75" customHeight="1" x14ac:dyDescent="0.2">
      <c r="D232" s="244" t="s">
        <v>375</v>
      </c>
      <c r="E232" s="202"/>
      <c r="G232" s="19">
        <f>SUM(G233:G235)</f>
        <v>392138</v>
      </c>
      <c r="H232" s="19"/>
      <c r="I232" s="19"/>
      <c r="J232" s="274"/>
      <c r="L232" s="19">
        <f>SUM(L233:L235)</f>
        <v>0</v>
      </c>
      <c r="M232" s="19"/>
      <c r="N232" s="19"/>
      <c r="O232" s="274"/>
      <c r="Q232" s="19">
        <f>SUM(Q233:Q235)</f>
        <v>0</v>
      </c>
      <c r="R232" s="19"/>
      <c r="S232" s="19"/>
      <c r="T232" s="274"/>
      <c r="V232" s="19">
        <f>SUM(V233:V235)</f>
        <v>0</v>
      </c>
      <c r="W232" s="19"/>
      <c r="X232" s="19"/>
      <c r="Y232" s="274"/>
      <c r="AA232" s="19">
        <f>SUM(AA233:AA235)</f>
        <v>0</v>
      </c>
      <c r="AB232" s="19"/>
      <c r="AC232" s="19"/>
      <c r="AD232" s="274"/>
      <c r="AF232" s="19">
        <f>SUM(AF233:AF235)</f>
        <v>0</v>
      </c>
      <c r="AG232" s="19"/>
      <c r="AH232" s="19"/>
      <c r="AI232" s="274"/>
      <c r="AK232" s="19">
        <f>SUM(AK233:AK235)</f>
        <v>0</v>
      </c>
      <c r="AL232" s="19"/>
      <c r="AM232" s="19"/>
      <c r="AN232" s="274"/>
      <c r="AP232" s="19">
        <f>SUM(AP233:AP235)</f>
        <v>0</v>
      </c>
      <c r="AQ232" s="19"/>
      <c r="AR232" s="19"/>
      <c r="AS232" s="274"/>
      <c r="AU232" s="19">
        <f>SUM(AU233:AU235)</f>
        <v>0</v>
      </c>
      <c r="AV232" s="19"/>
      <c r="AW232" s="19"/>
      <c r="AX232" s="274"/>
      <c r="AZ232" s="19">
        <f>SUM(AZ233:AZ235)</f>
        <v>0</v>
      </c>
      <c r="BA232" s="19"/>
      <c r="BB232" s="19"/>
      <c r="BC232" s="274"/>
      <c r="BE232" s="19">
        <f>SUM(BE233:BE235)</f>
        <v>0</v>
      </c>
      <c r="BF232" s="19"/>
      <c r="BG232" s="19"/>
      <c r="BH232" s="274"/>
      <c r="BJ232" s="19">
        <f>SUM(BJ233:BJ235)</f>
        <v>886572</v>
      </c>
      <c r="BK232" s="19"/>
      <c r="BL232" s="19"/>
      <c r="BM232" s="274"/>
      <c r="BO232" s="19">
        <f>SUM(BO233:BO235)</f>
        <v>0</v>
      </c>
      <c r="BP232" s="19"/>
      <c r="BQ232" s="19"/>
      <c r="BR232" s="274"/>
      <c r="BT232" s="19">
        <f>SUM(BT233:BT235)</f>
        <v>886572</v>
      </c>
      <c r="BU232" s="19"/>
      <c r="BV232" s="19"/>
      <c r="BW232" s="274"/>
      <c r="BY232" s="19">
        <f>SUM(BY233:BY235)</f>
        <v>145532</v>
      </c>
      <c r="BZ232" s="19"/>
      <c r="CA232" s="19"/>
      <c r="CB232" s="274"/>
      <c r="CD232" s="19">
        <f>SUM(CD233:CD235)</f>
        <v>0</v>
      </c>
      <c r="CE232" s="19"/>
      <c r="CF232" s="19"/>
      <c r="CG232" s="274"/>
      <c r="CI232" s="19">
        <f>SUM(CI233:CI235)</f>
        <v>145532</v>
      </c>
      <c r="CJ232" s="19"/>
      <c r="CK232" s="19"/>
      <c r="CL232" s="274"/>
      <c r="CN232" s="19">
        <f>SUM(CN233:CN235)</f>
        <v>0</v>
      </c>
      <c r="CO232" s="19"/>
      <c r="CP232" s="19"/>
      <c r="CQ232" s="274"/>
      <c r="CS232" s="19">
        <f>SUM(CS233:CS235)</f>
        <v>0</v>
      </c>
      <c r="CT232" s="19"/>
      <c r="CU232" s="19"/>
      <c r="CV232" s="274"/>
      <c r="CX232" s="19">
        <f>SUM(CX233:CX235)</f>
        <v>0</v>
      </c>
      <c r="CY232" s="19"/>
      <c r="CZ232" s="19"/>
      <c r="DA232" s="274"/>
      <c r="DC232" s="19">
        <f>SUM(DC233:DC235)</f>
        <v>0</v>
      </c>
      <c r="DD232" s="19"/>
      <c r="DE232" s="19"/>
      <c r="DF232" s="274"/>
      <c r="DH232" s="19">
        <f>SUM(DH233:DH235)</f>
        <v>0</v>
      </c>
      <c r="DI232" s="19"/>
      <c r="DJ232" s="19"/>
      <c r="DK232" s="274"/>
      <c r="DM232" s="19">
        <f>SUM(DM233:DM235)</f>
        <v>0</v>
      </c>
      <c r="DN232" s="19"/>
      <c r="DO232" s="19"/>
      <c r="DP232" s="274"/>
      <c r="DR232" s="19">
        <f>SUM(DR233:DR235)</f>
        <v>0</v>
      </c>
      <c r="DS232" s="19"/>
      <c r="DT232" s="19"/>
      <c r="DU232" s="274"/>
      <c r="DW232" s="19">
        <f>SUM(DW233:DW235)</f>
        <v>0</v>
      </c>
      <c r="DX232" s="19"/>
      <c r="DY232" s="19"/>
      <c r="DZ232" s="274"/>
      <c r="EB232" s="19">
        <f>SUM(EB233:EB235)</f>
        <v>0</v>
      </c>
      <c r="EC232" s="19"/>
      <c r="ED232" s="19"/>
      <c r="EE232" s="274"/>
      <c r="EG232" s="19">
        <f>SUM(EG233:EG235)</f>
        <v>0</v>
      </c>
      <c r="EH232" s="19"/>
      <c r="EI232" s="19"/>
      <c r="EJ232" s="274"/>
      <c r="EL232" s="19">
        <f>SUM(EL233:EL235)</f>
        <v>145532</v>
      </c>
      <c r="EM232" s="19"/>
      <c r="EN232" s="19"/>
      <c r="EO232" s="244"/>
      <c r="ER232" s="451"/>
      <c r="ES232" s="451"/>
    </row>
    <row r="233" spans="4:149" ht="12.75" customHeight="1" x14ac:dyDescent="0.2">
      <c r="D233" s="244" t="s">
        <v>344</v>
      </c>
      <c r="E233" s="202"/>
      <c r="F233" s="112"/>
      <c r="G233" s="374">
        <f>392138-63848</f>
        <v>328290</v>
      </c>
      <c r="H233" s="475"/>
      <c r="I233" s="19"/>
      <c r="J233" s="274"/>
      <c r="K233" s="112"/>
      <c r="L233" s="374">
        <v>0</v>
      </c>
      <c r="M233" s="475"/>
      <c r="N233" s="19"/>
      <c r="O233" s="274"/>
      <c r="P233" s="112"/>
      <c r="Q233" s="374">
        <v>0</v>
      </c>
      <c r="R233" s="475"/>
      <c r="S233" s="19"/>
      <c r="T233" s="274"/>
      <c r="U233" s="112"/>
      <c r="V233" s="374">
        <v>0</v>
      </c>
      <c r="W233" s="475"/>
      <c r="X233" s="19"/>
      <c r="Y233" s="274"/>
      <c r="Z233" s="112"/>
      <c r="AA233" s="374">
        <v>0</v>
      </c>
      <c r="AB233" s="475"/>
      <c r="AC233" s="19"/>
      <c r="AD233" s="274"/>
      <c r="AE233" s="112"/>
      <c r="AF233" s="374">
        <v>0</v>
      </c>
      <c r="AG233" s="475"/>
      <c r="AH233" s="19"/>
      <c r="AI233" s="274"/>
      <c r="AJ233" s="112"/>
      <c r="AK233" s="374">
        <v>0</v>
      </c>
      <c r="AL233" s="475"/>
      <c r="AM233" s="19"/>
      <c r="AN233" s="274"/>
      <c r="AO233" s="112"/>
      <c r="AP233" s="374">
        <v>0</v>
      </c>
      <c r="AQ233" s="475"/>
      <c r="AR233" s="19"/>
      <c r="AS233" s="274"/>
      <c r="AT233" s="112"/>
      <c r="AU233" s="374">
        <v>0</v>
      </c>
      <c r="AV233" s="475"/>
      <c r="AW233" s="19"/>
      <c r="AX233" s="274"/>
      <c r="AY233" s="112"/>
      <c r="AZ233" s="374">
        <v>0</v>
      </c>
      <c r="BA233" s="475"/>
      <c r="BB233" s="19"/>
      <c r="BC233" s="274"/>
      <c r="BD233" s="112"/>
      <c r="BE233" s="374">
        <v>0</v>
      </c>
      <c r="BF233" s="475"/>
      <c r="BG233" s="19"/>
      <c r="BH233" s="274"/>
      <c r="BI233" s="112"/>
      <c r="BJ233" s="374">
        <f>886572-138957</f>
        <v>747615</v>
      </c>
      <c r="BK233" s="475"/>
      <c r="BL233" s="19"/>
      <c r="BM233" s="274"/>
      <c r="BN233" s="112"/>
      <c r="BO233" s="374">
        <v>0</v>
      </c>
      <c r="BP233" s="475"/>
      <c r="BQ233" s="19"/>
      <c r="BR233" s="274"/>
      <c r="BS233" s="112"/>
      <c r="BT233" s="374">
        <f>SUM(L233:BO233)</f>
        <v>747615</v>
      </c>
      <c r="BU233" s="475"/>
      <c r="BV233" s="19"/>
      <c r="BW233" s="274"/>
      <c r="BX233" s="112"/>
      <c r="BY233" s="374">
        <v>130531</v>
      </c>
      <c r="BZ233" s="475"/>
      <c r="CA233" s="19"/>
      <c r="CB233" s="274"/>
      <c r="CC233" s="112"/>
      <c r="CD233" s="374">
        <v>0</v>
      </c>
      <c r="CE233" s="475"/>
      <c r="CF233" s="19"/>
      <c r="CG233" s="274"/>
      <c r="CH233" s="112"/>
      <c r="CI233" s="374">
        <f>145532-15001</f>
        <v>130531</v>
      </c>
      <c r="CJ233" s="475"/>
      <c r="CK233" s="19"/>
      <c r="CL233" s="274"/>
      <c r="CM233" s="112"/>
      <c r="CN233" s="374">
        <v>0</v>
      </c>
      <c r="CO233" s="475"/>
      <c r="CP233" s="19"/>
      <c r="CQ233" s="274"/>
      <c r="CR233" s="112"/>
      <c r="CS233" s="374">
        <v>0</v>
      </c>
      <c r="CT233" s="475"/>
      <c r="CU233" s="19"/>
      <c r="CV233" s="274"/>
      <c r="CW233" s="112"/>
      <c r="CX233" s="374">
        <v>0</v>
      </c>
      <c r="CY233" s="475"/>
      <c r="CZ233" s="19"/>
      <c r="DA233" s="274"/>
      <c r="DB233" s="112"/>
      <c r="DC233" s="374">
        <v>0</v>
      </c>
      <c r="DD233" s="475"/>
      <c r="DE233" s="19"/>
      <c r="DF233" s="274"/>
      <c r="DG233" s="112"/>
      <c r="DH233" s="374">
        <v>0</v>
      </c>
      <c r="DI233" s="475"/>
      <c r="DJ233" s="19"/>
      <c r="DK233" s="274"/>
      <c r="DL233" s="112"/>
      <c r="DM233" s="374">
        <v>0</v>
      </c>
      <c r="DN233" s="475"/>
      <c r="DO233" s="19"/>
      <c r="DP233" s="274"/>
      <c r="DQ233" s="112"/>
      <c r="DR233" s="374">
        <v>0</v>
      </c>
      <c r="DS233" s="475"/>
      <c r="DT233" s="19"/>
      <c r="DU233" s="274"/>
      <c r="DV233" s="112"/>
      <c r="DW233" s="374">
        <v>0</v>
      </c>
      <c r="DX233" s="475"/>
      <c r="DY233" s="19"/>
      <c r="DZ233" s="274"/>
      <c r="EA233" s="112"/>
      <c r="EB233" s="374">
        <v>0</v>
      </c>
      <c r="EC233" s="475"/>
      <c r="ED233" s="19"/>
      <c r="EE233" s="274"/>
      <c r="EF233" s="112"/>
      <c r="EG233" s="374">
        <v>0</v>
      </c>
      <c r="EH233" s="475"/>
      <c r="EI233" s="19"/>
      <c r="EJ233" s="274"/>
      <c r="EK233" s="112"/>
      <c r="EL233" s="374">
        <f>SUM(CD233:EG233)</f>
        <v>130531</v>
      </c>
      <c r="EM233" s="475"/>
      <c r="EN233" s="19"/>
      <c r="EO233" s="244"/>
      <c r="ER233" s="451"/>
      <c r="ES233" s="451"/>
    </row>
    <row r="234" spans="4:149" ht="12.75" customHeight="1" x14ac:dyDescent="0.2">
      <c r="D234" s="244" t="s">
        <v>346</v>
      </c>
      <c r="E234" s="202"/>
      <c r="F234" s="82"/>
      <c r="G234" s="19">
        <v>63848</v>
      </c>
      <c r="H234" s="18"/>
      <c r="I234" s="19"/>
      <c r="J234" s="274"/>
      <c r="K234" s="82"/>
      <c r="L234" s="19">
        <v>0</v>
      </c>
      <c r="M234" s="18"/>
      <c r="N234" s="19"/>
      <c r="O234" s="274"/>
      <c r="P234" s="82"/>
      <c r="Q234" s="19">
        <v>0</v>
      </c>
      <c r="R234" s="18"/>
      <c r="S234" s="19"/>
      <c r="T234" s="274"/>
      <c r="U234" s="82"/>
      <c r="V234" s="19">
        <v>0</v>
      </c>
      <c r="W234" s="18"/>
      <c r="X234" s="19"/>
      <c r="Y234" s="274"/>
      <c r="Z234" s="82"/>
      <c r="AA234" s="19">
        <v>0</v>
      </c>
      <c r="AB234" s="18"/>
      <c r="AC234" s="19"/>
      <c r="AD234" s="274"/>
      <c r="AE234" s="82"/>
      <c r="AF234" s="19">
        <v>0</v>
      </c>
      <c r="AG234" s="18"/>
      <c r="AH234" s="19"/>
      <c r="AI234" s="274"/>
      <c r="AJ234" s="82"/>
      <c r="AK234" s="19">
        <v>0</v>
      </c>
      <c r="AL234" s="18"/>
      <c r="AM234" s="19"/>
      <c r="AN234" s="274"/>
      <c r="AO234" s="82"/>
      <c r="AP234" s="19">
        <v>0</v>
      </c>
      <c r="AQ234" s="18"/>
      <c r="AR234" s="19"/>
      <c r="AS234" s="274"/>
      <c r="AT234" s="82"/>
      <c r="AU234" s="19">
        <v>0</v>
      </c>
      <c r="AV234" s="18"/>
      <c r="AW234" s="19"/>
      <c r="AX234" s="274"/>
      <c r="AY234" s="82"/>
      <c r="AZ234" s="19">
        <v>0</v>
      </c>
      <c r="BA234" s="18"/>
      <c r="BB234" s="19"/>
      <c r="BC234" s="274"/>
      <c r="BD234" s="82"/>
      <c r="BE234" s="19">
        <v>0</v>
      </c>
      <c r="BF234" s="18"/>
      <c r="BG234" s="19"/>
      <c r="BH234" s="274"/>
      <c r="BI234" s="82"/>
      <c r="BJ234" s="19">
        <v>138957</v>
      </c>
      <c r="BK234" s="18"/>
      <c r="BL234" s="19"/>
      <c r="BM234" s="274"/>
      <c r="BN234" s="82"/>
      <c r="BO234" s="19">
        <v>0</v>
      </c>
      <c r="BP234" s="18"/>
      <c r="BQ234" s="19"/>
      <c r="BR234" s="274"/>
      <c r="BS234" s="82"/>
      <c r="BT234" s="19">
        <f>SUM(L234:BO234)</f>
        <v>138957</v>
      </c>
      <c r="BU234" s="18"/>
      <c r="BV234" s="19"/>
      <c r="BW234" s="274"/>
      <c r="BX234" s="82"/>
      <c r="BY234" s="19">
        <v>15001</v>
      </c>
      <c r="BZ234" s="18"/>
      <c r="CA234" s="19"/>
      <c r="CB234" s="274"/>
      <c r="CC234" s="82"/>
      <c r="CD234" s="19">
        <v>0</v>
      </c>
      <c r="CE234" s="18"/>
      <c r="CF234" s="19"/>
      <c r="CG234" s="274"/>
      <c r="CH234" s="82"/>
      <c r="CI234" s="19">
        <v>15001</v>
      </c>
      <c r="CJ234" s="18"/>
      <c r="CK234" s="19"/>
      <c r="CL234" s="274"/>
      <c r="CM234" s="82"/>
      <c r="CN234" s="19">
        <v>0</v>
      </c>
      <c r="CO234" s="18"/>
      <c r="CP234" s="19"/>
      <c r="CQ234" s="274"/>
      <c r="CR234" s="82"/>
      <c r="CS234" s="19">
        <v>0</v>
      </c>
      <c r="CT234" s="18"/>
      <c r="CU234" s="19"/>
      <c r="CV234" s="274"/>
      <c r="CW234" s="82"/>
      <c r="CX234" s="19">
        <v>0</v>
      </c>
      <c r="CY234" s="18"/>
      <c r="CZ234" s="19"/>
      <c r="DA234" s="274"/>
      <c r="DB234" s="82"/>
      <c r="DC234" s="19">
        <v>0</v>
      </c>
      <c r="DD234" s="18"/>
      <c r="DE234" s="19"/>
      <c r="DF234" s="274"/>
      <c r="DG234" s="82"/>
      <c r="DH234" s="19">
        <v>0</v>
      </c>
      <c r="DI234" s="18"/>
      <c r="DJ234" s="19"/>
      <c r="DK234" s="274"/>
      <c r="DL234" s="82"/>
      <c r="DM234" s="19">
        <v>0</v>
      </c>
      <c r="DN234" s="18"/>
      <c r="DO234" s="19"/>
      <c r="DP234" s="274"/>
      <c r="DQ234" s="82"/>
      <c r="DR234" s="19">
        <v>0</v>
      </c>
      <c r="DS234" s="18"/>
      <c r="DT234" s="19"/>
      <c r="DU234" s="274"/>
      <c r="DV234" s="82"/>
      <c r="DW234" s="19">
        <v>0</v>
      </c>
      <c r="DX234" s="18"/>
      <c r="DY234" s="19"/>
      <c r="DZ234" s="274"/>
      <c r="EA234" s="82"/>
      <c r="EB234" s="19">
        <v>0</v>
      </c>
      <c r="EC234" s="18"/>
      <c r="ED234" s="19"/>
      <c r="EE234" s="274"/>
      <c r="EF234" s="82"/>
      <c r="EG234" s="19">
        <v>0</v>
      </c>
      <c r="EH234" s="18"/>
      <c r="EI234" s="19"/>
      <c r="EJ234" s="274"/>
      <c r="EK234" s="82"/>
      <c r="EL234" s="19">
        <f>SUM(CD234:EG234)</f>
        <v>15001</v>
      </c>
      <c r="EM234" s="18"/>
      <c r="EN234" s="19"/>
      <c r="EO234" s="244"/>
      <c r="ER234" s="451"/>
      <c r="ES234" s="451"/>
    </row>
    <row r="235" spans="4:149" ht="12.75" customHeight="1" x14ac:dyDescent="0.2">
      <c r="D235" s="244" t="s">
        <v>354</v>
      </c>
      <c r="E235" s="202"/>
      <c r="F235" s="276"/>
      <c r="G235" s="37">
        <v>0</v>
      </c>
      <c r="H235" s="36"/>
      <c r="I235" s="19"/>
      <c r="J235" s="274"/>
      <c r="K235" s="276"/>
      <c r="L235" s="37">
        <v>0</v>
      </c>
      <c r="M235" s="36"/>
      <c r="N235" s="19"/>
      <c r="O235" s="274"/>
      <c r="P235" s="276"/>
      <c r="Q235" s="37">
        <v>0</v>
      </c>
      <c r="R235" s="36"/>
      <c r="S235" s="19"/>
      <c r="T235" s="274"/>
      <c r="U235" s="276"/>
      <c r="V235" s="37">
        <v>0</v>
      </c>
      <c r="W235" s="36"/>
      <c r="X235" s="19"/>
      <c r="Y235" s="274"/>
      <c r="Z235" s="276"/>
      <c r="AA235" s="37">
        <v>0</v>
      </c>
      <c r="AB235" s="36"/>
      <c r="AC235" s="19"/>
      <c r="AD235" s="274"/>
      <c r="AE235" s="276"/>
      <c r="AF235" s="37">
        <v>0</v>
      </c>
      <c r="AG235" s="36"/>
      <c r="AH235" s="19"/>
      <c r="AI235" s="274"/>
      <c r="AJ235" s="276"/>
      <c r="AK235" s="37">
        <v>0</v>
      </c>
      <c r="AL235" s="36"/>
      <c r="AM235" s="19"/>
      <c r="AN235" s="274"/>
      <c r="AO235" s="276"/>
      <c r="AP235" s="37">
        <v>0</v>
      </c>
      <c r="AQ235" s="36"/>
      <c r="AR235" s="19"/>
      <c r="AS235" s="274"/>
      <c r="AT235" s="276"/>
      <c r="AU235" s="37">
        <v>0</v>
      </c>
      <c r="AV235" s="36"/>
      <c r="AW235" s="19"/>
      <c r="AX235" s="274"/>
      <c r="AY235" s="276"/>
      <c r="AZ235" s="37">
        <v>0</v>
      </c>
      <c r="BA235" s="36"/>
      <c r="BB235" s="19"/>
      <c r="BC235" s="274"/>
      <c r="BD235" s="276"/>
      <c r="BE235" s="37">
        <v>0</v>
      </c>
      <c r="BF235" s="36"/>
      <c r="BG235" s="19"/>
      <c r="BH235" s="274"/>
      <c r="BI235" s="276"/>
      <c r="BJ235" s="37">
        <v>0</v>
      </c>
      <c r="BK235" s="36"/>
      <c r="BL235" s="19"/>
      <c r="BM235" s="274"/>
      <c r="BN235" s="276"/>
      <c r="BO235" s="37">
        <v>0</v>
      </c>
      <c r="BP235" s="36"/>
      <c r="BQ235" s="19"/>
      <c r="BR235" s="274"/>
      <c r="BS235" s="276"/>
      <c r="BT235" s="37">
        <f>SUM(L235:BO235)</f>
        <v>0</v>
      </c>
      <c r="BU235" s="36"/>
      <c r="BV235" s="19"/>
      <c r="BW235" s="274"/>
      <c r="BX235" s="276"/>
      <c r="BY235" s="37">
        <v>0</v>
      </c>
      <c r="BZ235" s="36"/>
      <c r="CA235" s="19"/>
      <c r="CB235" s="274"/>
      <c r="CC235" s="276"/>
      <c r="CD235" s="37">
        <v>0</v>
      </c>
      <c r="CE235" s="36"/>
      <c r="CF235" s="19"/>
      <c r="CG235" s="274"/>
      <c r="CH235" s="276"/>
      <c r="CI235" s="37">
        <v>0</v>
      </c>
      <c r="CJ235" s="36"/>
      <c r="CK235" s="19"/>
      <c r="CL235" s="274"/>
      <c r="CM235" s="276"/>
      <c r="CN235" s="37">
        <v>0</v>
      </c>
      <c r="CO235" s="36"/>
      <c r="CP235" s="19"/>
      <c r="CQ235" s="274"/>
      <c r="CR235" s="276"/>
      <c r="CS235" s="37">
        <v>0</v>
      </c>
      <c r="CT235" s="36"/>
      <c r="CU235" s="19"/>
      <c r="CV235" s="274"/>
      <c r="CW235" s="276"/>
      <c r="CX235" s="37">
        <v>0</v>
      </c>
      <c r="CY235" s="36"/>
      <c r="CZ235" s="19"/>
      <c r="DA235" s="274"/>
      <c r="DB235" s="276"/>
      <c r="DC235" s="37">
        <v>0</v>
      </c>
      <c r="DD235" s="36"/>
      <c r="DE235" s="19"/>
      <c r="DF235" s="274"/>
      <c r="DG235" s="276"/>
      <c r="DH235" s="37">
        <v>0</v>
      </c>
      <c r="DI235" s="36"/>
      <c r="DJ235" s="19"/>
      <c r="DK235" s="274"/>
      <c r="DL235" s="276"/>
      <c r="DM235" s="37">
        <v>0</v>
      </c>
      <c r="DN235" s="36"/>
      <c r="DO235" s="19"/>
      <c r="DP235" s="274"/>
      <c r="DQ235" s="276"/>
      <c r="DR235" s="37">
        <v>0</v>
      </c>
      <c r="DS235" s="36"/>
      <c r="DT235" s="19"/>
      <c r="DU235" s="274"/>
      <c r="DV235" s="276"/>
      <c r="DW235" s="37">
        <v>0</v>
      </c>
      <c r="DX235" s="36"/>
      <c r="DY235" s="19"/>
      <c r="DZ235" s="274"/>
      <c r="EA235" s="276"/>
      <c r="EB235" s="37">
        <v>0</v>
      </c>
      <c r="EC235" s="36"/>
      <c r="ED235" s="19"/>
      <c r="EE235" s="274"/>
      <c r="EF235" s="276"/>
      <c r="EG235" s="37">
        <v>0</v>
      </c>
      <c r="EH235" s="36"/>
      <c r="EI235" s="19"/>
      <c r="EJ235" s="274"/>
      <c r="EK235" s="276"/>
      <c r="EL235" s="37">
        <f>SUM(CD235:EG235)</f>
        <v>0</v>
      </c>
      <c r="EM235" s="36"/>
      <c r="EN235" s="19"/>
      <c r="EO235" s="244"/>
      <c r="ER235" s="451"/>
      <c r="ES235" s="451"/>
    </row>
    <row r="236" spans="4:149" ht="12.75" customHeight="1" x14ac:dyDescent="0.2">
      <c r="D236" s="244"/>
      <c r="E236" s="202"/>
      <c r="G236" s="19"/>
      <c r="H236" s="19"/>
      <c r="I236" s="19"/>
      <c r="J236" s="274"/>
      <c r="L236" s="19"/>
      <c r="M236" s="19"/>
      <c r="N236" s="19"/>
      <c r="O236" s="274"/>
      <c r="Q236" s="19"/>
      <c r="R236" s="19"/>
      <c r="S236" s="19"/>
      <c r="T236" s="274"/>
      <c r="V236" s="19"/>
      <c r="W236" s="19"/>
      <c r="X236" s="19"/>
      <c r="Y236" s="274"/>
      <c r="AA236" s="19"/>
      <c r="AB236" s="19"/>
      <c r="AC236" s="19"/>
      <c r="AD236" s="274"/>
      <c r="AF236" s="19"/>
      <c r="AG236" s="19"/>
      <c r="AH236" s="19"/>
      <c r="AI236" s="274"/>
      <c r="AK236" s="19"/>
      <c r="AL236" s="19"/>
      <c r="AM236" s="19"/>
      <c r="AN236" s="274"/>
      <c r="AP236" s="19"/>
      <c r="AQ236" s="19"/>
      <c r="AR236" s="19"/>
      <c r="AS236" s="274"/>
      <c r="AU236" s="19"/>
      <c r="AV236" s="19"/>
      <c r="AW236" s="19"/>
      <c r="AX236" s="274"/>
      <c r="AZ236" s="19"/>
      <c r="BA236" s="19"/>
      <c r="BB236" s="19"/>
      <c r="BC236" s="274"/>
      <c r="BE236" s="19"/>
      <c r="BF236" s="19"/>
      <c r="BG236" s="19"/>
      <c r="BH236" s="274"/>
      <c r="BJ236" s="19"/>
      <c r="BK236" s="19"/>
      <c r="BL236" s="19"/>
      <c r="BM236" s="274"/>
      <c r="BO236" s="19"/>
      <c r="BP236" s="19"/>
      <c r="BQ236" s="19"/>
      <c r="BR236" s="274"/>
      <c r="BT236" s="19"/>
      <c r="BU236" s="19"/>
      <c r="BV236" s="19"/>
      <c r="BW236" s="274"/>
      <c r="BY236" s="19"/>
      <c r="BZ236" s="19"/>
      <c r="CA236" s="19"/>
      <c r="CB236" s="274"/>
      <c r="CD236" s="19"/>
      <c r="CE236" s="19"/>
      <c r="CF236" s="19"/>
      <c r="CG236" s="274"/>
      <c r="CI236" s="19"/>
      <c r="CJ236" s="19"/>
      <c r="CK236" s="19"/>
      <c r="CL236" s="274"/>
      <c r="CN236" s="19"/>
      <c r="CO236" s="19"/>
      <c r="CP236" s="19"/>
      <c r="CQ236" s="274"/>
      <c r="CS236" s="19"/>
      <c r="CT236" s="19"/>
      <c r="CU236" s="19"/>
      <c r="CV236" s="274"/>
      <c r="CX236" s="19"/>
      <c r="CY236" s="19"/>
      <c r="CZ236" s="19"/>
      <c r="DA236" s="274"/>
      <c r="DC236" s="19"/>
      <c r="DD236" s="19"/>
      <c r="DE236" s="19"/>
      <c r="DF236" s="274"/>
      <c r="DH236" s="19"/>
      <c r="DI236" s="19"/>
      <c r="DJ236" s="19"/>
      <c r="DK236" s="274"/>
      <c r="DM236" s="19"/>
      <c r="DN236" s="19"/>
      <c r="DO236" s="19"/>
      <c r="DP236" s="274"/>
      <c r="DR236" s="19"/>
      <c r="DS236" s="19"/>
      <c r="DT236" s="19"/>
      <c r="DU236" s="274"/>
      <c r="DW236" s="19"/>
      <c r="DX236" s="19"/>
      <c r="DY236" s="19"/>
      <c r="DZ236" s="274"/>
      <c r="EB236" s="19"/>
      <c r="EC236" s="19"/>
      <c r="ED236" s="19"/>
      <c r="EE236" s="274"/>
      <c r="EG236" s="19"/>
      <c r="EH236" s="19"/>
      <c r="EI236" s="19"/>
      <c r="EJ236" s="274"/>
      <c r="EL236" s="19"/>
      <c r="EM236" s="19"/>
      <c r="EN236" s="19"/>
      <c r="EO236" s="244"/>
      <c r="ER236" s="451"/>
      <c r="ES236" s="451"/>
    </row>
    <row r="237" spans="4:149" ht="12.75" customHeight="1" x14ac:dyDescent="0.2">
      <c r="D237" s="244" t="s">
        <v>353</v>
      </c>
      <c r="G237" s="19">
        <f>SUM(G238:G240)</f>
        <v>832096</v>
      </c>
      <c r="H237" s="19"/>
      <c r="I237" s="19"/>
      <c r="J237" s="274"/>
      <c r="K237" s="19"/>
      <c r="L237" s="19">
        <f>SUM(L238:L240)</f>
        <v>0</v>
      </c>
      <c r="M237" s="19"/>
      <c r="N237" s="19"/>
      <c r="O237" s="274"/>
      <c r="P237" s="19"/>
      <c r="Q237" s="19">
        <f>SUM(Q238:Q240)</f>
        <v>0</v>
      </c>
      <c r="R237" s="19"/>
      <c r="S237" s="19"/>
      <c r="T237" s="274"/>
      <c r="U237" s="19"/>
      <c r="V237" s="19">
        <f>SUM(V238:V240)</f>
        <v>0</v>
      </c>
      <c r="W237" s="19"/>
      <c r="X237" s="19"/>
      <c r="Y237" s="274"/>
      <c r="Z237" s="19"/>
      <c r="AA237" s="19">
        <f>SUM(AA238:AA240)</f>
        <v>0</v>
      </c>
      <c r="AB237" s="19"/>
      <c r="AC237" s="19"/>
      <c r="AD237" s="274"/>
      <c r="AE237" s="19"/>
      <c r="AF237" s="19">
        <f>SUM(AF238:AF240)</f>
        <v>0</v>
      </c>
      <c r="AG237" s="19"/>
      <c r="AH237" s="19"/>
      <c r="AI237" s="274"/>
      <c r="AJ237" s="19"/>
      <c r="AK237" s="19">
        <f>SUM(AK238:AK240)</f>
        <v>0</v>
      </c>
      <c r="AL237" s="19"/>
      <c r="AM237" s="19"/>
      <c r="AN237" s="274"/>
      <c r="AO237" s="19"/>
      <c r="AP237" s="19">
        <f>SUM(AP238:AP240)</f>
        <v>0</v>
      </c>
      <c r="AQ237" s="19"/>
      <c r="AR237" s="19"/>
      <c r="AS237" s="274"/>
      <c r="AT237" s="19"/>
      <c r="AU237" s="19">
        <f>SUM(AU238:AU240)</f>
        <v>0</v>
      </c>
      <c r="AV237" s="19"/>
      <c r="AW237" s="19"/>
      <c r="AX237" s="274"/>
      <c r="AY237" s="19"/>
      <c r="AZ237" s="19">
        <f>SUM(AZ238:AZ240)</f>
        <v>0</v>
      </c>
      <c r="BA237" s="19"/>
      <c r="BB237" s="19"/>
      <c r="BC237" s="274"/>
      <c r="BD237" s="19"/>
      <c r="BE237" s="19">
        <f>SUM(BE238:BE240)</f>
        <v>0</v>
      </c>
      <c r="BF237" s="19"/>
      <c r="BG237" s="19"/>
      <c r="BH237" s="274"/>
      <c r="BI237" s="19"/>
      <c r="BJ237" s="19">
        <f>SUM(BJ238:BJ240)</f>
        <v>832096</v>
      </c>
      <c r="BK237" s="19"/>
      <c r="BL237" s="19"/>
      <c r="BM237" s="274"/>
      <c r="BN237" s="19"/>
      <c r="BO237" s="19">
        <f>SUM(BO238:BO240)</f>
        <v>0</v>
      </c>
      <c r="BP237" s="19"/>
      <c r="BQ237" s="19"/>
      <c r="BR237" s="274"/>
      <c r="BS237" s="19"/>
      <c r="BT237" s="19">
        <f>SUM(BT238:BT240)</f>
        <v>832096</v>
      </c>
      <c r="BU237" s="19"/>
      <c r="BV237" s="19"/>
      <c r="BW237" s="274"/>
      <c r="BX237" s="19"/>
      <c r="BY237" s="19">
        <f>SUM(BY238:BY240)</f>
        <v>415012</v>
      </c>
      <c r="BZ237" s="19"/>
      <c r="CA237" s="19"/>
      <c r="CB237" s="274"/>
      <c r="CC237" s="19"/>
      <c r="CD237" s="19">
        <f>SUM(CD238:CD240)</f>
        <v>0</v>
      </c>
      <c r="CE237" s="19"/>
      <c r="CF237" s="19"/>
      <c r="CG237" s="274"/>
      <c r="CH237" s="19"/>
      <c r="CI237" s="19">
        <f>SUM(CI238:CI240)</f>
        <v>415012</v>
      </c>
      <c r="CJ237" s="19"/>
      <c r="CK237" s="19"/>
      <c r="CL237" s="274"/>
      <c r="CM237" s="19"/>
      <c r="CN237" s="19">
        <f>SUM(CN238:CN240)</f>
        <v>0</v>
      </c>
      <c r="CO237" s="19"/>
      <c r="CP237" s="19"/>
      <c r="CQ237" s="274"/>
      <c r="CR237" s="19"/>
      <c r="CS237" s="19">
        <f>SUM(CS238:CS240)</f>
        <v>0</v>
      </c>
      <c r="CT237" s="19"/>
      <c r="CU237" s="19"/>
      <c r="CV237" s="274"/>
      <c r="CW237" s="19"/>
      <c r="CX237" s="19">
        <f>SUM(CX238:CX240)</f>
        <v>0</v>
      </c>
      <c r="CY237" s="19"/>
      <c r="CZ237" s="19"/>
      <c r="DA237" s="274"/>
      <c r="DB237" s="19"/>
      <c r="DC237" s="19">
        <f>SUM(DC238:DC240)</f>
        <v>0</v>
      </c>
      <c r="DD237" s="19"/>
      <c r="DE237" s="19"/>
      <c r="DF237" s="274"/>
      <c r="DG237" s="19"/>
      <c r="DH237" s="19">
        <f>SUM(DH238:DH240)</f>
        <v>0</v>
      </c>
      <c r="DI237" s="19"/>
      <c r="DJ237" s="19"/>
      <c r="DK237" s="274"/>
      <c r="DL237" s="19"/>
      <c r="DM237" s="19">
        <f>SUM(DM238:DM240)</f>
        <v>0</v>
      </c>
      <c r="DN237" s="19"/>
      <c r="DO237" s="19"/>
      <c r="DP237" s="274"/>
      <c r="DQ237" s="19"/>
      <c r="DR237" s="19">
        <f>SUM(DR238:DR240)</f>
        <v>0</v>
      </c>
      <c r="DS237" s="19"/>
      <c r="DT237" s="19"/>
      <c r="DU237" s="274"/>
      <c r="DV237" s="19"/>
      <c r="DW237" s="19">
        <f>SUM(DW238:DW240)</f>
        <v>0</v>
      </c>
      <c r="DX237" s="19"/>
      <c r="DY237" s="19"/>
      <c r="DZ237" s="274"/>
      <c r="EA237" s="19"/>
      <c r="EB237" s="19">
        <f>SUM(EB238:EB240)</f>
        <v>0</v>
      </c>
      <c r="EC237" s="19"/>
      <c r="ED237" s="19"/>
      <c r="EE237" s="274"/>
      <c r="EF237" s="19"/>
      <c r="EG237" s="19">
        <f>SUM(EG238:EG240)</f>
        <v>0</v>
      </c>
      <c r="EH237" s="19"/>
      <c r="EI237" s="19"/>
      <c r="EJ237" s="274"/>
      <c r="EK237" s="19"/>
      <c r="EL237" s="19">
        <f>SUM(EL238:EL240)</f>
        <v>415012</v>
      </c>
      <c r="EM237" s="19"/>
      <c r="EN237" s="19"/>
      <c r="EO237" s="244"/>
      <c r="ER237" s="451"/>
      <c r="ES237" s="451"/>
    </row>
    <row r="238" spans="4:149" ht="12.75" customHeight="1" x14ac:dyDescent="0.2">
      <c r="D238" s="244" t="s">
        <v>344</v>
      </c>
      <c r="F238" s="112"/>
      <c r="G238" s="374">
        <f>832096-97020</f>
        <v>735076</v>
      </c>
      <c r="H238" s="475"/>
      <c r="I238" s="19"/>
      <c r="J238" s="274"/>
      <c r="K238" s="173"/>
      <c r="L238" s="374">
        <v>0</v>
      </c>
      <c r="M238" s="475"/>
      <c r="N238" s="19"/>
      <c r="O238" s="274"/>
      <c r="P238" s="173"/>
      <c r="Q238" s="374">
        <v>0</v>
      </c>
      <c r="R238" s="475"/>
      <c r="S238" s="19"/>
      <c r="T238" s="274"/>
      <c r="U238" s="173"/>
      <c r="V238" s="374">
        <v>0</v>
      </c>
      <c r="W238" s="475"/>
      <c r="X238" s="19"/>
      <c r="Y238" s="274"/>
      <c r="Z238" s="173"/>
      <c r="AA238" s="374">
        <v>0</v>
      </c>
      <c r="AB238" s="475"/>
      <c r="AC238" s="19"/>
      <c r="AD238" s="274"/>
      <c r="AE238" s="173"/>
      <c r="AF238" s="374">
        <v>0</v>
      </c>
      <c r="AG238" s="475"/>
      <c r="AH238" s="19"/>
      <c r="AI238" s="274"/>
      <c r="AJ238" s="173"/>
      <c r="AK238" s="374">
        <v>0</v>
      </c>
      <c r="AL238" s="475"/>
      <c r="AM238" s="19"/>
      <c r="AN238" s="274"/>
      <c r="AO238" s="173"/>
      <c r="AP238" s="374">
        <v>0</v>
      </c>
      <c r="AQ238" s="475"/>
      <c r="AR238" s="19"/>
      <c r="AS238" s="274"/>
      <c r="AT238" s="173"/>
      <c r="AU238" s="374">
        <v>0</v>
      </c>
      <c r="AV238" s="475"/>
      <c r="AW238" s="19"/>
      <c r="AX238" s="274"/>
      <c r="AY238" s="173"/>
      <c r="AZ238" s="374">
        <v>0</v>
      </c>
      <c r="BA238" s="475"/>
      <c r="BB238" s="19"/>
      <c r="BC238" s="274"/>
      <c r="BD238" s="173"/>
      <c r="BE238" s="374">
        <v>0</v>
      </c>
      <c r="BF238" s="475"/>
      <c r="BG238" s="19"/>
      <c r="BH238" s="274"/>
      <c r="BI238" s="173"/>
      <c r="BJ238" s="374">
        <f>832096-97020</f>
        <v>735076</v>
      </c>
      <c r="BK238" s="475"/>
      <c r="BL238" s="19"/>
      <c r="BM238" s="274"/>
      <c r="BN238" s="173"/>
      <c r="BO238" s="374">
        <v>0</v>
      </c>
      <c r="BP238" s="475"/>
      <c r="BQ238" s="19"/>
      <c r="BR238" s="274"/>
      <c r="BS238" s="173"/>
      <c r="BT238" s="374">
        <f>SUM(L238:BO238)</f>
        <v>735076</v>
      </c>
      <c r="BU238" s="475"/>
      <c r="BV238" s="19"/>
      <c r="BW238" s="274"/>
      <c r="BX238" s="173"/>
      <c r="BY238" s="374">
        <v>389349</v>
      </c>
      <c r="BZ238" s="475"/>
      <c r="CA238" s="19"/>
      <c r="CB238" s="274"/>
      <c r="CC238" s="173"/>
      <c r="CD238" s="374">
        <v>0</v>
      </c>
      <c r="CE238" s="475"/>
      <c r="CF238" s="19"/>
      <c r="CG238" s="274"/>
      <c r="CH238" s="173"/>
      <c r="CI238" s="374">
        <f>415012-25663</f>
        <v>389349</v>
      </c>
      <c r="CJ238" s="475"/>
      <c r="CK238" s="19"/>
      <c r="CL238" s="274"/>
      <c r="CM238" s="173"/>
      <c r="CN238" s="374">
        <v>0</v>
      </c>
      <c r="CO238" s="475"/>
      <c r="CP238" s="19"/>
      <c r="CQ238" s="274"/>
      <c r="CR238" s="173"/>
      <c r="CS238" s="374">
        <v>0</v>
      </c>
      <c r="CT238" s="475"/>
      <c r="CU238" s="19"/>
      <c r="CV238" s="274"/>
      <c r="CW238" s="173"/>
      <c r="CX238" s="374">
        <v>0</v>
      </c>
      <c r="CY238" s="475"/>
      <c r="CZ238" s="19"/>
      <c r="DA238" s="274"/>
      <c r="DB238" s="173"/>
      <c r="DC238" s="374">
        <v>0</v>
      </c>
      <c r="DD238" s="475"/>
      <c r="DE238" s="19"/>
      <c r="DF238" s="274"/>
      <c r="DG238" s="173"/>
      <c r="DH238" s="374">
        <v>0</v>
      </c>
      <c r="DI238" s="475"/>
      <c r="DJ238" s="19"/>
      <c r="DK238" s="274"/>
      <c r="DL238" s="173"/>
      <c r="DM238" s="374">
        <v>0</v>
      </c>
      <c r="DN238" s="475"/>
      <c r="DO238" s="19"/>
      <c r="DP238" s="274"/>
      <c r="DQ238" s="173"/>
      <c r="DR238" s="374">
        <v>0</v>
      </c>
      <c r="DS238" s="475"/>
      <c r="DT238" s="19"/>
      <c r="DU238" s="274"/>
      <c r="DV238" s="173"/>
      <c r="DW238" s="374">
        <v>0</v>
      </c>
      <c r="DX238" s="475"/>
      <c r="DY238" s="19"/>
      <c r="DZ238" s="274"/>
      <c r="EA238" s="173"/>
      <c r="EB238" s="374">
        <v>0</v>
      </c>
      <c r="EC238" s="475"/>
      <c r="ED238" s="19"/>
      <c r="EE238" s="274"/>
      <c r="EF238" s="173"/>
      <c r="EG238" s="374">
        <v>0</v>
      </c>
      <c r="EH238" s="475"/>
      <c r="EI238" s="19"/>
      <c r="EJ238" s="274"/>
      <c r="EK238" s="173"/>
      <c r="EL238" s="374">
        <f>SUM(CD238:EG238)</f>
        <v>389349</v>
      </c>
      <c r="EM238" s="475"/>
      <c r="EN238" s="19"/>
      <c r="EO238" s="244"/>
      <c r="ER238" s="451"/>
      <c r="ES238" s="451"/>
    </row>
    <row r="239" spans="4:149" ht="12.75" customHeight="1" x14ac:dyDescent="0.2">
      <c r="D239" s="244" t="s">
        <v>346</v>
      </c>
      <c r="F239" s="82"/>
      <c r="G239" s="19">
        <v>97020</v>
      </c>
      <c r="H239" s="18"/>
      <c r="I239" s="19"/>
      <c r="J239" s="274"/>
      <c r="K239" s="274"/>
      <c r="L239" s="19">
        <v>0</v>
      </c>
      <c r="M239" s="18"/>
      <c r="N239" s="19"/>
      <c r="O239" s="274"/>
      <c r="P239" s="274"/>
      <c r="Q239" s="19">
        <v>0</v>
      </c>
      <c r="R239" s="18"/>
      <c r="S239" s="19"/>
      <c r="T239" s="274"/>
      <c r="U239" s="274"/>
      <c r="V239" s="19">
        <v>0</v>
      </c>
      <c r="W239" s="18"/>
      <c r="X239" s="19"/>
      <c r="Y239" s="274"/>
      <c r="Z239" s="274"/>
      <c r="AA239" s="19">
        <v>0</v>
      </c>
      <c r="AB239" s="18"/>
      <c r="AC239" s="19"/>
      <c r="AD239" s="274"/>
      <c r="AE239" s="274"/>
      <c r="AF239" s="19">
        <v>0</v>
      </c>
      <c r="AG239" s="18"/>
      <c r="AH239" s="19"/>
      <c r="AI239" s="274"/>
      <c r="AJ239" s="274"/>
      <c r="AK239" s="19">
        <v>0</v>
      </c>
      <c r="AL239" s="18"/>
      <c r="AM239" s="19"/>
      <c r="AN239" s="274"/>
      <c r="AO239" s="274"/>
      <c r="AP239" s="19">
        <v>0</v>
      </c>
      <c r="AQ239" s="18"/>
      <c r="AR239" s="19"/>
      <c r="AS239" s="274"/>
      <c r="AT239" s="274"/>
      <c r="AU239" s="19">
        <v>0</v>
      </c>
      <c r="AV239" s="18"/>
      <c r="AW239" s="19"/>
      <c r="AX239" s="274"/>
      <c r="AY239" s="274"/>
      <c r="AZ239" s="19">
        <v>0</v>
      </c>
      <c r="BA239" s="18"/>
      <c r="BB239" s="19"/>
      <c r="BC239" s="274"/>
      <c r="BD239" s="274"/>
      <c r="BE239" s="19">
        <v>0</v>
      </c>
      <c r="BF239" s="18"/>
      <c r="BG239" s="19"/>
      <c r="BH239" s="274"/>
      <c r="BI239" s="274"/>
      <c r="BJ239" s="19">
        <v>97020</v>
      </c>
      <c r="BK239" s="18"/>
      <c r="BL239" s="19"/>
      <c r="BM239" s="274"/>
      <c r="BN239" s="274"/>
      <c r="BO239" s="19">
        <v>0</v>
      </c>
      <c r="BP239" s="18"/>
      <c r="BQ239" s="19"/>
      <c r="BR239" s="274"/>
      <c r="BS239" s="274"/>
      <c r="BT239" s="19">
        <f>SUM(L239:BO239)</f>
        <v>97020</v>
      </c>
      <c r="BU239" s="18"/>
      <c r="BV239" s="19"/>
      <c r="BW239" s="274"/>
      <c r="BX239" s="274"/>
      <c r="BY239" s="19">
        <v>25663</v>
      </c>
      <c r="BZ239" s="18"/>
      <c r="CA239" s="19"/>
      <c r="CB239" s="274"/>
      <c r="CC239" s="274"/>
      <c r="CD239" s="19">
        <v>0</v>
      </c>
      <c r="CE239" s="18"/>
      <c r="CF239" s="19"/>
      <c r="CG239" s="274"/>
      <c r="CH239" s="274"/>
      <c r="CI239" s="19">
        <v>25663</v>
      </c>
      <c r="CJ239" s="18"/>
      <c r="CK239" s="19"/>
      <c r="CL239" s="274"/>
      <c r="CM239" s="274"/>
      <c r="CN239" s="19">
        <v>0</v>
      </c>
      <c r="CO239" s="18"/>
      <c r="CP239" s="19"/>
      <c r="CQ239" s="274"/>
      <c r="CR239" s="274"/>
      <c r="CS239" s="19">
        <v>0</v>
      </c>
      <c r="CT239" s="18"/>
      <c r="CU239" s="19"/>
      <c r="CV239" s="274"/>
      <c r="CW239" s="274"/>
      <c r="CX239" s="19">
        <v>0</v>
      </c>
      <c r="CY239" s="18"/>
      <c r="CZ239" s="19"/>
      <c r="DA239" s="274"/>
      <c r="DB239" s="274"/>
      <c r="DC239" s="19">
        <v>0</v>
      </c>
      <c r="DD239" s="18"/>
      <c r="DE239" s="19"/>
      <c r="DF239" s="274"/>
      <c r="DG239" s="274"/>
      <c r="DH239" s="19">
        <v>0</v>
      </c>
      <c r="DI239" s="18"/>
      <c r="DJ239" s="19"/>
      <c r="DK239" s="274"/>
      <c r="DL239" s="274"/>
      <c r="DM239" s="19">
        <v>0</v>
      </c>
      <c r="DN239" s="18"/>
      <c r="DO239" s="19"/>
      <c r="DP239" s="274"/>
      <c r="DQ239" s="274"/>
      <c r="DR239" s="19">
        <v>0</v>
      </c>
      <c r="DS239" s="18"/>
      <c r="DT239" s="19"/>
      <c r="DU239" s="274"/>
      <c r="DV239" s="274"/>
      <c r="DW239" s="19">
        <v>0</v>
      </c>
      <c r="DX239" s="18"/>
      <c r="DY239" s="19"/>
      <c r="DZ239" s="274"/>
      <c r="EA239" s="274"/>
      <c r="EB239" s="19">
        <v>0</v>
      </c>
      <c r="EC239" s="18"/>
      <c r="ED239" s="19"/>
      <c r="EE239" s="274"/>
      <c r="EF239" s="274"/>
      <c r="EG239" s="19">
        <v>0</v>
      </c>
      <c r="EH239" s="18"/>
      <c r="EI239" s="19"/>
      <c r="EJ239" s="274"/>
      <c r="EK239" s="274"/>
      <c r="EL239" s="19">
        <f>SUM(CD239:EG239)</f>
        <v>25663</v>
      </c>
      <c r="EM239" s="18"/>
      <c r="EN239" s="19"/>
      <c r="EO239" s="244"/>
      <c r="ER239" s="451"/>
      <c r="ES239" s="451"/>
    </row>
    <row r="240" spans="4:149" ht="12.75" customHeight="1" x14ac:dyDescent="0.2">
      <c r="D240" s="244" t="s">
        <v>354</v>
      </c>
      <c r="F240" s="276"/>
      <c r="G240" s="37">
        <v>0</v>
      </c>
      <c r="H240" s="36"/>
      <c r="I240" s="19"/>
      <c r="J240" s="274"/>
      <c r="K240" s="231"/>
      <c r="L240" s="37">
        <v>0</v>
      </c>
      <c r="M240" s="36"/>
      <c r="N240" s="19"/>
      <c r="O240" s="274"/>
      <c r="P240" s="231"/>
      <c r="Q240" s="37">
        <v>0</v>
      </c>
      <c r="R240" s="36"/>
      <c r="S240" s="19"/>
      <c r="T240" s="274"/>
      <c r="U240" s="231"/>
      <c r="V240" s="37">
        <v>0</v>
      </c>
      <c r="W240" s="36"/>
      <c r="X240" s="19"/>
      <c r="Y240" s="274"/>
      <c r="Z240" s="231"/>
      <c r="AA240" s="37">
        <v>0</v>
      </c>
      <c r="AB240" s="36"/>
      <c r="AC240" s="19"/>
      <c r="AD240" s="274"/>
      <c r="AE240" s="231"/>
      <c r="AF240" s="37">
        <v>0</v>
      </c>
      <c r="AG240" s="36"/>
      <c r="AH240" s="19"/>
      <c r="AI240" s="274"/>
      <c r="AJ240" s="231"/>
      <c r="AK240" s="37">
        <v>0</v>
      </c>
      <c r="AL240" s="36"/>
      <c r="AM240" s="19"/>
      <c r="AN240" s="274"/>
      <c r="AO240" s="231"/>
      <c r="AP240" s="37">
        <v>0</v>
      </c>
      <c r="AQ240" s="36"/>
      <c r="AR240" s="19"/>
      <c r="AS240" s="274"/>
      <c r="AT240" s="231"/>
      <c r="AU240" s="37">
        <v>0</v>
      </c>
      <c r="AV240" s="36"/>
      <c r="AW240" s="19"/>
      <c r="AX240" s="274"/>
      <c r="AY240" s="231"/>
      <c r="AZ240" s="37">
        <v>0</v>
      </c>
      <c r="BA240" s="36"/>
      <c r="BB240" s="19"/>
      <c r="BC240" s="274"/>
      <c r="BD240" s="231"/>
      <c r="BE240" s="37">
        <v>0</v>
      </c>
      <c r="BF240" s="36"/>
      <c r="BG240" s="19"/>
      <c r="BH240" s="274"/>
      <c r="BI240" s="231"/>
      <c r="BJ240" s="37">
        <v>0</v>
      </c>
      <c r="BK240" s="36"/>
      <c r="BL240" s="19"/>
      <c r="BM240" s="274"/>
      <c r="BN240" s="231"/>
      <c r="BO240" s="37">
        <v>0</v>
      </c>
      <c r="BP240" s="36"/>
      <c r="BQ240" s="19"/>
      <c r="BR240" s="274"/>
      <c r="BS240" s="231"/>
      <c r="BT240" s="37">
        <f>SUM(L240:BO240)</f>
        <v>0</v>
      </c>
      <c r="BU240" s="36"/>
      <c r="BV240" s="19"/>
      <c r="BW240" s="274"/>
      <c r="BX240" s="231"/>
      <c r="BY240" s="37">
        <v>0</v>
      </c>
      <c r="BZ240" s="36"/>
      <c r="CA240" s="19"/>
      <c r="CB240" s="274"/>
      <c r="CC240" s="231"/>
      <c r="CD240" s="37">
        <v>0</v>
      </c>
      <c r="CE240" s="36"/>
      <c r="CF240" s="19"/>
      <c r="CG240" s="274"/>
      <c r="CH240" s="231"/>
      <c r="CI240" s="37">
        <v>0</v>
      </c>
      <c r="CJ240" s="36"/>
      <c r="CK240" s="19"/>
      <c r="CL240" s="274"/>
      <c r="CM240" s="231"/>
      <c r="CN240" s="37">
        <v>0</v>
      </c>
      <c r="CO240" s="36"/>
      <c r="CP240" s="19"/>
      <c r="CQ240" s="274"/>
      <c r="CR240" s="231"/>
      <c r="CS240" s="37">
        <v>0</v>
      </c>
      <c r="CT240" s="36"/>
      <c r="CU240" s="19"/>
      <c r="CV240" s="274"/>
      <c r="CW240" s="231"/>
      <c r="CX240" s="37">
        <v>0</v>
      </c>
      <c r="CY240" s="36"/>
      <c r="CZ240" s="19"/>
      <c r="DA240" s="274"/>
      <c r="DB240" s="231"/>
      <c r="DC240" s="37">
        <v>0</v>
      </c>
      <c r="DD240" s="36"/>
      <c r="DE240" s="19"/>
      <c r="DF240" s="274"/>
      <c r="DG240" s="231"/>
      <c r="DH240" s="37">
        <v>0</v>
      </c>
      <c r="DI240" s="36"/>
      <c r="DJ240" s="19"/>
      <c r="DK240" s="274"/>
      <c r="DL240" s="231"/>
      <c r="DM240" s="37">
        <v>0</v>
      </c>
      <c r="DN240" s="36"/>
      <c r="DO240" s="19"/>
      <c r="DP240" s="274"/>
      <c r="DQ240" s="231"/>
      <c r="DR240" s="37">
        <v>0</v>
      </c>
      <c r="DS240" s="36"/>
      <c r="DT240" s="19"/>
      <c r="DU240" s="274"/>
      <c r="DV240" s="231"/>
      <c r="DW240" s="37">
        <v>0</v>
      </c>
      <c r="DX240" s="36"/>
      <c r="DY240" s="19"/>
      <c r="DZ240" s="274"/>
      <c r="EA240" s="231"/>
      <c r="EB240" s="37">
        <v>0</v>
      </c>
      <c r="EC240" s="36"/>
      <c r="ED240" s="19"/>
      <c r="EE240" s="274"/>
      <c r="EF240" s="231"/>
      <c r="EG240" s="37">
        <v>0</v>
      </c>
      <c r="EH240" s="36"/>
      <c r="EI240" s="19"/>
      <c r="EJ240" s="274"/>
      <c r="EK240" s="231"/>
      <c r="EL240" s="37">
        <f>SUM(CD240:EG240)</f>
        <v>0</v>
      </c>
      <c r="EM240" s="36"/>
      <c r="EN240" s="19"/>
      <c r="EO240" s="244"/>
      <c r="ER240" s="451"/>
      <c r="ES240" s="451"/>
    </row>
    <row r="241" spans="4:149" ht="12.75" customHeight="1" x14ac:dyDescent="0.2">
      <c r="D241" s="244"/>
      <c r="E241" s="202"/>
      <c r="G241" s="19"/>
      <c r="H241" s="19"/>
      <c r="I241" s="19"/>
      <c r="J241" s="274"/>
      <c r="L241" s="19"/>
      <c r="M241" s="19"/>
      <c r="N241" s="19"/>
      <c r="O241" s="274"/>
      <c r="Q241" s="19"/>
      <c r="R241" s="19"/>
      <c r="S241" s="19"/>
      <c r="T241" s="274"/>
      <c r="V241" s="19"/>
      <c r="W241" s="19"/>
      <c r="X241" s="19"/>
      <c r="Y241" s="274"/>
      <c r="AA241" s="19"/>
      <c r="AB241" s="19"/>
      <c r="AC241" s="19"/>
      <c r="AD241" s="274"/>
      <c r="AF241" s="19"/>
      <c r="AG241" s="19"/>
      <c r="AH241" s="19"/>
      <c r="AI241" s="274"/>
      <c r="AK241" s="19"/>
      <c r="AL241" s="19"/>
      <c r="AM241" s="19"/>
      <c r="AN241" s="274"/>
      <c r="AP241" s="19"/>
      <c r="AQ241" s="19"/>
      <c r="AR241" s="19"/>
      <c r="AS241" s="274"/>
      <c r="AU241" s="19"/>
      <c r="AV241" s="19"/>
      <c r="AW241" s="19"/>
      <c r="AX241" s="274"/>
      <c r="AZ241" s="19"/>
      <c r="BA241" s="19"/>
      <c r="BB241" s="19"/>
      <c r="BC241" s="274"/>
      <c r="BE241" s="19"/>
      <c r="BF241" s="19"/>
      <c r="BG241" s="19"/>
      <c r="BH241" s="274"/>
      <c r="BJ241" s="19"/>
      <c r="BK241" s="19"/>
      <c r="BL241" s="19"/>
      <c r="BM241" s="274"/>
      <c r="BO241" s="19"/>
      <c r="BP241" s="19"/>
      <c r="BQ241" s="19"/>
      <c r="BR241" s="274"/>
      <c r="BT241" s="19"/>
      <c r="BU241" s="19"/>
      <c r="BV241" s="19"/>
      <c r="BW241" s="274"/>
      <c r="BY241" s="19"/>
      <c r="BZ241" s="19"/>
      <c r="CA241" s="19"/>
      <c r="CB241" s="274"/>
      <c r="CD241" s="19"/>
      <c r="CE241" s="19"/>
      <c r="CF241" s="19"/>
      <c r="CG241" s="274"/>
      <c r="CI241" s="19"/>
      <c r="CJ241" s="19"/>
      <c r="CK241" s="19"/>
      <c r="CL241" s="274"/>
      <c r="CN241" s="19"/>
      <c r="CO241" s="19"/>
      <c r="CP241" s="19"/>
      <c r="CQ241" s="274"/>
      <c r="CS241" s="19"/>
      <c r="CT241" s="19"/>
      <c r="CU241" s="19"/>
      <c r="CV241" s="274"/>
      <c r="CX241" s="19"/>
      <c r="CY241" s="19"/>
      <c r="CZ241" s="19"/>
      <c r="DA241" s="274"/>
      <c r="DC241" s="19"/>
      <c r="DD241" s="19"/>
      <c r="DE241" s="19"/>
      <c r="DF241" s="274"/>
      <c r="DH241" s="19"/>
      <c r="DI241" s="19"/>
      <c r="DJ241" s="19"/>
      <c r="DK241" s="274"/>
      <c r="DM241" s="19"/>
      <c r="DN241" s="19"/>
      <c r="DO241" s="19"/>
      <c r="DP241" s="274"/>
      <c r="DR241" s="19"/>
      <c r="DS241" s="19"/>
      <c r="DT241" s="19"/>
      <c r="DU241" s="274"/>
      <c r="DW241" s="19"/>
      <c r="DX241" s="19"/>
      <c r="DY241" s="19"/>
      <c r="DZ241" s="274"/>
      <c r="EB241" s="19"/>
      <c r="EC241" s="19"/>
      <c r="ED241" s="19"/>
      <c r="EE241" s="274"/>
      <c r="EG241" s="19"/>
      <c r="EH241" s="19"/>
      <c r="EI241" s="19"/>
      <c r="EJ241" s="274"/>
      <c r="EL241" s="19"/>
      <c r="EM241" s="19"/>
      <c r="EN241" s="19"/>
      <c r="EO241" s="244"/>
      <c r="ER241" s="451"/>
      <c r="ES241" s="451"/>
    </row>
    <row r="242" spans="4:149" ht="12.75" customHeight="1" x14ac:dyDescent="0.2">
      <c r="D242" s="244" t="s">
        <v>370</v>
      </c>
      <c r="G242" s="19">
        <f>SUM(G243:G245)</f>
        <v>384517</v>
      </c>
      <c r="H242" s="19"/>
      <c r="I242" s="19"/>
      <c r="J242" s="274"/>
      <c r="K242" s="19"/>
      <c r="L242" s="19">
        <f>SUM(L243:L245)</f>
        <v>0</v>
      </c>
      <c r="M242" s="19"/>
      <c r="N242" s="19"/>
      <c r="O242" s="274"/>
      <c r="P242" s="19"/>
      <c r="Q242" s="19">
        <f>SUM(Q243:Q245)</f>
        <v>0</v>
      </c>
      <c r="R242" s="19"/>
      <c r="S242" s="19"/>
      <c r="T242" s="274"/>
      <c r="U242" s="19"/>
      <c r="V242" s="19">
        <f>SUM(V243:V245)</f>
        <v>0</v>
      </c>
      <c r="W242" s="19"/>
      <c r="X242" s="19"/>
      <c r="Y242" s="274"/>
      <c r="Z242" s="19"/>
      <c r="AA242" s="19">
        <f>SUM(AA243:AA245)</f>
        <v>0</v>
      </c>
      <c r="AB242" s="19"/>
      <c r="AC242" s="19"/>
      <c r="AD242" s="274"/>
      <c r="AE242" s="19"/>
      <c r="AF242" s="19">
        <f>SUM(AF243:AF245)</f>
        <v>0</v>
      </c>
      <c r="AG242" s="19"/>
      <c r="AH242" s="19"/>
      <c r="AI242" s="274"/>
      <c r="AJ242" s="19"/>
      <c r="AK242" s="19">
        <f>SUM(AK243:AK245)</f>
        <v>0</v>
      </c>
      <c r="AL242" s="19"/>
      <c r="AM242" s="19"/>
      <c r="AN242" s="274"/>
      <c r="AO242" s="19"/>
      <c r="AP242" s="19">
        <f>SUM(AP243:AP245)</f>
        <v>0</v>
      </c>
      <c r="AQ242" s="19"/>
      <c r="AR242" s="19"/>
      <c r="AS242" s="274"/>
      <c r="AT242" s="19"/>
      <c r="AU242" s="19">
        <f>SUM(AU243:AU245)</f>
        <v>0</v>
      </c>
      <c r="AV242" s="19"/>
      <c r="AW242" s="19"/>
      <c r="AX242" s="274"/>
      <c r="AY242" s="19"/>
      <c r="AZ242" s="19">
        <f>SUM(AZ243:AZ245)</f>
        <v>0</v>
      </c>
      <c r="BA242" s="19"/>
      <c r="BB242" s="19"/>
      <c r="BC242" s="274"/>
      <c r="BD242" s="19"/>
      <c r="BE242" s="19">
        <f>SUM(BE243:BE245)</f>
        <v>0</v>
      </c>
      <c r="BF242" s="19"/>
      <c r="BG242" s="19"/>
      <c r="BH242" s="274"/>
      <c r="BI242" s="19"/>
      <c r="BJ242" s="19">
        <f>SUM(BJ243:BJ245)</f>
        <v>690763</v>
      </c>
      <c r="BK242" s="19"/>
      <c r="BL242" s="19"/>
      <c r="BM242" s="274"/>
      <c r="BN242" s="19"/>
      <c r="BO242" s="19">
        <f>SUM(BO243:BO245)</f>
        <v>0</v>
      </c>
      <c r="BP242" s="19"/>
      <c r="BQ242" s="19"/>
      <c r="BR242" s="274"/>
      <c r="BS242" s="19"/>
      <c r="BT242" s="19">
        <f>SUM(BT243:BT245)</f>
        <v>690763</v>
      </c>
      <c r="BU242" s="19"/>
      <c r="BV242" s="19"/>
      <c r="BW242" s="274"/>
      <c r="BX242" s="19"/>
      <c r="BY242" s="19">
        <f>SUM(BY243:BY245)</f>
        <v>0</v>
      </c>
      <c r="BZ242" s="19"/>
      <c r="CA242" s="19"/>
      <c r="CB242" s="274"/>
      <c r="CC242" s="19"/>
      <c r="CD242" s="19">
        <f>SUM(CD243:CD245)</f>
        <v>0</v>
      </c>
      <c r="CE242" s="19"/>
      <c r="CF242" s="19"/>
      <c r="CG242" s="274"/>
      <c r="CH242" s="19"/>
      <c r="CI242" s="19">
        <f>SUM(CI243:CI245)</f>
        <v>0</v>
      </c>
      <c r="CJ242" s="19"/>
      <c r="CK242" s="19"/>
      <c r="CL242" s="274"/>
      <c r="CM242" s="19"/>
      <c r="CN242" s="19">
        <f>SUM(CN243:CN245)</f>
        <v>0</v>
      </c>
      <c r="CO242" s="19"/>
      <c r="CP242" s="19"/>
      <c r="CQ242" s="274"/>
      <c r="CR242" s="19"/>
      <c r="CS242" s="19">
        <f>SUM(CS243:CS245)</f>
        <v>0</v>
      </c>
      <c r="CT242" s="19"/>
      <c r="CU242" s="19"/>
      <c r="CV242" s="274"/>
      <c r="CW242" s="19"/>
      <c r="CX242" s="19">
        <f>SUM(CX243:CX245)</f>
        <v>0</v>
      </c>
      <c r="CY242" s="19"/>
      <c r="CZ242" s="19"/>
      <c r="DA242" s="274"/>
      <c r="DB242" s="19"/>
      <c r="DC242" s="19">
        <f>SUM(DC243:DC245)</f>
        <v>0</v>
      </c>
      <c r="DD242" s="19"/>
      <c r="DE242" s="19"/>
      <c r="DF242" s="274"/>
      <c r="DG242" s="19"/>
      <c r="DH242" s="19">
        <f>SUM(DH243:DH245)</f>
        <v>0</v>
      </c>
      <c r="DI242" s="19"/>
      <c r="DJ242" s="19"/>
      <c r="DK242" s="274"/>
      <c r="DL242" s="19"/>
      <c r="DM242" s="19">
        <f>SUM(DM243:DM245)</f>
        <v>0</v>
      </c>
      <c r="DN242" s="19"/>
      <c r="DO242" s="19"/>
      <c r="DP242" s="274"/>
      <c r="DQ242" s="19"/>
      <c r="DR242" s="19">
        <f>SUM(DR243:DR245)</f>
        <v>0</v>
      </c>
      <c r="DS242" s="19"/>
      <c r="DT242" s="19"/>
      <c r="DU242" s="274"/>
      <c r="DV242" s="19"/>
      <c r="DW242" s="19">
        <f>SUM(DW243:DW245)</f>
        <v>0</v>
      </c>
      <c r="DX242" s="19"/>
      <c r="DY242" s="19"/>
      <c r="DZ242" s="274"/>
      <c r="EA242" s="19"/>
      <c r="EB242" s="19">
        <f>SUM(EB243:EB245)</f>
        <v>0</v>
      </c>
      <c r="EC242" s="19"/>
      <c r="ED242" s="19"/>
      <c r="EE242" s="274"/>
      <c r="EF242" s="19"/>
      <c r="EG242" s="19">
        <f>SUM(EG243:EG245)</f>
        <v>0</v>
      </c>
      <c r="EH242" s="19"/>
      <c r="EI242" s="19"/>
      <c r="EJ242" s="274"/>
      <c r="EK242" s="19"/>
      <c r="EL242" s="19">
        <f>SUM(EL243:EL245)</f>
        <v>0</v>
      </c>
      <c r="EM242" s="19"/>
      <c r="EN242" s="19"/>
      <c r="EO242" s="244"/>
      <c r="ER242" s="451"/>
      <c r="ES242" s="451"/>
    </row>
    <row r="243" spans="4:149" ht="12.75" customHeight="1" x14ac:dyDescent="0.2">
      <c r="D243" s="244" t="s">
        <v>344</v>
      </c>
      <c r="F243" s="112"/>
      <c r="G243" s="374">
        <f>384517-56526</f>
        <v>327991</v>
      </c>
      <c r="H243" s="475"/>
      <c r="I243" s="19"/>
      <c r="J243" s="274"/>
      <c r="K243" s="173"/>
      <c r="L243" s="374">
        <v>0</v>
      </c>
      <c r="M243" s="475"/>
      <c r="N243" s="19"/>
      <c r="O243" s="274"/>
      <c r="P243" s="173"/>
      <c r="Q243" s="374">
        <v>0</v>
      </c>
      <c r="R243" s="475"/>
      <c r="S243" s="19"/>
      <c r="T243" s="274"/>
      <c r="U243" s="173"/>
      <c r="V243" s="374">
        <v>0</v>
      </c>
      <c r="W243" s="475"/>
      <c r="X243" s="19"/>
      <c r="Y243" s="274"/>
      <c r="Z243" s="173"/>
      <c r="AA243" s="374">
        <v>0</v>
      </c>
      <c r="AB243" s="475"/>
      <c r="AC243" s="19"/>
      <c r="AD243" s="274"/>
      <c r="AE243" s="173"/>
      <c r="AF243" s="374">
        <v>0</v>
      </c>
      <c r="AG243" s="475"/>
      <c r="AH243" s="19"/>
      <c r="AI243" s="274"/>
      <c r="AJ243" s="173"/>
      <c r="AK243" s="374">
        <v>0</v>
      </c>
      <c r="AL243" s="475"/>
      <c r="AM243" s="19"/>
      <c r="AN243" s="274"/>
      <c r="AO243" s="173"/>
      <c r="AP243" s="374">
        <v>0</v>
      </c>
      <c r="AQ243" s="475"/>
      <c r="AR243" s="19"/>
      <c r="AS243" s="274"/>
      <c r="AT243" s="173"/>
      <c r="AU243" s="374">
        <v>0</v>
      </c>
      <c r="AV243" s="475"/>
      <c r="AW243" s="19"/>
      <c r="AX243" s="274"/>
      <c r="AY243" s="173"/>
      <c r="AZ243" s="374">
        <v>0</v>
      </c>
      <c r="BA243" s="475"/>
      <c r="BB243" s="19"/>
      <c r="BC243" s="274"/>
      <c r="BD243" s="173"/>
      <c r="BE243" s="374">
        <v>0</v>
      </c>
      <c r="BF243" s="475"/>
      <c r="BG243" s="19"/>
      <c r="BH243" s="274"/>
      <c r="BI243" s="173"/>
      <c r="BJ243" s="374">
        <f>690763-98745</f>
        <v>592018</v>
      </c>
      <c r="BK243" s="475"/>
      <c r="BL243" s="19"/>
      <c r="BM243" s="274"/>
      <c r="BN243" s="173"/>
      <c r="BO243" s="374">
        <v>0</v>
      </c>
      <c r="BP243" s="475"/>
      <c r="BQ243" s="19"/>
      <c r="BR243" s="274"/>
      <c r="BS243" s="173"/>
      <c r="BT243" s="374">
        <f>SUM(L243:BO243)</f>
        <v>592018</v>
      </c>
      <c r="BU243" s="475"/>
      <c r="BV243" s="19"/>
      <c r="BW243" s="274"/>
      <c r="BX243" s="173"/>
      <c r="BY243" s="374">
        <v>0</v>
      </c>
      <c r="BZ243" s="475"/>
      <c r="CA243" s="19"/>
      <c r="CB243" s="274"/>
      <c r="CC243" s="173"/>
      <c r="CD243" s="374">
        <v>0</v>
      </c>
      <c r="CE243" s="475"/>
      <c r="CF243" s="19"/>
      <c r="CG243" s="274"/>
      <c r="CH243" s="173"/>
      <c r="CI243" s="374">
        <v>0</v>
      </c>
      <c r="CJ243" s="475"/>
      <c r="CK243" s="19"/>
      <c r="CL243" s="274"/>
      <c r="CM243" s="173"/>
      <c r="CN243" s="374">
        <v>0</v>
      </c>
      <c r="CO243" s="475"/>
      <c r="CP243" s="19"/>
      <c r="CQ243" s="274"/>
      <c r="CR243" s="173"/>
      <c r="CS243" s="374">
        <v>0</v>
      </c>
      <c r="CT243" s="475"/>
      <c r="CU243" s="19"/>
      <c r="CV243" s="274"/>
      <c r="CW243" s="173"/>
      <c r="CX243" s="374">
        <v>0</v>
      </c>
      <c r="CY243" s="475"/>
      <c r="CZ243" s="19"/>
      <c r="DA243" s="274"/>
      <c r="DB243" s="173"/>
      <c r="DC243" s="374">
        <v>0</v>
      </c>
      <c r="DD243" s="475"/>
      <c r="DE243" s="19"/>
      <c r="DF243" s="274"/>
      <c r="DG243" s="173"/>
      <c r="DH243" s="374">
        <v>0</v>
      </c>
      <c r="DI243" s="475"/>
      <c r="DJ243" s="19"/>
      <c r="DK243" s="274"/>
      <c r="DL243" s="173"/>
      <c r="DM243" s="374">
        <v>0</v>
      </c>
      <c r="DN243" s="475"/>
      <c r="DO243" s="19"/>
      <c r="DP243" s="274"/>
      <c r="DQ243" s="173"/>
      <c r="DR243" s="374">
        <v>0</v>
      </c>
      <c r="DS243" s="475"/>
      <c r="DT243" s="19"/>
      <c r="DU243" s="274"/>
      <c r="DV243" s="173"/>
      <c r="DW243" s="374">
        <v>0</v>
      </c>
      <c r="DX243" s="475"/>
      <c r="DY243" s="19"/>
      <c r="DZ243" s="274"/>
      <c r="EA243" s="173"/>
      <c r="EB243" s="374">
        <v>0</v>
      </c>
      <c r="EC243" s="475"/>
      <c r="ED243" s="19"/>
      <c r="EE243" s="274"/>
      <c r="EF243" s="173"/>
      <c r="EG243" s="374">
        <v>0</v>
      </c>
      <c r="EH243" s="475"/>
      <c r="EI243" s="19"/>
      <c r="EJ243" s="274"/>
      <c r="EK243" s="173"/>
      <c r="EL243" s="374">
        <f>SUM(CD243:EG243)</f>
        <v>0</v>
      </c>
      <c r="EM243" s="475"/>
      <c r="EN243" s="19"/>
      <c r="EO243" s="244"/>
      <c r="ER243" s="451"/>
      <c r="ES243" s="451"/>
    </row>
    <row r="244" spans="4:149" ht="12.75" customHeight="1" x14ac:dyDescent="0.2">
      <c r="D244" s="244" t="s">
        <v>346</v>
      </c>
      <c r="F244" s="82"/>
      <c r="G244" s="19">
        <v>56526</v>
      </c>
      <c r="H244" s="18"/>
      <c r="I244" s="19"/>
      <c r="J244" s="274"/>
      <c r="K244" s="274"/>
      <c r="L244" s="19">
        <v>0</v>
      </c>
      <c r="M244" s="18"/>
      <c r="N244" s="19"/>
      <c r="O244" s="274"/>
      <c r="P244" s="274"/>
      <c r="Q244" s="19">
        <v>0</v>
      </c>
      <c r="R244" s="18"/>
      <c r="S244" s="19"/>
      <c r="T244" s="274"/>
      <c r="U244" s="274"/>
      <c r="V244" s="19">
        <v>0</v>
      </c>
      <c r="W244" s="18"/>
      <c r="X244" s="19"/>
      <c r="Y244" s="274"/>
      <c r="Z244" s="274"/>
      <c r="AA244" s="19">
        <v>0</v>
      </c>
      <c r="AB244" s="18"/>
      <c r="AC244" s="19"/>
      <c r="AD244" s="274"/>
      <c r="AE244" s="274"/>
      <c r="AF244" s="19">
        <v>0</v>
      </c>
      <c r="AG244" s="18"/>
      <c r="AH244" s="19"/>
      <c r="AI244" s="274"/>
      <c r="AJ244" s="274"/>
      <c r="AK244" s="19">
        <v>0</v>
      </c>
      <c r="AL244" s="18"/>
      <c r="AM244" s="19"/>
      <c r="AN244" s="274"/>
      <c r="AO244" s="274"/>
      <c r="AP244" s="19">
        <v>0</v>
      </c>
      <c r="AQ244" s="18"/>
      <c r="AR244" s="19"/>
      <c r="AS244" s="274"/>
      <c r="AT244" s="274"/>
      <c r="AU244" s="19">
        <v>0</v>
      </c>
      <c r="AV244" s="18"/>
      <c r="AW244" s="19"/>
      <c r="AX244" s="274"/>
      <c r="AY244" s="274"/>
      <c r="AZ244" s="19">
        <v>0</v>
      </c>
      <c r="BA244" s="18"/>
      <c r="BB244" s="19"/>
      <c r="BC244" s="274"/>
      <c r="BD244" s="274"/>
      <c r="BE244" s="19">
        <v>0</v>
      </c>
      <c r="BF244" s="18"/>
      <c r="BG244" s="19"/>
      <c r="BH244" s="274"/>
      <c r="BI244" s="274"/>
      <c r="BJ244" s="19">
        <v>98745</v>
      </c>
      <c r="BK244" s="18"/>
      <c r="BL244" s="19"/>
      <c r="BM244" s="274"/>
      <c r="BN244" s="274"/>
      <c r="BO244" s="19">
        <v>0</v>
      </c>
      <c r="BP244" s="18"/>
      <c r="BQ244" s="19"/>
      <c r="BR244" s="274"/>
      <c r="BS244" s="274"/>
      <c r="BT244" s="19">
        <f>SUM(L244:BO244)</f>
        <v>98745</v>
      </c>
      <c r="BU244" s="18"/>
      <c r="BV244" s="19"/>
      <c r="BW244" s="274"/>
      <c r="BX244" s="274"/>
      <c r="BY244" s="19">
        <v>0</v>
      </c>
      <c r="BZ244" s="18"/>
      <c r="CA244" s="19"/>
      <c r="CB244" s="274"/>
      <c r="CC244" s="274"/>
      <c r="CD244" s="19">
        <v>0</v>
      </c>
      <c r="CE244" s="18"/>
      <c r="CF244" s="19"/>
      <c r="CG244" s="274"/>
      <c r="CH244" s="274"/>
      <c r="CI244" s="19">
        <v>0</v>
      </c>
      <c r="CJ244" s="18"/>
      <c r="CK244" s="19"/>
      <c r="CL244" s="274"/>
      <c r="CM244" s="274"/>
      <c r="CN244" s="19">
        <v>0</v>
      </c>
      <c r="CO244" s="18"/>
      <c r="CP244" s="19"/>
      <c r="CQ244" s="274"/>
      <c r="CR244" s="274"/>
      <c r="CS244" s="19">
        <v>0</v>
      </c>
      <c r="CT244" s="18"/>
      <c r="CU244" s="19"/>
      <c r="CV244" s="274"/>
      <c r="CW244" s="274"/>
      <c r="CX244" s="19">
        <v>0</v>
      </c>
      <c r="CY244" s="18"/>
      <c r="CZ244" s="19"/>
      <c r="DA244" s="274"/>
      <c r="DB244" s="274"/>
      <c r="DC244" s="19">
        <v>0</v>
      </c>
      <c r="DD244" s="18"/>
      <c r="DE244" s="19"/>
      <c r="DF244" s="274"/>
      <c r="DG244" s="274"/>
      <c r="DH244" s="19">
        <v>0</v>
      </c>
      <c r="DI244" s="18"/>
      <c r="DJ244" s="19"/>
      <c r="DK244" s="274"/>
      <c r="DL244" s="274"/>
      <c r="DM244" s="19">
        <v>0</v>
      </c>
      <c r="DN244" s="18"/>
      <c r="DO244" s="19"/>
      <c r="DP244" s="274"/>
      <c r="DQ244" s="274"/>
      <c r="DR244" s="19">
        <v>0</v>
      </c>
      <c r="DS244" s="18"/>
      <c r="DT244" s="19"/>
      <c r="DU244" s="274"/>
      <c r="DV244" s="274"/>
      <c r="DW244" s="19">
        <v>0</v>
      </c>
      <c r="DX244" s="18"/>
      <c r="DY244" s="19"/>
      <c r="DZ244" s="274"/>
      <c r="EA244" s="274"/>
      <c r="EB244" s="19">
        <v>0</v>
      </c>
      <c r="EC244" s="18"/>
      <c r="ED244" s="19"/>
      <c r="EE244" s="274"/>
      <c r="EF244" s="274"/>
      <c r="EG244" s="19">
        <v>0</v>
      </c>
      <c r="EH244" s="18"/>
      <c r="EI244" s="19"/>
      <c r="EJ244" s="274"/>
      <c r="EK244" s="274"/>
      <c r="EL244" s="19">
        <f>SUM(CD244:EG244)</f>
        <v>0</v>
      </c>
      <c r="EM244" s="18"/>
      <c r="EN244" s="19"/>
      <c r="EO244" s="244"/>
      <c r="ER244" s="451"/>
      <c r="ES244" s="451"/>
    </row>
    <row r="245" spans="4:149" ht="12.75" customHeight="1" x14ac:dyDescent="0.2">
      <c r="D245" s="244" t="s">
        <v>354</v>
      </c>
      <c r="F245" s="276"/>
      <c r="G245" s="37">
        <v>0</v>
      </c>
      <c r="H245" s="36"/>
      <c r="I245" s="19"/>
      <c r="J245" s="274"/>
      <c r="K245" s="231"/>
      <c r="L245" s="37">
        <v>0</v>
      </c>
      <c r="M245" s="36"/>
      <c r="N245" s="19"/>
      <c r="O245" s="274"/>
      <c r="P245" s="231"/>
      <c r="Q245" s="37">
        <v>0</v>
      </c>
      <c r="R245" s="36"/>
      <c r="S245" s="19"/>
      <c r="T245" s="274"/>
      <c r="U245" s="231"/>
      <c r="V245" s="37">
        <v>0</v>
      </c>
      <c r="W245" s="36"/>
      <c r="X245" s="19"/>
      <c r="Y245" s="274"/>
      <c r="Z245" s="231"/>
      <c r="AA245" s="37">
        <v>0</v>
      </c>
      <c r="AB245" s="36"/>
      <c r="AC245" s="19"/>
      <c r="AD245" s="274"/>
      <c r="AE245" s="231"/>
      <c r="AF245" s="37">
        <v>0</v>
      </c>
      <c r="AG245" s="36"/>
      <c r="AH245" s="19"/>
      <c r="AI245" s="274"/>
      <c r="AJ245" s="231"/>
      <c r="AK245" s="37">
        <v>0</v>
      </c>
      <c r="AL245" s="36"/>
      <c r="AM245" s="19"/>
      <c r="AN245" s="274"/>
      <c r="AO245" s="231"/>
      <c r="AP245" s="37">
        <v>0</v>
      </c>
      <c r="AQ245" s="36"/>
      <c r="AR245" s="19"/>
      <c r="AS245" s="274"/>
      <c r="AT245" s="231"/>
      <c r="AU245" s="37">
        <v>0</v>
      </c>
      <c r="AV245" s="36"/>
      <c r="AW245" s="19"/>
      <c r="AX245" s="274"/>
      <c r="AY245" s="231"/>
      <c r="AZ245" s="37">
        <v>0</v>
      </c>
      <c r="BA245" s="36"/>
      <c r="BB245" s="19"/>
      <c r="BC245" s="274"/>
      <c r="BD245" s="231"/>
      <c r="BE245" s="37">
        <v>0</v>
      </c>
      <c r="BF245" s="36"/>
      <c r="BG245" s="19"/>
      <c r="BH245" s="274"/>
      <c r="BI245" s="231"/>
      <c r="BJ245" s="37">
        <v>0</v>
      </c>
      <c r="BK245" s="36"/>
      <c r="BL245" s="19"/>
      <c r="BM245" s="274"/>
      <c r="BN245" s="231"/>
      <c r="BO245" s="37">
        <v>0</v>
      </c>
      <c r="BP245" s="36"/>
      <c r="BQ245" s="19"/>
      <c r="BR245" s="274"/>
      <c r="BS245" s="231"/>
      <c r="BT245" s="37">
        <f>SUM(L245:BO245)</f>
        <v>0</v>
      </c>
      <c r="BU245" s="36"/>
      <c r="BV245" s="19"/>
      <c r="BW245" s="274"/>
      <c r="BX245" s="231"/>
      <c r="BY245" s="37">
        <v>0</v>
      </c>
      <c r="BZ245" s="36"/>
      <c r="CA245" s="19"/>
      <c r="CB245" s="274"/>
      <c r="CC245" s="231"/>
      <c r="CD245" s="37">
        <v>0</v>
      </c>
      <c r="CE245" s="36"/>
      <c r="CF245" s="19"/>
      <c r="CG245" s="274"/>
      <c r="CH245" s="231"/>
      <c r="CI245" s="37">
        <v>0</v>
      </c>
      <c r="CJ245" s="36"/>
      <c r="CK245" s="19"/>
      <c r="CL245" s="274"/>
      <c r="CM245" s="231"/>
      <c r="CN245" s="37">
        <v>0</v>
      </c>
      <c r="CO245" s="36"/>
      <c r="CP245" s="19"/>
      <c r="CQ245" s="274"/>
      <c r="CR245" s="231"/>
      <c r="CS245" s="37">
        <v>0</v>
      </c>
      <c r="CT245" s="36"/>
      <c r="CU245" s="19"/>
      <c r="CV245" s="274"/>
      <c r="CW245" s="231"/>
      <c r="CX245" s="37">
        <v>0</v>
      </c>
      <c r="CY245" s="36"/>
      <c r="CZ245" s="19"/>
      <c r="DA245" s="274"/>
      <c r="DB245" s="231"/>
      <c r="DC245" s="37">
        <v>0</v>
      </c>
      <c r="DD245" s="36"/>
      <c r="DE245" s="19"/>
      <c r="DF245" s="274"/>
      <c r="DG245" s="231"/>
      <c r="DH245" s="37">
        <v>0</v>
      </c>
      <c r="DI245" s="36"/>
      <c r="DJ245" s="19"/>
      <c r="DK245" s="274"/>
      <c r="DL245" s="231"/>
      <c r="DM245" s="37">
        <v>0</v>
      </c>
      <c r="DN245" s="36"/>
      <c r="DO245" s="19"/>
      <c r="DP245" s="274"/>
      <c r="DQ245" s="231"/>
      <c r="DR245" s="37">
        <v>0</v>
      </c>
      <c r="DS245" s="36"/>
      <c r="DT245" s="19"/>
      <c r="DU245" s="274"/>
      <c r="DV245" s="231"/>
      <c r="DW245" s="37">
        <v>0</v>
      </c>
      <c r="DX245" s="36"/>
      <c r="DY245" s="19"/>
      <c r="DZ245" s="274"/>
      <c r="EA245" s="231"/>
      <c r="EB245" s="37">
        <v>0</v>
      </c>
      <c r="EC245" s="36"/>
      <c r="ED245" s="19"/>
      <c r="EE245" s="274"/>
      <c r="EF245" s="231"/>
      <c r="EG245" s="37">
        <v>0</v>
      </c>
      <c r="EH245" s="36"/>
      <c r="EI245" s="19"/>
      <c r="EJ245" s="274"/>
      <c r="EK245" s="231"/>
      <c r="EL245" s="37">
        <f>SUM(CD245:EG245)</f>
        <v>0</v>
      </c>
      <c r="EM245" s="36"/>
      <c r="EN245" s="19"/>
      <c r="EO245" s="244"/>
      <c r="ER245" s="451"/>
      <c r="ES245" s="451"/>
    </row>
    <row r="246" spans="4:149" ht="12.75" customHeight="1" x14ac:dyDescent="0.2">
      <c r="D246" s="244"/>
      <c r="E246" s="202"/>
      <c r="F246" s="350"/>
      <c r="G246" s="19"/>
      <c r="H246" s="19"/>
      <c r="I246" s="19"/>
      <c r="J246" s="274"/>
      <c r="K246" s="350"/>
      <c r="L246" s="19"/>
      <c r="M246" s="19"/>
      <c r="N246" s="19"/>
      <c r="O246" s="274"/>
      <c r="P246" s="350"/>
      <c r="Q246" s="19"/>
      <c r="R246" s="19"/>
      <c r="S246" s="19"/>
      <c r="T246" s="274"/>
      <c r="U246" s="350"/>
      <c r="V246" s="19"/>
      <c r="W246" s="19"/>
      <c r="X246" s="19"/>
      <c r="Y246" s="274"/>
      <c r="Z246" s="350"/>
      <c r="AA246" s="19"/>
      <c r="AB246" s="19"/>
      <c r="AC246" s="19"/>
      <c r="AD246" s="274"/>
      <c r="AE246" s="350"/>
      <c r="AF246" s="19"/>
      <c r="AG246" s="19"/>
      <c r="AH246" s="19"/>
      <c r="AI246" s="274"/>
      <c r="AJ246" s="350"/>
      <c r="AK246" s="19"/>
      <c r="AL246" s="19"/>
      <c r="AM246" s="19"/>
      <c r="AN246" s="274"/>
      <c r="AO246" s="350"/>
      <c r="AP246" s="19"/>
      <c r="AQ246" s="19"/>
      <c r="AR246" s="19"/>
      <c r="AS246" s="274"/>
      <c r="AT246" s="350"/>
      <c r="AU246" s="19"/>
      <c r="AV246" s="19"/>
      <c r="AW246" s="19"/>
      <c r="AX246" s="274"/>
      <c r="AY246" s="350"/>
      <c r="AZ246" s="19"/>
      <c r="BA246" s="19"/>
      <c r="BB246" s="19"/>
      <c r="BC246" s="274"/>
      <c r="BD246" s="350"/>
      <c r="BE246" s="19"/>
      <c r="BF246" s="19"/>
      <c r="BG246" s="19"/>
      <c r="BH246" s="274"/>
      <c r="BI246" s="350"/>
      <c r="BJ246" s="19"/>
      <c r="BK246" s="19"/>
      <c r="BL246" s="19"/>
      <c r="BM246" s="274"/>
      <c r="BN246" s="350"/>
      <c r="BO246" s="19"/>
      <c r="BP246" s="19"/>
      <c r="BQ246" s="19"/>
      <c r="BR246" s="274"/>
      <c r="BS246" s="350"/>
      <c r="BT246" s="19"/>
      <c r="BU246" s="19"/>
      <c r="BV246" s="19"/>
      <c r="BW246" s="274"/>
      <c r="BX246" s="350"/>
      <c r="BY246" s="19"/>
      <c r="BZ246" s="19"/>
      <c r="CA246" s="19"/>
      <c r="CB246" s="274"/>
      <c r="CC246" s="350"/>
      <c r="CD246" s="19"/>
      <c r="CE246" s="19"/>
      <c r="CF246" s="19"/>
      <c r="CG246" s="274"/>
      <c r="CH246" s="350"/>
      <c r="CI246" s="19"/>
      <c r="CJ246" s="19"/>
      <c r="CK246" s="19"/>
      <c r="CL246" s="274"/>
      <c r="CM246" s="350"/>
      <c r="CN246" s="19"/>
      <c r="CO246" s="19"/>
      <c r="CP246" s="19"/>
      <c r="CQ246" s="274"/>
      <c r="CR246" s="350"/>
      <c r="CS246" s="19"/>
      <c r="CT246" s="19"/>
      <c r="CU246" s="19"/>
      <c r="CV246" s="274"/>
      <c r="CW246" s="350"/>
      <c r="CX246" s="19"/>
      <c r="CY246" s="19"/>
      <c r="CZ246" s="19"/>
      <c r="DA246" s="274"/>
      <c r="DB246" s="350"/>
      <c r="DC246" s="19"/>
      <c r="DD246" s="19"/>
      <c r="DE246" s="19"/>
      <c r="DF246" s="274"/>
      <c r="DG246" s="350"/>
      <c r="DH246" s="19"/>
      <c r="DI246" s="19"/>
      <c r="DJ246" s="19"/>
      <c r="DK246" s="274"/>
      <c r="DL246" s="350"/>
      <c r="DM246" s="19"/>
      <c r="DN246" s="19"/>
      <c r="DO246" s="19"/>
      <c r="DP246" s="274"/>
      <c r="DQ246" s="350"/>
      <c r="DR246" s="19"/>
      <c r="DS246" s="19"/>
      <c r="DT246" s="19"/>
      <c r="DU246" s="274"/>
      <c r="DV246" s="350"/>
      <c r="DW246" s="19"/>
      <c r="DX246" s="19"/>
      <c r="DY246" s="19"/>
      <c r="DZ246" s="274"/>
      <c r="EA246" s="350"/>
      <c r="EB246" s="19"/>
      <c r="EC246" s="19"/>
      <c r="ED246" s="19"/>
      <c r="EE246" s="274"/>
      <c r="EF246" s="350"/>
      <c r="EG246" s="19"/>
      <c r="EH246" s="19"/>
      <c r="EI246" s="19"/>
      <c r="EJ246" s="274"/>
      <c r="EK246" s="350"/>
      <c r="EL246" s="19"/>
      <c r="EM246" s="19"/>
      <c r="EN246" s="19"/>
      <c r="EO246" s="244"/>
      <c r="ER246" s="451"/>
      <c r="ES246" s="451"/>
    </row>
    <row r="247" spans="4:149" ht="12.75" customHeight="1" x14ac:dyDescent="0.2">
      <c r="D247" s="244" t="s">
        <v>372</v>
      </c>
      <c r="E247" s="202"/>
      <c r="F247" s="350"/>
      <c r="G247" s="19">
        <v>0</v>
      </c>
      <c r="H247" s="19"/>
      <c r="I247" s="19"/>
      <c r="J247" s="274"/>
      <c r="K247" s="350"/>
      <c r="L247" s="19">
        <v>0</v>
      </c>
      <c r="M247" s="19"/>
      <c r="N247" s="19"/>
      <c r="O247" s="274"/>
      <c r="P247" s="350"/>
      <c r="Q247" s="19">
        <f>SUM(Q248:Q250)</f>
        <v>0</v>
      </c>
      <c r="R247" s="19"/>
      <c r="S247" s="19"/>
      <c r="T247" s="274"/>
      <c r="U247" s="350"/>
      <c r="V247" s="19">
        <f>SUM(V248:V250)</f>
        <v>0</v>
      </c>
      <c r="W247" s="19"/>
      <c r="X247" s="19"/>
      <c r="Y247" s="274"/>
      <c r="Z247" s="350"/>
      <c r="AA247" s="19">
        <v>0</v>
      </c>
      <c r="AB247" s="19"/>
      <c r="AC247" s="19"/>
      <c r="AD247" s="274"/>
      <c r="AE247" s="350"/>
      <c r="AF247" s="19">
        <f>SUM(AF248:AF250)</f>
        <v>0</v>
      </c>
      <c r="AG247" s="19"/>
      <c r="AH247" s="19"/>
      <c r="AI247" s="274"/>
      <c r="AJ247" s="350"/>
      <c r="AK247" s="19">
        <v>0</v>
      </c>
      <c r="AL247" s="19"/>
      <c r="AM247" s="19"/>
      <c r="AN247" s="274"/>
      <c r="AO247" s="350"/>
      <c r="AP247" s="19">
        <f>SUM(AP248:AP250)</f>
        <v>0</v>
      </c>
      <c r="AQ247" s="19"/>
      <c r="AR247" s="19"/>
      <c r="AS247" s="274"/>
      <c r="AT247" s="350"/>
      <c r="AU247" s="19">
        <v>0</v>
      </c>
      <c r="AV247" s="19"/>
      <c r="AW247" s="19"/>
      <c r="AX247" s="274"/>
      <c r="AY247" s="350"/>
      <c r="AZ247" s="19">
        <v>0</v>
      </c>
      <c r="BA247" s="19"/>
      <c r="BB247" s="19"/>
      <c r="BC247" s="274"/>
      <c r="BD247" s="350"/>
      <c r="BE247" s="19">
        <v>0</v>
      </c>
      <c r="BF247" s="19"/>
      <c r="BG247" s="19"/>
      <c r="BH247" s="274"/>
      <c r="BI247" s="350"/>
      <c r="BJ247" s="19">
        <v>0</v>
      </c>
      <c r="BK247" s="19"/>
      <c r="BL247" s="19"/>
      <c r="BM247" s="274"/>
      <c r="BN247" s="350"/>
      <c r="BO247" s="19">
        <v>0</v>
      </c>
      <c r="BP247" s="19"/>
      <c r="BQ247" s="19"/>
      <c r="BR247" s="274"/>
      <c r="BS247" s="350"/>
      <c r="BT247" s="19">
        <f>SUM(BT248:BT250)</f>
        <v>0</v>
      </c>
      <c r="BU247" s="19"/>
      <c r="BV247" s="19"/>
      <c r="BW247" s="274"/>
      <c r="BX247" s="350"/>
      <c r="BY247" s="19">
        <f>SUM(BY248:BY250)</f>
        <v>1000908</v>
      </c>
      <c r="BZ247" s="19"/>
      <c r="CA247" s="19"/>
      <c r="CB247" s="274"/>
      <c r="CC247" s="350"/>
      <c r="CD247" s="19">
        <v>0</v>
      </c>
      <c r="CE247" s="19"/>
      <c r="CF247" s="19"/>
      <c r="CG247" s="274"/>
      <c r="CH247" s="350"/>
      <c r="CI247" s="19">
        <f>SUM(CI248:CI250)</f>
        <v>1000908</v>
      </c>
      <c r="CJ247" s="19"/>
      <c r="CK247" s="19"/>
      <c r="CL247" s="274"/>
      <c r="CM247" s="350"/>
      <c r="CN247" s="19">
        <f>SUM(CN248:CN250)</f>
        <v>0</v>
      </c>
      <c r="CO247" s="19"/>
      <c r="CP247" s="19"/>
      <c r="CQ247" s="274"/>
      <c r="CR247" s="350"/>
      <c r="CS247" s="19">
        <v>0</v>
      </c>
      <c r="CT247" s="19"/>
      <c r="CU247" s="19"/>
      <c r="CV247" s="274"/>
      <c r="CW247" s="350"/>
      <c r="CX247" s="19">
        <f>SUM(CX248:CX250)</f>
        <v>0</v>
      </c>
      <c r="CY247" s="19"/>
      <c r="CZ247" s="19"/>
      <c r="DA247" s="274"/>
      <c r="DB247" s="350"/>
      <c r="DC247" s="19">
        <v>0</v>
      </c>
      <c r="DD247" s="19"/>
      <c r="DE247" s="19"/>
      <c r="DF247" s="274"/>
      <c r="DG247" s="350"/>
      <c r="DH247" s="19">
        <f>SUM(DH248:DH250)</f>
        <v>0</v>
      </c>
      <c r="DI247" s="19"/>
      <c r="DJ247" s="19"/>
      <c r="DK247" s="274"/>
      <c r="DL247" s="350"/>
      <c r="DM247" s="19">
        <v>0</v>
      </c>
      <c r="DN247" s="19"/>
      <c r="DO247" s="19"/>
      <c r="DP247" s="274"/>
      <c r="DQ247" s="350"/>
      <c r="DR247" s="19">
        <v>0</v>
      </c>
      <c r="DS247" s="19"/>
      <c r="DT247" s="19"/>
      <c r="DU247" s="274"/>
      <c r="DV247" s="350"/>
      <c r="DW247" s="19">
        <v>0</v>
      </c>
      <c r="DX247" s="19"/>
      <c r="DY247" s="19"/>
      <c r="DZ247" s="274"/>
      <c r="EA247" s="350"/>
      <c r="EB247" s="19">
        <v>0</v>
      </c>
      <c r="EC247" s="19"/>
      <c r="ED247" s="19"/>
      <c r="EE247" s="274"/>
      <c r="EF247" s="350"/>
      <c r="EG247" s="19">
        <v>0</v>
      </c>
      <c r="EH247" s="19"/>
      <c r="EI247" s="19"/>
      <c r="EJ247" s="274"/>
      <c r="EK247" s="350"/>
      <c r="EL247" s="19">
        <f>SUM(EL248:EL250)</f>
        <v>1000908</v>
      </c>
      <c r="EM247" s="19"/>
      <c r="EN247" s="19"/>
      <c r="EO247" s="244"/>
      <c r="ER247" s="451"/>
      <c r="ES247" s="451"/>
    </row>
    <row r="248" spans="4:149" ht="12.75" customHeight="1" x14ac:dyDescent="0.2">
      <c r="D248" s="244" t="s">
        <v>344</v>
      </c>
      <c r="E248" s="202"/>
      <c r="F248" s="358"/>
      <c r="G248" s="374">
        <v>0</v>
      </c>
      <c r="H248" s="475"/>
      <c r="I248" s="19"/>
      <c r="J248" s="274"/>
      <c r="K248" s="358"/>
      <c r="L248" s="374">
        <v>0</v>
      </c>
      <c r="M248" s="475"/>
      <c r="N248" s="19"/>
      <c r="O248" s="274"/>
      <c r="P248" s="173"/>
      <c r="Q248" s="374">
        <v>0</v>
      </c>
      <c r="R248" s="475"/>
      <c r="S248" s="19"/>
      <c r="T248" s="274"/>
      <c r="U248" s="173"/>
      <c r="V248" s="374">
        <v>0</v>
      </c>
      <c r="W248" s="475"/>
      <c r="X248" s="19"/>
      <c r="Y248" s="274"/>
      <c r="Z248" s="173"/>
      <c r="AA248" s="374">
        <v>0</v>
      </c>
      <c r="AB248" s="475"/>
      <c r="AC248" s="19"/>
      <c r="AD248" s="274"/>
      <c r="AE248" s="173"/>
      <c r="AF248" s="374">
        <v>0</v>
      </c>
      <c r="AG248" s="475"/>
      <c r="AH248" s="19"/>
      <c r="AI248" s="274"/>
      <c r="AJ248" s="173"/>
      <c r="AK248" s="374">
        <v>0</v>
      </c>
      <c r="AL248" s="475"/>
      <c r="AM248" s="19"/>
      <c r="AN248" s="274"/>
      <c r="AO248" s="173"/>
      <c r="AP248" s="374">
        <v>0</v>
      </c>
      <c r="AQ248" s="475"/>
      <c r="AR248" s="19"/>
      <c r="AS248" s="274"/>
      <c r="AT248" s="173"/>
      <c r="AU248" s="374">
        <v>0</v>
      </c>
      <c r="AV248" s="475"/>
      <c r="AW248" s="19"/>
      <c r="AX248" s="274"/>
      <c r="AY248" s="173"/>
      <c r="AZ248" s="374">
        <v>0</v>
      </c>
      <c r="BA248" s="475"/>
      <c r="BB248" s="19"/>
      <c r="BC248" s="274"/>
      <c r="BD248" s="173"/>
      <c r="BE248" s="374">
        <v>0</v>
      </c>
      <c r="BF248" s="475"/>
      <c r="BG248" s="19"/>
      <c r="BH248" s="274"/>
      <c r="BI248" s="173"/>
      <c r="BJ248" s="374">
        <v>0</v>
      </c>
      <c r="BK248" s="475"/>
      <c r="BL248" s="19"/>
      <c r="BM248" s="274"/>
      <c r="BN248" s="173"/>
      <c r="BO248" s="374">
        <v>0</v>
      </c>
      <c r="BP248" s="475"/>
      <c r="BQ248" s="19"/>
      <c r="BR248" s="274"/>
      <c r="BS248" s="173"/>
      <c r="BT248" s="374">
        <f>SUM(L248:BO248)</f>
        <v>0</v>
      </c>
      <c r="BU248" s="475"/>
      <c r="BV248" s="19"/>
      <c r="BW248" s="274"/>
      <c r="BX248" s="173"/>
      <c r="BY248" s="374">
        <v>999003</v>
      </c>
      <c r="BZ248" s="475"/>
      <c r="CA248" s="19"/>
      <c r="CB248" s="274"/>
      <c r="CC248" s="173"/>
      <c r="CD248" s="374">
        <v>0</v>
      </c>
      <c r="CE248" s="475"/>
      <c r="CF248" s="19"/>
      <c r="CG248" s="274"/>
      <c r="CH248" s="173"/>
      <c r="CI248" s="374">
        <f>1000908-1905</f>
        <v>999003</v>
      </c>
      <c r="CJ248" s="475"/>
      <c r="CK248" s="19"/>
      <c r="CL248" s="274"/>
      <c r="CM248" s="173"/>
      <c r="CN248" s="374">
        <v>0</v>
      </c>
      <c r="CO248" s="475"/>
      <c r="CP248" s="19"/>
      <c r="CQ248" s="274"/>
      <c r="CR248" s="173"/>
      <c r="CS248" s="374">
        <v>0</v>
      </c>
      <c r="CT248" s="475"/>
      <c r="CU248" s="19"/>
      <c r="CV248" s="274"/>
      <c r="CW248" s="173"/>
      <c r="CX248" s="374">
        <v>0</v>
      </c>
      <c r="CY248" s="475"/>
      <c r="CZ248" s="19"/>
      <c r="DA248" s="274"/>
      <c r="DB248" s="173"/>
      <c r="DC248" s="374">
        <v>0</v>
      </c>
      <c r="DD248" s="475"/>
      <c r="DE248" s="19"/>
      <c r="DF248" s="274"/>
      <c r="DG248" s="173"/>
      <c r="DH248" s="374">
        <v>0</v>
      </c>
      <c r="DI248" s="475"/>
      <c r="DJ248" s="19"/>
      <c r="DK248" s="274"/>
      <c r="DL248" s="173"/>
      <c r="DM248" s="374">
        <v>0</v>
      </c>
      <c r="DN248" s="475"/>
      <c r="DO248" s="19"/>
      <c r="DP248" s="274"/>
      <c r="DQ248" s="173"/>
      <c r="DR248" s="374">
        <v>0</v>
      </c>
      <c r="DS248" s="475"/>
      <c r="DT248" s="19"/>
      <c r="DU248" s="274"/>
      <c r="DV248" s="173"/>
      <c r="DW248" s="374">
        <v>0</v>
      </c>
      <c r="DX248" s="475"/>
      <c r="DY248" s="19"/>
      <c r="DZ248" s="274"/>
      <c r="EA248" s="173"/>
      <c r="EB248" s="374">
        <v>0</v>
      </c>
      <c r="EC248" s="475"/>
      <c r="ED248" s="19"/>
      <c r="EE248" s="274"/>
      <c r="EF248" s="173"/>
      <c r="EG248" s="374">
        <v>0</v>
      </c>
      <c r="EH248" s="475"/>
      <c r="EI248" s="19"/>
      <c r="EJ248" s="274"/>
      <c r="EK248" s="173"/>
      <c r="EL248" s="374">
        <f>SUM(CD248:EG248)</f>
        <v>999003</v>
      </c>
      <c r="EM248" s="475"/>
      <c r="EN248" s="19"/>
      <c r="EO248" s="244"/>
      <c r="ER248" s="451"/>
      <c r="ES248" s="451"/>
    </row>
    <row r="249" spans="4:149" ht="12.75" customHeight="1" x14ac:dyDescent="0.2">
      <c r="D249" s="244" t="s">
        <v>346</v>
      </c>
      <c r="E249" s="202"/>
      <c r="F249" s="147"/>
      <c r="G249" s="19">
        <v>0</v>
      </c>
      <c r="H249" s="18"/>
      <c r="I249" s="19"/>
      <c r="J249" s="274"/>
      <c r="K249" s="147"/>
      <c r="L249" s="19">
        <v>0</v>
      </c>
      <c r="M249" s="18"/>
      <c r="N249" s="19"/>
      <c r="O249" s="274"/>
      <c r="P249" s="274"/>
      <c r="Q249" s="19">
        <v>0</v>
      </c>
      <c r="R249" s="18"/>
      <c r="S249" s="19"/>
      <c r="T249" s="274"/>
      <c r="U249" s="274"/>
      <c r="V249" s="19">
        <v>0</v>
      </c>
      <c r="W249" s="18"/>
      <c r="X249" s="19"/>
      <c r="Y249" s="274"/>
      <c r="Z249" s="274"/>
      <c r="AA249" s="19">
        <v>0</v>
      </c>
      <c r="AB249" s="18"/>
      <c r="AC249" s="19"/>
      <c r="AD249" s="274"/>
      <c r="AE249" s="274"/>
      <c r="AF249" s="19">
        <v>0</v>
      </c>
      <c r="AG249" s="18"/>
      <c r="AH249" s="19"/>
      <c r="AI249" s="274"/>
      <c r="AJ249" s="274"/>
      <c r="AK249" s="19">
        <v>0</v>
      </c>
      <c r="AL249" s="18"/>
      <c r="AM249" s="19"/>
      <c r="AN249" s="274"/>
      <c r="AO249" s="274"/>
      <c r="AP249" s="19">
        <v>0</v>
      </c>
      <c r="AQ249" s="18"/>
      <c r="AR249" s="19"/>
      <c r="AS249" s="274"/>
      <c r="AT249" s="274"/>
      <c r="AU249" s="19">
        <v>0</v>
      </c>
      <c r="AV249" s="18"/>
      <c r="AW249" s="19"/>
      <c r="AX249" s="274"/>
      <c r="AY249" s="274"/>
      <c r="AZ249" s="19">
        <v>0</v>
      </c>
      <c r="BA249" s="18"/>
      <c r="BB249" s="19"/>
      <c r="BC249" s="274"/>
      <c r="BD249" s="274"/>
      <c r="BE249" s="19">
        <v>0</v>
      </c>
      <c r="BF249" s="18"/>
      <c r="BG249" s="19"/>
      <c r="BH249" s="274"/>
      <c r="BI249" s="274"/>
      <c r="BJ249" s="19">
        <v>0</v>
      </c>
      <c r="BK249" s="18"/>
      <c r="BL249" s="19"/>
      <c r="BM249" s="274"/>
      <c r="BN249" s="274"/>
      <c r="BO249" s="19">
        <v>0</v>
      </c>
      <c r="BP249" s="18"/>
      <c r="BQ249" s="19"/>
      <c r="BR249" s="274"/>
      <c r="BS249" s="274"/>
      <c r="BT249" s="19">
        <f>SUM(L249:BO249)</f>
        <v>0</v>
      </c>
      <c r="BU249" s="18"/>
      <c r="BV249" s="19"/>
      <c r="BW249" s="274"/>
      <c r="BX249" s="274"/>
      <c r="BY249" s="19">
        <v>1905</v>
      </c>
      <c r="BZ249" s="18"/>
      <c r="CA249" s="19"/>
      <c r="CB249" s="274"/>
      <c r="CC249" s="274"/>
      <c r="CD249" s="19">
        <v>0</v>
      </c>
      <c r="CE249" s="18"/>
      <c r="CF249" s="19"/>
      <c r="CG249" s="274"/>
      <c r="CH249" s="274"/>
      <c r="CI249" s="19">
        <v>1905</v>
      </c>
      <c r="CJ249" s="18"/>
      <c r="CK249" s="19"/>
      <c r="CL249" s="274"/>
      <c r="CM249" s="274"/>
      <c r="CN249" s="19">
        <v>0</v>
      </c>
      <c r="CO249" s="18"/>
      <c r="CP249" s="19"/>
      <c r="CQ249" s="274"/>
      <c r="CR249" s="274"/>
      <c r="CS249" s="19">
        <v>0</v>
      </c>
      <c r="CT249" s="18"/>
      <c r="CU249" s="19"/>
      <c r="CV249" s="274"/>
      <c r="CW249" s="274"/>
      <c r="CX249" s="19">
        <v>0</v>
      </c>
      <c r="CY249" s="18"/>
      <c r="CZ249" s="19"/>
      <c r="DA249" s="274"/>
      <c r="DB249" s="274"/>
      <c r="DC249" s="19">
        <v>0</v>
      </c>
      <c r="DD249" s="18"/>
      <c r="DE249" s="19"/>
      <c r="DF249" s="274"/>
      <c r="DG249" s="274"/>
      <c r="DH249" s="19">
        <v>0</v>
      </c>
      <c r="DI249" s="18"/>
      <c r="DJ249" s="19"/>
      <c r="DK249" s="274"/>
      <c r="DL249" s="274"/>
      <c r="DM249" s="19">
        <v>0</v>
      </c>
      <c r="DN249" s="18"/>
      <c r="DO249" s="19"/>
      <c r="DP249" s="274"/>
      <c r="DQ249" s="274"/>
      <c r="DR249" s="19">
        <v>0</v>
      </c>
      <c r="DS249" s="18"/>
      <c r="DT249" s="19"/>
      <c r="DU249" s="274"/>
      <c r="DV249" s="274"/>
      <c r="DW249" s="19">
        <v>0</v>
      </c>
      <c r="DX249" s="18"/>
      <c r="DY249" s="19"/>
      <c r="DZ249" s="274"/>
      <c r="EA249" s="274"/>
      <c r="EB249" s="19">
        <v>0</v>
      </c>
      <c r="EC249" s="18"/>
      <c r="ED249" s="19"/>
      <c r="EE249" s="274"/>
      <c r="EF249" s="274"/>
      <c r="EG249" s="19">
        <v>0</v>
      </c>
      <c r="EH249" s="18"/>
      <c r="EI249" s="19"/>
      <c r="EJ249" s="274"/>
      <c r="EK249" s="274"/>
      <c r="EL249" s="19">
        <f>SUM(CD249:EG249)</f>
        <v>1905</v>
      </c>
      <c r="EM249" s="18"/>
      <c r="EN249" s="19"/>
      <c r="EO249" s="244"/>
      <c r="ER249" s="451"/>
      <c r="ES249" s="451"/>
    </row>
    <row r="250" spans="4:149" ht="12.75" customHeight="1" x14ac:dyDescent="0.2">
      <c r="D250" s="244" t="s">
        <v>354</v>
      </c>
      <c r="E250" s="202"/>
      <c r="F250" s="322"/>
      <c r="G250" s="37">
        <v>0</v>
      </c>
      <c r="H250" s="36"/>
      <c r="I250" s="19"/>
      <c r="J250" s="274"/>
      <c r="K250" s="322"/>
      <c r="L250" s="37">
        <v>0</v>
      </c>
      <c r="M250" s="36"/>
      <c r="N250" s="19"/>
      <c r="O250" s="274"/>
      <c r="P250" s="231"/>
      <c r="Q250" s="37">
        <v>0</v>
      </c>
      <c r="R250" s="36"/>
      <c r="S250" s="19"/>
      <c r="T250" s="274"/>
      <c r="U250" s="231"/>
      <c r="V250" s="37">
        <v>0</v>
      </c>
      <c r="W250" s="36"/>
      <c r="X250" s="19"/>
      <c r="Y250" s="274"/>
      <c r="Z250" s="231"/>
      <c r="AA250" s="37">
        <v>0</v>
      </c>
      <c r="AB250" s="36"/>
      <c r="AC250" s="19"/>
      <c r="AD250" s="274"/>
      <c r="AE250" s="231"/>
      <c r="AF250" s="37">
        <v>0</v>
      </c>
      <c r="AG250" s="36"/>
      <c r="AH250" s="19"/>
      <c r="AI250" s="274"/>
      <c r="AJ250" s="231"/>
      <c r="AK250" s="37">
        <v>0</v>
      </c>
      <c r="AL250" s="36"/>
      <c r="AM250" s="19"/>
      <c r="AN250" s="274"/>
      <c r="AO250" s="231"/>
      <c r="AP250" s="37">
        <v>0</v>
      </c>
      <c r="AQ250" s="36"/>
      <c r="AR250" s="19"/>
      <c r="AS250" s="274"/>
      <c r="AT250" s="231"/>
      <c r="AU250" s="37">
        <v>0</v>
      </c>
      <c r="AV250" s="36"/>
      <c r="AW250" s="19"/>
      <c r="AX250" s="274"/>
      <c r="AY250" s="231"/>
      <c r="AZ250" s="37">
        <v>0</v>
      </c>
      <c r="BA250" s="36"/>
      <c r="BB250" s="19"/>
      <c r="BC250" s="274"/>
      <c r="BD250" s="231"/>
      <c r="BE250" s="37">
        <v>0</v>
      </c>
      <c r="BF250" s="36"/>
      <c r="BG250" s="19"/>
      <c r="BH250" s="274"/>
      <c r="BI250" s="231"/>
      <c r="BJ250" s="37">
        <v>0</v>
      </c>
      <c r="BK250" s="36"/>
      <c r="BL250" s="19"/>
      <c r="BM250" s="274"/>
      <c r="BN250" s="231"/>
      <c r="BO250" s="37">
        <v>0</v>
      </c>
      <c r="BP250" s="36"/>
      <c r="BQ250" s="19"/>
      <c r="BR250" s="274"/>
      <c r="BS250" s="231"/>
      <c r="BT250" s="37">
        <f>SUM(L250:BO250)</f>
        <v>0</v>
      </c>
      <c r="BU250" s="36"/>
      <c r="BV250" s="19"/>
      <c r="BW250" s="274"/>
      <c r="BX250" s="231"/>
      <c r="BY250" s="37">
        <v>0</v>
      </c>
      <c r="BZ250" s="36"/>
      <c r="CA250" s="19"/>
      <c r="CB250" s="274"/>
      <c r="CC250" s="231"/>
      <c r="CD250" s="37">
        <v>0</v>
      </c>
      <c r="CE250" s="36"/>
      <c r="CF250" s="19"/>
      <c r="CG250" s="274"/>
      <c r="CH250" s="231"/>
      <c r="CI250" s="37">
        <v>0</v>
      </c>
      <c r="CJ250" s="36"/>
      <c r="CK250" s="19"/>
      <c r="CL250" s="274"/>
      <c r="CM250" s="231"/>
      <c r="CN250" s="37">
        <v>0</v>
      </c>
      <c r="CO250" s="36"/>
      <c r="CP250" s="19"/>
      <c r="CQ250" s="274"/>
      <c r="CR250" s="231"/>
      <c r="CS250" s="37">
        <v>0</v>
      </c>
      <c r="CT250" s="36"/>
      <c r="CU250" s="19"/>
      <c r="CV250" s="274"/>
      <c r="CW250" s="231"/>
      <c r="CX250" s="37">
        <v>0</v>
      </c>
      <c r="CY250" s="36"/>
      <c r="CZ250" s="19"/>
      <c r="DA250" s="274"/>
      <c r="DB250" s="231"/>
      <c r="DC250" s="37">
        <v>0</v>
      </c>
      <c r="DD250" s="36"/>
      <c r="DE250" s="19"/>
      <c r="DF250" s="274"/>
      <c r="DG250" s="231"/>
      <c r="DH250" s="37">
        <v>0</v>
      </c>
      <c r="DI250" s="36"/>
      <c r="DJ250" s="19"/>
      <c r="DK250" s="274"/>
      <c r="DL250" s="231"/>
      <c r="DM250" s="37">
        <v>0</v>
      </c>
      <c r="DN250" s="36"/>
      <c r="DO250" s="19"/>
      <c r="DP250" s="274"/>
      <c r="DQ250" s="231"/>
      <c r="DR250" s="37">
        <v>0</v>
      </c>
      <c r="DS250" s="36"/>
      <c r="DT250" s="19"/>
      <c r="DU250" s="274"/>
      <c r="DV250" s="231"/>
      <c r="DW250" s="37">
        <v>0</v>
      </c>
      <c r="DX250" s="36"/>
      <c r="DY250" s="19"/>
      <c r="DZ250" s="274"/>
      <c r="EA250" s="231"/>
      <c r="EB250" s="37">
        <v>0</v>
      </c>
      <c r="EC250" s="36"/>
      <c r="ED250" s="19"/>
      <c r="EE250" s="274"/>
      <c r="EF250" s="231"/>
      <c r="EG250" s="37">
        <v>0</v>
      </c>
      <c r="EH250" s="36"/>
      <c r="EI250" s="19"/>
      <c r="EJ250" s="274"/>
      <c r="EK250" s="231"/>
      <c r="EL250" s="37">
        <f>SUM(CD250:EG250)</f>
        <v>0</v>
      </c>
      <c r="EM250" s="36"/>
      <c r="EN250" s="19"/>
      <c r="EO250" s="244"/>
      <c r="ER250" s="451"/>
      <c r="ES250" s="451"/>
    </row>
    <row r="251" spans="4:149" ht="12.75" customHeight="1" x14ac:dyDescent="0.2">
      <c r="D251" s="244"/>
      <c r="E251" s="202"/>
      <c r="F251" s="350"/>
      <c r="G251" s="19"/>
      <c r="H251" s="19"/>
      <c r="I251" s="19"/>
      <c r="J251" s="274"/>
      <c r="K251" s="350"/>
      <c r="L251" s="19"/>
      <c r="M251" s="19"/>
      <c r="N251" s="19"/>
      <c r="O251" s="274"/>
      <c r="P251" s="350"/>
      <c r="Q251" s="19"/>
      <c r="R251" s="19"/>
      <c r="S251" s="19"/>
      <c r="T251" s="274"/>
      <c r="U251" s="350"/>
      <c r="V251" s="19"/>
      <c r="W251" s="19"/>
      <c r="X251" s="19"/>
      <c r="Y251" s="274"/>
      <c r="Z251" s="350"/>
      <c r="AA251" s="19"/>
      <c r="AB251" s="19"/>
      <c r="AC251" s="19"/>
      <c r="AD251" s="274"/>
      <c r="AE251" s="350"/>
      <c r="AF251" s="19"/>
      <c r="AG251" s="19"/>
      <c r="AH251" s="19"/>
      <c r="AI251" s="274"/>
      <c r="AJ251" s="350"/>
      <c r="AK251" s="19"/>
      <c r="AL251" s="19"/>
      <c r="AM251" s="19"/>
      <c r="AN251" s="274"/>
      <c r="AO251" s="350"/>
      <c r="AP251" s="19"/>
      <c r="AQ251" s="19"/>
      <c r="AR251" s="19"/>
      <c r="AS251" s="274"/>
      <c r="AT251" s="350"/>
      <c r="AU251" s="19"/>
      <c r="AV251" s="19"/>
      <c r="AW251" s="19"/>
      <c r="AX251" s="274"/>
      <c r="AY251" s="350"/>
      <c r="AZ251" s="19"/>
      <c r="BA251" s="19"/>
      <c r="BB251" s="19"/>
      <c r="BC251" s="274"/>
      <c r="BD251" s="350"/>
      <c r="BE251" s="19"/>
      <c r="BF251" s="19"/>
      <c r="BG251" s="19"/>
      <c r="BH251" s="274"/>
      <c r="BI251" s="350"/>
      <c r="BJ251" s="19"/>
      <c r="BK251" s="19"/>
      <c r="BL251" s="19"/>
      <c r="BM251" s="274"/>
      <c r="BN251" s="350"/>
      <c r="BO251" s="19"/>
      <c r="BP251" s="19"/>
      <c r="BQ251" s="19"/>
      <c r="BR251" s="274"/>
      <c r="BS251" s="350"/>
      <c r="BT251" s="19"/>
      <c r="BU251" s="19"/>
      <c r="BV251" s="19"/>
      <c r="BW251" s="274"/>
      <c r="BX251" s="350"/>
      <c r="BY251" s="19"/>
      <c r="BZ251" s="19"/>
      <c r="CA251" s="19"/>
      <c r="CB251" s="274"/>
      <c r="CC251" s="350"/>
      <c r="CD251" s="19"/>
      <c r="CE251" s="19"/>
      <c r="CF251" s="19"/>
      <c r="CG251" s="274"/>
      <c r="CH251" s="350"/>
      <c r="CI251" s="19"/>
      <c r="CJ251" s="19"/>
      <c r="CK251" s="19"/>
      <c r="CL251" s="274"/>
      <c r="CM251" s="350"/>
      <c r="CN251" s="19"/>
      <c r="CO251" s="19"/>
      <c r="CP251" s="19"/>
      <c r="CQ251" s="274"/>
      <c r="CR251" s="350"/>
      <c r="CS251" s="19"/>
      <c r="CT251" s="19"/>
      <c r="CU251" s="19"/>
      <c r="CV251" s="274"/>
      <c r="CW251" s="350"/>
      <c r="CX251" s="19"/>
      <c r="CY251" s="19"/>
      <c r="CZ251" s="19"/>
      <c r="DA251" s="274"/>
      <c r="DB251" s="350"/>
      <c r="DC251" s="19"/>
      <c r="DD251" s="19"/>
      <c r="DE251" s="19"/>
      <c r="DF251" s="274"/>
      <c r="DG251" s="350"/>
      <c r="DH251" s="19"/>
      <c r="DI251" s="19"/>
      <c r="DJ251" s="19"/>
      <c r="DK251" s="274"/>
      <c r="DL251" s="350"/>
      <c r="DM251" s="19"/>
      <c r="DN251" s="19"/>
      <c r="DO251" s="19"/>
      <c r="DP251" s="274"/>
      <c r="DQ251" s="350"/>
      <c r="DR251" s="19"/>
      <c r="DS251" s="19"/>
      <c r="DT251" s="19"/>
      <c r="DU251" s="274"/>
      <c r="DV251" s="350"/>
      <c r="DW251" s="19"/>
      <c r="DX251" s="19"/>
      <c r="DY251" s="19"/>
      <c r="DZ251" s="274"/>
      <c r="EA251" s="350"/>
      <c r="EB251" s="19"/>
      <c r="EC251" s="19"/>
      <c r="ED251" s="19"/>
      <c r="EE251" s="274"/>
      <c r="EF251" s="350"/>
      <c r="EG251" s="19"/>
      <c r="EH251" s="19"/>
      <c r="EI251" s="19"/>
      <c r="EJ251" s="274"/>
      <c r="EK251" s="350"/>
      <c r="EL251" s="19"/>
      <c r="EM251" s="19"/>
      <c r="EN251" s="19"/>
      <c r="EO251" s="244"/>
      <c r="ER251" s="451"/>
      <c r="ES251" s="451"/>
    </row>
    <row r="252" spans="4:149" ht="12.75" customHeight="1" x14ac:dyDescent="0.2">
      <c r="D252" s="244" t="s">
        <v>371</v>
      </c>
      <c r="E252" s="202"/>
      <c r="F252" s="350"/>
      <c r="G252" s="19">
        <v>0</v>
      </c>
      <c r="H252" s="19"/>
      <c r="I252" s="19"/>
      <c r="J252" s="274"/>
      <c r="K252" s="350"/>
      <c r="L252" s="19">
        <f>SUM(L253:L256)</f>
        <v>0</v>
      </c>
      <c r="M252" s="19"/>
      <c r="N252" s="19"/>
      <c r="O252" s="274"/>
      <c r="P252" s="350"/>
      <c r="Q252" s="19">
        <f>SUM(Q253:Q256)</f>
        <v>0</v>
      </c>
      <c r="R252" s="19"/>
      <c r="S252" s="19"/>
      <c r="T252" s="274"/>
      <c r="U252" s="350"/>
      <c r="V252" s="19">
        <f>SUM(V253:V256)</f>
        <v>0</v>
      </c>
      <c r="W252" s="19"/>
      <c r="X252" s="19"/>
      <c r="Y252" s="274"/>
      <c r="Z252" s="350"/>
      <c r="AA252" s="19">
        <f>SUM(AA253:AA256)</f>
        <v>0</v>
      </c>
      <c r="AB252" s="19"/>
      <c r="AC252" s="19"/>
      <c r="AD252" s="274"/>
      <c r="AE252" s="350"/>
      <c r="AF252" s="19">
        <f>SUM(AF253:AF256)</f>
        <v>0</v>
      </c>
      <c r="AG252" s="19"/>
      <c r="AH252" s="19"/>
      <c r="AI252" s="274"/>
      <c r="AJ252" s="350"/>
      <c r="AK252" s="19">
        <f>SUM(AK253:AK256)</f>
        <v>0</v>
      </c>
      <c r="AL252" s="19"/>
      <c r="AM252" s="19"/>
      <c r="AN252" s="274"/>
      <c r="AO252" s="350"/>
      <c r="AP252" s="19">
        <f>SUM(AP253:AP256)</f>
        <v>0</v>
      </c>
      <c r="AQ252" s="19"/>
      <c r="AR252" s="19"/>
      <c r="AS252" s="274"/>
      <c r="AT252" s="350"/>
      <c r="AU252" s="19">
        <f>SUM(AU253:AU256)</f>
        <v>0</v>
      </c>
      <c r="AV252" s="19"/>
      <c r="AW252" s="19"/>
      <c r="AX252" s="274"/>
      <c r="AY252" s="350"/>
      <c r="AZ252" s="19">
        <f>SUM(AZ253:AZ256)</f>
        <v>0</v>
      </c>
      <c r="BA252" s="19"/>
      <c r="BB252" s="19"/>
      <c r="BC252" s="274"/>
      <c r="BD252" s="350"/>
      <c r="BE252" s="19">
        <f>SUM(BE253:BE256)</f>
        <v>0</v>
      </c>
      <c r="BF252" s="19"/>
      <c r="BG252" s="19"/>
      <c r="BH252" s="274"/>
      <c r="BI252" s="350"/>
      <c r="BJ252" s="19">
        <f>SUM(BJ253:BJ256)</f>
        <v>0</v>
      </c>
      <c r="BK252" s="19"/>
      <c r="BL252" s="19"/>
      <c r="BM252" s="274"/>
      <c r="BN252" s="350"/>
      <c r="BO252" s="19">
        <f>SUM(BO253:BO256)</f>
        <v>0</v>
      </c>
      <c r="BP252" s="19"/>
      <c r="BQ252" s="19"/>
      <c r="BR252" s="274"/>
      <c r="BS252" s="350"/>
      <c r="BT252" s="19">
        <f>SUM(BT253:BT256)</f>
        <v>0</v>
      </c>
      <c r="BU252" s="19"/>
      <c r="BV252" s="19"/>
      <c r="BW252" s="274"/>
      <c r="BX252" s="350"/>
      <c r="BY252" s="19">
        <f>SUM(BY253:BY256)</f>
        <v>1147408</v>
      </c>
      <c r="BZ252" s="19"/>
      <c r="CA252" s="19"/>
      <c r="CB252" s="274"/>
      <c r="CC252" s="350"/>
      <c r="CD252" s="19">
        <f>SUM(CD253:CD256)</f>
        <v>0</v>
      </c>
      <c r="CE252" s="19"/>
      <c r="CF252" s="19"/>
      <c r="CG252" s="274"/>
      <c r="CH252" s="350"/>
      <c r="CI252" s="19">
        <f>SUM(CI253:CI256)</f>
        <v>1147408</v>
      </c>
      <c r="CJ252" s="19"/>
      <c r="CK252" s="19"/>
      <c r="CL252" s="274"/>
      <c r="CM252" s="350"/>
      <c r="CN252" s="19">
        <f>SUM(CN253:CN256)</f>
        <v>0</v>
      </c>
      <c r="CO252" s="19"/>
      <c r="CP252" s="19"/>
      <c r="CQ252" s="274"/>
      <c r="CR252" s="350"/>
      <c r="CS252" s="19">
        <f>SUM(CS253:CS256)</f>
        <v>0</v>
      </c>
      <c r="CT252" s="19"/>
      <c r="CU252" s="19"/>
      <c r="CV252" s="274"/>
      <c r="CW252" s="350"/>
      <c r="CX252" s="19">
        <f>SUM(CX253:CX256)</f>
        <v>0</v>
      </c>
      <c r="CY252" s="19"/>
      <c r="CZ252" s="19"/>
      <c r="DA252" s="274"/>
      <c r="DB252" s="350"/>
      <c r="DC252" s="19">
        <f>SUM(DC253:DC256)</f>
        <v>0</v>
      </c>
      <c r="DD252" s="19"/>
      <c r="DE252" s="19"/>
      <c r="DF252" s="274"/>
      <c r="DG252" s="350"/>
      <c r="DH252" s="19">
        <f>SUM(DH253:DH256)</f>
        <v>0</v>
      </c>
      <c r="DI252" s="19"/>
      <c r="DJ252" s="19"/>
      <c r="DK252" s="274"/>
      <c r="DL252" s="350"/>
      <c r="DM252" s="19">
        <f>SUM(DM253:DM256)</f>
        <v>0</v>
      </c>
      <c r="DN252" s="19"/>
      <c r="DO252" s="19"/>
      <c r="DP252" s="274"/>
      <c r="DQ252" s="350"/>
      <c r="DR252" s="19">
        <f>SUM(DR253:DR256)</f>
        <v>0</v>
      </c>
      <c r="DS252" s="19"/>
      <c r="DT252" s="19"/>
      <c r="DU252" s="274"/>
      <c r="DV252" s="350"/>
      <c r="DW252" s="19">
        <f>SUM(DW253:DW256)</f>
        <v>0</v>
      </c>
      <c r="DX252" s="19"/>
      <c r="DY252" s="19"/>
      <c r="DZ252" s="274"/>
      <c r="EA252" s="350"/>
      <c r="EB252" s="19">
        <f>SUM(EB253:EB256)</f>
        <v>0</v>
      </c>
      <c r="EC252" s="19"/>
      <c r="ED252" s="19"/>
      <c r="EE252" s="274"/>
      <c r="EF252" s="350"/>
      <c r="EG252" s="19">
        <f>SUM(EG253:EG256)</f>
        <v>0</v>
      </c>
      <c r="EH252" s="19"/>
      <c r="EI252" s="19"/>
      <c r="EJ252" s="274"/>
      <c r="EK252" s="350"/>
      <c r="EL252" s="19">
        <f>SUM(EL253:EL256)</f>
        <v>1147408</v>
      </c>
      <c r="EM252" s="19"/>
      <c r="EN252" s="19"/>
      <c r="EO252" s="244"/>
      <c r="ER252" s="451"/>
      <c r="ES252" s="451"/>
    </row>
    <row r="253" spans="4:149" ht="12.75" customHeight="1" x14ac:dyDescent="0.2">
      <c r="D253" s="244" t="s">
        <v>344</v>
      </c>
      <c r="F253" s="112"/>
      <c r="G253" s="374">
        <v>0</v>
      </c>
      <c r="H253" s="475"/>
      <c r="I253" s="19"/>
      <c r="J253" s="274"/>
      <c r="K253" s="173"/>
      <c r="L253" s="374">
        <v>0</v>
      </c>
      <c r="M253" s="475"/>
      <c r="N253" s="19"/>
      <c r="O253" s="274"/>
      <c r="P253" s="173"/>
      <c r="Q253" s="374">
        <v>0</v>
      </c>
      <c r="R253" s="475"/>
      <c r="S253" s="19"/>
      <c r="T253" s="274"/>
      <c r="U253" s="173"/>
      <c r="V253" s="374">
        <v>0</v>
      </c>
      <c r="W253" s="475"/>
      <c r="X253" s="19"/>
      <c r="Y253" s="274"/>
      <c r="Z253" s="173"/>
      <c r="AA253" s="374">
        <v>0</v>
      </c>
      <c r="AB253" s="475"/>
      <c r="AC253" s="19"/>
      <c r="AD253" s="274"/>
      <c r="AE253" s="173"/>
      <c r="AF253" s="374">
        <v>0</v>
      </c>
      <c r="AG253" s="475"/>
      <c r="AH253" s="19"/>
      <c r="AI253" s="274"/>
      <c r="AJ253" s="173"/>
      <c r="AK253" s="374">
        <v>0</v>
      </c>
      <c r="AL253" s="475"/>
      <c r="AM253" s="19"/>
      <c r="AN253" s="274"/>
      <c r="AO253" s="173"/>
      <c r="AP253" s="374">
        <v>0</v>
      </c>
      <c r="AQ253" s="475"/>
      <c r="AR253" s="19"/>
      <c r="AS253" s="274"/>
      <c r="AT253" s="173"/>
      <c r="AU253" s="374">
        <v>0</v>
      </c>
      <c r="AV253" s="475"/>
      <c r="AW253" s="19"/>
      <c r="AX253" s="274"/>
      <c r="AY253" s="173"/>
      <c r="AZ253" s="374">
        <v>0</v>
      </c>
      <c r="BA253" s="475"/>
      <c r="BB253" s="19"/>
      <c r="BC253" s="274"/>
      <c r="BD253" s="173"/>
      <c r="BE253" s="374">
        <v>0</v>
      </c>
      <c r="BF253" s="475"/>
      <c r="BG253" s="19"/>
      <c r="BH253" s="274"/>
      <c r="BI253" s="173"/>
      <c r="BJ253" s="374">
        <v>0</v>
      </c>
      <c r="BK253" s="475"/>
      <c r="BL253" s="19"/>
      <c r="BM253" s="274"/>
      <c r="BN253" s="173"/>
      <c r="BO253" s="374">
        <v>0</v>
      </c>
      <c r="BP253" s="475"/>
      <c r="BQ253" s="19"/>
      <c r="BR253" s="274"/>
      <c r="BS253" s="173"/>
      <c r="BT253" s="374">
        <f>SUM(L253:BO253)</f>
        <v>0</v>
      </c>
      <c r="BU253" s="475"/>
      <c r="BV253" s="19"/>
      <c r="BW253" s="274"/>
      <c r="BX253" s="173"/>
      <c r="BY253" s="374">
        <v>809374</v>
      </c>
      <c r="BZ253" s="475"/>
      <c r="CA253" s="19"/>
      <c r="CB253" s="274"/>
      <c r="CC253" s="173"/>
      <c r="CD253" s="374">
        <v>0</v>
      </c>
      <c r="CE253" s="475"/>
      <c r="CF253" s="19"/>
      <c r="CG253" s="274"/>
      <c r="CH253" s="173"/>
      <c r="CI253" s="374">
        <f>1147408-338034</f>
        <v>809374</v>
      </c>
      <c r="CJ253" s="475"/>
      <c r="CK253" s="19"/>
      <c r="CL253" s="274"/>
      <c r="CM253" s="173"/>
      <c r="CN253" s="374">
        <v>0</v>
      </c>
      <c r="CO253" s="475"/>
      <c r="CP253" s="19"/>
      <c r="CQ253" s="274"/>
      <c r="CR253" s="173"/>
      <c r="CS253" s="374">
        <v>0</v>
      </c>
      <c r="CT253" s="475"/>
      <c r="CU253" s="19"/>
      <c r="CV253" s="274"/>
      <c r="CW253" s="173"/>
      <c r="CX253" s="374">
        <v>0</v>
      </c>
      <c r="CY253" s="475"/>
      <c r="CZ253" s="19"/>
      <c r="DA253" s="274"/>
      <c r="DB253" s="173"/>
      <c r="DC253" s="374">
        <v>0</v>
      </c>
      <c r="DD253" s="475"/>
      <c r="DE253" s="19"/>
      <c r="DF253" s="274"/>
      <c r="DG253" s="173"/>
      <c r="DH253" s="374">
        <v>0</v>
      </c>
      <c r="DI253" s="475"/>
      <c r="DJ253" s="19"/>
      <c r="DK253" s="274"/>
      <c r="DL253" s="173"/>
      <c r="DM253" s="374">
        <v>0</v>
      </c>
      <c r="DN253" s="475"/>
      <c r="DO253" s="19"/>
      <c r="DP253" s="274"/>
      <c r="DQ253" s="173"/>
      <c r="DR253" s="374">
        <v>0</v>
      </c>
      <c r="DS253" s="475"/>
      <c r="DT253" s="19"/>
      <c r="DU253" s="274"/>
      <c r="DV253" s="173"/>
      <c r="DW253" s="374">
        <v>0</v>
      </c>
      <c r="DX253" s="475"/>
      <c r="DY253" s="19"/>
      <c r="DZ253" s="274"/>
      <c r="EA253" s="173"/>
      <c r="EB253" s="374">
        <v>0</v>
      </c>
      <c r="EC253" s="475"/>
      <c r="ED253" s="19"/>
      <c r="EE253" s="274"/>
      <c r="EF253" s="173"/>
      <c r="EG253" s="374">
        <v>0</v>
      </c>
      <c r="EH253" s="475"/>
      <c r="EI253" s="19"/>
      <c r="EJ253" s="274"/>
      <c r="EK253" s="173"/>
      <c r="EL253" s="374">
        <f>SUM(CD253:EG253)</f>
        <v>809374</v>
      </c>
      <c r="EM253" s="475"/>
      <c r="EN253" s="19"/>
      <c r="EO253" s="244"/>
      <c r="ER253" s="451"/>
      <c r="ES253" s="451"/>
    </row>
    <row r="254" spans="4:149" ht="12.75" customHeight="1" x14ac:dyDescent="0.2">
      <c r="D254" s="244" t="s">
        <v>346</v>
      </c>
      <c r="E254" s="202"/>
      <c r="F254" s="82"/>
      <c r="G254" s="19">
        <v>0</v>
      </c>
      <c r="H254" s="18"/>
      <c r="I254" s="19"/>
      <c r="J254" s="274"/>
      <c r="K254" s="274"/>
      <c r="L254" s="19">
        <v>0</v>
      </c>
      <c r="M254" s="18"/>
      <c r="N254" s="19"/>
      <c r="O254" s="274"/>
      <c r="P254" s="274"/>
      <c r="Q254" s="19">
        <v>0</v>
      </c>
      <c r="R254" s="18"/>
      <c r="S254" s="19"/>
      <c r="T254" s="274"/>
      <c r="U254" s="274"/>
      <c r="V254" s="19">
        <v>0</v>
      </c>
      <c r="W254" s="18"/>
      <c r="X254" s="19"/>
      <c r="Y254" s="274"/>
      <c r="Z254" s="274"/>
      <c r="AA254" s="19">
        <v>0</v>
      </c>
      <c r="AB254" s="18"/>
      <c r="AC254" s="19"/>
      <c r="AD254" s="274"/>
      <c r="AE254" s="274"/>
      <c r="AF254" s="19">
        <v>0</v>
      </c>
      <c r="AG254" s="18"/>
      <c r="AH254" s="19"/>
      <c r="AI254" s="274"/>
      <c r="AJ254" s="274"/>
      <c r="AK254" s="19">
        <v>0</v>
      </c>
      <c r="AL254" s="18"/>
      <c r="AM254" s="19"/>
      <c r="AN254" s="274"/>
      <c r="AO254" s="274"/>
      <c r="AP254" s="19">
        <v>0</v>
      </c>
      <c r="AQ254" s="18"/>
      <c r="AR254" s="19"/>
      <c r="AS254" s="274"/>
      <c r="AT254" s="274"/>
      <c r="AU254" s="19">
        <v>0</v>
      </c>
      <c r="AV254" s="18"/>
      <c r="AW254" s="19"/>
      <c r="AX254" s="274"/>
      <c r="AY254" s="274"/>
      <c r="AZ254" s="19">
        <v>0</v>
      </c>
      <c r="BA254" s="18"/>
      <c r="BB254" s="19"/>
      <c r="BC254" s="274"/>
      <c r="BD254" s="274"/>
      <c r="BE254" s="19">
        <v>0</v>
      </c>
      <c r="BF254" s="18"/>
      <c r="BG254" s="19"/>
      <c r="BH254" s="274"/>
      <c r="BI254" s="274"/>
      <c r="BJ254" s="19">
        <v>0</v>
      </c>
      <c r="BK254" s="18"/>
      <c r="BL254" s="19"/>
      <c r="BM254" s="274"/>
      <c r="BN254" s="274"/>
      <c r="BO254" s="19">
        <v>0</v>
      </c>
      <c r="BP254" s="18"/>
      <c r="BQ254" s="19"/>
      <c r="BR254" s="274"/>
      <c r="BS254" s="274"/>
      <c r="BT254" s="19">
        <f>SUM(L254:BO254)</f>
        <v>0</v>
      </c>
      <c r="BU254" s="18"/>
      <c r="BV254" s="19"/>
      <c r="BW254" s="274"/>
      <c r="BX254" s="274"/>
      <c r="BY254" s="19">
        <v>338034</v>
      </c>
      <c r="BZ254" s="18"/>
      <c r="CA254" s="19"/>
      <c r="CB254" s="274"/>
      <c r="CC254" s="274"/>
      <c r="CD254" s="19">
        <v>0</v>
      </c>
      <c r="CE254" s="18"/>
      <c r="CF254" s="19"/>
      <c r="CG254" s="274"/>
      <c r="CH254" s="274"/>
      <c r="CI254" s="19">
        <v>338034</v>
      </c>
      <c r="CJ254" s="18"/>
      <c r="CK254" s="19"/>
      <c r="CL254" s="274"/>
      <c r="CM254" s="274"/>
      <c r="CN254" s="19">
        <v>0</v>
      </c>
      <c r="CO254" s="18"/>
      <c r="CP254" s="19"/>
      <c r="CQ254" s="274"/>
      <c r="CR254" s="274"/>
      <c r="CS254" s="19">
        <v>0</v>
      </c>
      <c r="CT254" s="18"/>
      <c r="CU254" s="19"/>
      <c r="CV254" s="274"/>
      <c r="CW254" s="274"/>
      <c r="CX254" s="19">
        <v>0</v>
      </c>
      <c r="CY254" s="18"/>
      <c r="CZ254" s="19"/>
      <c r="DA254" s="274"/>
      <c r="DB254" s="274"/>
      <c r="DC254" s="19">
        <v>0</v>
      </c>
      <c r="DD254" s="18"/>
      <c r="DE254" s="19"/>
      <c r="DF254" s="274"/>
      <c r="DG254" s="274"/>
      <c r="DH254" s="19">
        <v>0</v>
      </c>
      <c r="DI254" s="18"/>
      <c r="DJ254" s="19"/>
      <c r="DK254" s="274"/>
      <c r="DL254" s="274"/>
      <c r="DM254" s="19">
        <v>0</v>
      </c>
      <c r="DN254" s="18"/>
      <c r="DO254" s="19"/>
      <c r="DP254" s="274"/>
      <c r="DQ254" s="274"/>
      <c r="DR254" s="19">
        <v>0</v>
      </c>
      <c r="DS254" s="18"/>
      <c r="DT254" s="19"/>
      <c r="DU254" s="274"/>
      <c r="DV254" s="274"/>
      <c r="DW254" s="19">
        <v>0</v>
      </c>
      <c r="DX254" s="18"/>
      <c r="DY254" s="19"/>
      <c r="DZ254" s="274"/>
      <c r="EA254" s="274"/>
      <c r="EB254" s="19">
        <v>0</v>
      </c>
      <c r="EC254" s="18"/>
      <c r="ED254" s="19"/>
      <c r="EE254" s="274"/>
      <c r="EF254" s="274"/>
      <c r="EG254" s="19">
        <v>0</v>
      </c>
      <c r="EH254" s="18"/>
      <c r="EI254" s="19"/>
      <c r="EJ254" s="274"/>
      <c r="EK254" s="274"/>
      <c r="EL254" s="19">
        <f>SUM(CD254:EG254)</f>
        <v>338034</v>
      </c>
      <c r="EM254" s="18"/>
      <c r="EN254" s="19"/>
      <c r="EO254" s="244"/>
      <c r="ER254" s="451"/>
      <c r="ES254" s="451"/>
    </row>
    <row r="255" spans="4:149" ht="12.75" customHeight="1" x14ac:dyDescent="0.2">
      <c r="D255" s="244" t="s">
        <v>354</v>
      </c>
      <c r="E255" s="202"/>
      <c r="F255" s="276"/>
      <c r="G255" s="37">
        <v>0</v>
      </c>
      <c r="H255" s="36"/>
      <c r="I255" s="19"/>
      <c r="J255" s="274"/>
      <c r="K255" s="231"/>
      <c r="L255" s="37">
        <v>0</v>
      </c>
      <c r="M255" s="36"/>
      <c r="N255" s="19"/>
      <c r="O255" s="274"/>
      <c r="P255" s="231"/>
      <c r="Q255" s="37">
        <v>0</v>
      </c>
      <c r="R255" s="36"/>
      <c r="S255" s="19"/>
      <c r="T255" s="274"/>
      <c r="U255" s="231"/>
      <c r="V255" s="37">
        <v>0</v>
      </c>
      <c r="W255" s="36"/>
      <c r="X255" s="19"/>
      <c r="Y255" s="274"/>
      <c r="Z255" s="231"/>
      <c r="AA255" s="37">
        <v>0</v>
      </c>
      <c r="AB255" s="36"/>
      <c r="AC255" s="19"/>
      <c r="AD255" s="274"/>
      <c r="AE255" s="231"/>
      <c r="AF255" s="37">
        <v>0</v>
      </c>
      <c r="AG255" s="36"/>
      <c r="AH255" s="19"/>
      <c r="AI255" s="274"/>
      <c r="AJ255" s="231"/>
      <c r="AK255" s="37">
        <v>0</v>
      </c>
      <c r="AL255" s="36"/>
      <c r="AM255" s="19"/>
      <c r="AN255" s="274"/>
      <c r="AO255" s="231"/>
      <c r="AP255" s="37">
        <v>0</v>
      </c>
      <c r="AQ255" s="36"/>
      <c r="AR255" s="19"/>
      <c r="AS255" s="274"/>
      <c r="AT255" s="231"/>
      <c r="AU255" s="37">
        <v>0</v>
      </c>
      <c r="AV255" s="36"/>
      <c r="AW255" s="19"/>
      <c r="AX255" s="274"/>
      <c r="AY255" s="231"/>
      <c r="AZ255" s="37">
        <v>0</v>
      </c>
      <c r="BA255" s="36"/>
      <c r="BB255" s="19"/>
      <c r="BC255" s="274"/>
      <c r="BD255" s="231"/>
      <c r="BE255" s="37">
        <v>0</v>
      </c>
      <c r="BF255" s="36"/>
      <c r="BG255" s="19"/>
      <c r="BH255" s="274"/>
      <c r="BI255" s="231"/>
      <c r="BJ255" s="37">
        <v>0</v>
      </c>
      <c r="BK255" s="36"/>
      <c r="BL255" s="19"/>
      <c r="BM255" s="274"/>
      <c r="BN255" s="231"/>
      <c r="BO255" s="37">
        <v>0</v>
      </c>
      <c r="BP255" s="36"/>
      <c r="BQ255" s="19"/>
      <c r="BR255" s="274"/>
      <c r="BS255" s="231"/>
      <c r="BT255" s="37">
        <f>SUM(L255:BO255)</f>
        <v>0</v>
      </c>
      <c r="BU255" s="36"/>
      <c r="BV255" s="19"/>
      <c r="BW255" s="274"/>
      <c r="BX255" s="231"/>
      <c r="BY255" s="37">
        <v>0</v>
      </c>
      <c r="BZ255" s="36"/>
      <c r="CA255" s="19"/>
      <c r="CB255" s="274"/>
      <c r="CC255" s="231"/>
      <c r="CD255" s="37">
        <v>0</v>
      </c>
      <c r="CE255" s="36"/>
      <c r="CF255" s="19"/>
      <c r="CG255" s="274"/>
      <c r="CH255" s="231"/>
      <c r="CI255" s="37">
        <v>0</v>
      </c>
      <c r="CJ255" s="36"/>
      <c r="CK255" s="19"/>
      <c r="CL255" s="274"/>
      <c r="CM255" s="231"/>
      <c r="CN255" s="37">
        <v>0</v>
      </c>
      <c r="CO255" s="36"/>
      <c r="CP255" s="19"/>
      <c r="CQ255" s="274"/>
      <c r="CR255" s="231"/>
      <c r="CS255" s="37">
        <v>0</v>
      </c>
      <c r="CT255" s="36"/>
      <c r="CU255" s="19"/>
      <c r="CV255" s="274"/>
      <c r="CW255" s="231"/>
      <c r="CX255" s="37">
        <v>0</v>
      </c>
      <c r="CY255" s="36"/>
      <c r="CZ255" s="19"/>
      <c r="DA255" s="274"/>
      <c r="DB255" s="231"/>
      <c r="DC255" s="37">
        <v>0</v>
      </c>
      <c r="DD255" s="36"/>
      <c r="DE255" s="19"/>
      <c r="DF255" s="274"/>
      <c r="DG255" s="231"/>
      <c r="DH255" s="37">
        <v>0</v>
      </c>
      <c r="DI255" s="36"/>
      <c r="DJ255" s="19"/>
      <c r="DK255" s="274"/>
      <c r="DL255" s="231"/>
      <c r="DM255" s="37">
        <v>0</v>
      </c>
      <c r="DN255" s="36"/>
      <c r="DO255" s="19"/>
      <c r="DP255" s="274"/>
      <c r="DQ255" s="231"/>
      <c r="DR255" s="37">
        <v>0</v>
      </c>
      <c r="DS255" s="36"/>
      <c r="DT255" s="19"/>
      <c r="DU255" s="274"/>
      <c r="DV255" s="231"/>
      <c r="DW255" s="37">
        <v>0</v>
      </c>
      <c r="DX255" s="36"/>
      <c r="DY255" s="19"/>
      <c r="DZ255" s="274"/>
      <c r="EA255" s="231"/>
      <c r="EB255" s="37">
        <v>0</v>
      </c>
      <c r="EC255" s="36"/>
      <c r="ED255" s="19"/>
      <c r="EE255" s="274"/>
      <c r="EF255" s="231"/>
      <c r="EG255" s="37">
        <v>0</v>
      </c>
      <c r="EH255" s="36"/>
      <c r="EI255" s="19"/>
      <c r="EJ255" s="274"/>
      <c r="EK255" s="231"/>
      <c r="EL255" s="37">
        <f>SUM(CD255:EG255)</f>
        <v>0</v>
      </c>
      <c r="EM255" s="36"/>
      <c r="EN255" s="19"/>
      <c r="EO255" s="244"/>
      <c r="ER255" s="451"/>
      <c r="ES255" s="451"/>
    </row>
    <row r="256" spans="4:149" ht="12.75" hidden="1" customHeight="1" x14ac:dyDescent="0.2">
      <c r="D256" s="244" t="s">
        <v>348</v>
      </c>
      <c r="E256" s="202"/>
      <c r="F256" s="255"/>
      <c r="G256" s="37">
        <v>0</v>
      </c>
      <c r="H256" s="36"/>
      <c r="I256" s="19"/>
      <c r="J256" s="274"/>
      <c r="K256" s="255"/>
      <c r="L256" s="37">
        <v>0</v>
      </c>
      <c r="M256" s="36"/>
      <c r="N256" s="19"/>
      <c r="O256" s="274"/>
      <c r="P256" s="255"/>
      <c r="Q256" s="37">
        <v>0</v>
      </c>
      <c r="R256" s="36"/>
      <c r="S256" s="19"/>
      <c r="T256" s="274"/>
      <c r="U256" s="255"/>
      <c r="V256" s="37">
        <v>0</v>
      </c>
      <c r="W256" s="36"/>
      <c r="X256" s="19"/>
      <c r="Y256" s="274"/>
      <c r="Z256" s="255"/>
      <c r="AA256" s="37">
        <v>0</v>
      </c>
      <c r="AB256" s="36"/>
      <c r="AC256" s="19"/>
      <c r="AD256" s="274"/>
      <c r="AE256" s="255"/>
      <c r="AF256" s="37">
        <v>0</v>
      </c>
      <c r="AG256" s="36"/>
      <c r="AH256" s="19"/>
      <c r="AI256" s="274"/>
      <c r="AJ256" s="255"/>
      <c r="AK256" s="37">
        <v>0</v>
      </c>
      <c r="AL256" s="36"/>
      <c r="AM256" s="19"/>
      <c r="AN256" s="274"/>
      <c r="AO256" s="255"/>
      <c r="AP256" s="37">
        <v>0</v>
      </c>
      <c r="AQ256" s="36"/>
      <c r="AR256" s="19"/>
      <c r="AS256" s="274"/>
      <c r="AT256" s="255"/>
      <c r="AU256" s="37">
        <v>0</v>
      </c>
      <c r="AV256" s="36"/>
      <c r="AW256" s="19"/>
      <c r="AX256" s="274"/>
      <c r="AY256" s="255"/>
      <c r="AZ256" s="37">
        <v>0</v>
      </c>
      <c r="BA256" s="36"/>
      <c r="BB256" s="19"/>
      <c r="BC256" s="274"/>
      <c r="BD256" s="255"/>
      <c r="BE256" s="37">
        <v>0</v>
      </c>
      <c r="BF256" s="36"/>
      <c r="BG256" s="19"/>
      <c r="BH256" s="274"/>
      <c r="BI256" s="255"/>
      <c r="BJ256" s="37">
        <v>0</v>
      </c>
      <c r="BK256" s="36"/>
      <c r="BL256" s="19"/>
      <c r="BM256" s="274"/>
      <c r="BN256" s="255"/>
      <c r="BO256" s="37">
        <v>0</v>
      </c>
      <c r="BP256" s="36"/>
      <c r="BQ256" s="19"/>
      <c r="BR256" s="274"/>
      <c r="BS256" s="255"/>
      <c r="BT256" s="37">
        <f>SUM(L256:BO256)</f>
        <v>0</v>
      </c>
      <c r="BU256" s="36"/>
      <c r="BV256" s="19"/>
      <c r="BW256" s="274"/>
      <c r="BX256" s="255"/>
      <c r="BY256" s="37">
        <f>SUM(Q256:BT256)</f>
        <v>0</v>
      </c>
      <c r="BZ256" s="36"/>
      <c r="CA256" s="19"/>
      <c r="CB256" s="274"/>
      <c r="CC256" s="255"/>
      <c r="CD256" s="37">
        <v>0</v>
      </c>
      <c r="CE256" s="36"/>
      <c r="CF256" s="19"/>
      <c r="CG256" s="274"/>
      <c r="CH256" s="255"/>
      <c r="CI256" s="37">
        <v>0</v>
      </c>
      <c r="CJ256" s="36"/>
      <c r="CK256" s="19"/>
      <c r="CL256" s="274"/>
      <c r="CM256" s="255"/>
      <c r="CN256" s="37">
        <v>0</v>
      </c>
      <c r="CO256" s="36"/>
      <c r="CP256" s="19"/>
      <c r="CQ256" s="274"/>
      <c r="CR256" s="255"/>
      <c r="CS256" s="37">
        <v>0</v>
      </c>
      <c r="CT256" s="36"/>
      <c r="CU256" s="19"/>
      <c r="CV256" s="274"/>
      <c r="CW256" s="255"/>
      <c r="CX256" s="37">
        <v>0</v>
      </c>
      <c r="CY256" s="36"/>
      <c r="CZ256" s="19"/>
      <c r="DA256" s="274"/>
      <c r="DB256" s="255"/>
      <c r="DC256" s="37">
        <v>0</v>
      </c>
      <c r="DD256" s="36"/>
      <c r="DE256" s="19"/>
      <c r="DF256" s="274"/>
      <c r="DG256" s="255"/>
      <c r="DH256" s="37">
        <v>0</v>
      </c>
      <c r="DI256" s="36"/>
      <c r="DJ256" s="19"/>
      <c r="DK256" s="274"/>
      <c r="DL256" s="255"/>
      <c r="DM256" s="37">
        <v>0</v>
      </c>
      <c r="DN256" s="36"/>
      <c r="DO256" s="19"/>
      <c r="DP256" s="274"/>
      <c r="DQ256" s="255"/>
      <c r="DR256" s="37">
        <v>0</v>
      </c>
      <c r="DS256" s="36"/>
      <c r="DT256" s="19"/>
      <c r="DU256" s="274"/>
      <c r="DV256" s="255"/>
      <c r="DW256" s="37">
        <v>0</v>
      </c>
      <c r="DX256" s="36"/>
      <c r="DY256" s="19"/>
      <c r="DZ256" s="274"/>
      <c r="EA256" s="255"/>
      <c r="EB256" s="37">
        <v>0</v>
      </c>
      <c r="EC256" s="36"/>
      <c r="ED256" s="19"/>
      <c r="EE256" s="274"/>
      <c r="EF256" s="255"/>
      <c r="EG256" s="37">
        <v>0</v>
      </c>
      <c r="EH256" s="36"/>
      <c r="EI256" s="19"/>
      <c r="EJ256" s="274"/>
      <c r="EK256" s="255"/>
      <c r="EL256" s="37">
        <f>SUM(CD256:EG256)</f>
        <v>0</v>
      </c>
      <c r="EM256" s="36"/>
      <c r="EN256" s="19"/>
      <c r="EO256" s="244"/>
      <c r="ER256" s="451"/>
      <c r="ES256" s="451"/>
    </row>
    <row r="257" spans="4:149" ht="12.75" customHeight="1" x14ac:dyDescent="0.2">
      <c r="D257" s="244"/>
      <c r="E257" s="202"/>
      <c r="F257" s="350"/>
      <c r="G257" s="19"/>
      <c r="H257" s="19"/>
      <c r="I257" s="19"/>
      <c r="J257" s="274"/>
      <c r="K257" s="350"/>
      <c r="L257" s="19"/>
      <c r="M257" s="19"/>
      <c r="N257" s="19"/>
      <c r="O257" s="274"/>
      <c r="P257" s="350"/>
      <c r="Q257" s="19"/>
      <c r="R257" s="19"/>
      <c r="S257" s="19"/>
      <c r="T257" s="274"/>
      <c r="U257" s="350"/>
      <c r="V257" s="19"/>
      <c r="W257" s="19"/>
      <c r="X257" s="19"/>
      <c r="Y257" s="274"/>
      <c r="Z257" s="350"/>
      <c r="AA257" s="19"/>
      <c r="AB257" s="19"/>
      <c r="AC257" s="19"/>
      <c r="AD257" s="274"/>
      <c r="AE257" s="350"/>
      <c r="AF257" s="19"/>
      <c r="AG257" s="19"/>
      <c r="AH257" s="19"/>
      <c r="AI257" s="274"/>
      <c r="AJ257" s="350"/>
      <c r="AK257" s="19"/>
      <c r="AL257" s="19"/>
      <c r="AM257" s="19"/>
      <c r="AN257" s="274"/>
      <c r="AO257" s="350"/>
      <c r="AP257" s="19"/>
      <c r="AQ257" s="19"/>
      <c r="AR257" s="19"/>
      <c r="AS257" s="274"/>
      <c r="AT257" s="350"/>
      <c r="AU257" s="19"/>
      <c r="AV257" s="19"/>
      <c r="AW257" s="19"/>
      <c r="AX257" s="274"/>
      <c r="AY257" s="350"/>
      <c r="AZ257" s="19"/>
      <c r="BA257" s="19"/>
      <c r="BB257" s="19"/>
      <c r="BC257" s="274"/>
      <c r="BD257" s="350"/>
      <c r="BE257" s="19"/>
      <c r="BF257" s="19"/>
      <c r="BG257" s="19"/>
      <c r="BH257" s="274"/>
      <c r="BI257" s="350"/>
      <c r="BJ257" s="19"/>
      <c r="BK257" s="19"/>
      <c r="BL257" s="19"/>
      <c r="BM257" s="274"/>
      <c r="BN257" s="350"/>
      <c r="BO257" s="19"/>
      <c r="BP257" s="19"/>
      <c r="BQ257" s="19"/>
      <c r="BR257" s="274"/>
      <c r="BS257" s="350"/>
      <c r="BT257" s="19"/>
      <c r="BU257" s="19"/>
      <c r="BV257" s="19"/>
      <c r="BW257" s="274"/>
      <c r="BX257" s="350"/>
      <c r="BY257" s="19"/>
      <c r="BZ257" s="19"/>
      <c r="CA257" s="19"/>
      <c r="CB257" s="274"/>
      <c r="CC257" s="350"/>
      <c r="CD257" s="19"/>
      <c r="CE257" s="19"/>
      <c r="CF257" s="19"/>
      <c r="CG257" s="274"/>
      <c r="CH257" s="350"/>
      <c r="CI257" s="19"/>
      <c r="CJ257" s="19"/>
      <c r="CK257" s="19"/>
      <c r="CL257" s="274"/>
      <c r="CM257" s="350"/>
      <c r="CN257" s="19"/>
      <c r="CO257" s="19"/>
      <c r="CP257" s="19"/>
      <c r="CQ257" s="274"/>
      <c r="CR257" s="350"/>
      <c r="CS257" s="19"/>
      <c r="CT257" s="19"/>
      <c r="CU257" s="19"/>
      <c r="CV257" s="274"/>
      <c r="CW257" s="350"/>
      <c r="CX257" s="19"/>
      <c r="CY257" s="19"/>
      <c r="CZ257" s="19"/>
      <c r="DA257" s="274"/>
      <c r="DB257" s="350"/>
      <c r="DC257" s="19"/>
      <c r="DD257" s="19"/>
      <c r="DE257" s="19"/>
      <c r="DF257" s="274"/>
      <c r="DG257" s="350"/>
      <c r="DH257" s="19"/>
      <c r="DI257" s="19"/>
      <c r="DJ257" s="19"/>
      <c r="DK257" s="274"/>
      <c r="DL257" s="350"/>
      <c r="DM257" s="19"/>
      <c r="DN257" s="19"/>
      <c r="DO257" s="19"/>
      <c r="DP257" s="274"/>
      <c r="DQ257" s="350"/>
      <c r="DR257" s="19"/>
      <c r="DS257" s="19"/>
      <c r="DT257" s="19"/>
      <c r="DU257" s="274"/>
      <c r="DV257" s="350"/>
      <c r="DW257" s="19"/>
      <c r="DX257" s="19"/>
      <c r="DY257" s="19"/>
      <c r="DZ257" s="274"/>
      <c r="EA257" s="350"/>
      <c r="EB257" s="19"/>
      <c r="EC257" s="19"/>
      <c r="ED257" s="19"/>
      <c r="EE257" s="274"/>
      <c r="EF257" s="350"/>
      <c r="EG257" s="19"/>
      <c r="EH257" s="19"/>
      <c r="EI257" s="19"/>
      <c r="EJ257" s="274"/>
      <c r="EK257" s="350"/>
      <c r="EL257" s="19"/>
      <c r="EM257" s="19"/>
      <c r="EN257" s="19"/>
      <c r="EO257" s="244"/>
      <c r="ER257" s="451"/>
      <c r="ES257" s="451"/>
    </row>
    <row r="258" spans="4:149" ht="12.75" customHeight="1" x14ac:dyDescent="0.2">
      <c r="D258" s="244" t="s">
        <v>377</v>
      </c>
      <c r="E258" s="202"/>
      <c r="F258" s="350"/>
      <c r="G258" s="19">
        <v>0</v>
      </c>
      <c r="H258" s="19"/>
      <c r="I258" s="19"/>
      <c r="J258" s="274"/>
      <c r="K258" s="350"/>
      <c r="L258" s="19">
        <f>SUM(L259:L261)</f>
        <v>0</v>
      </c>
      <c r="M258" s="19"/>
      <c r="N258" s="19"/>
      <c r="O258" s="274"/>
      <c r="P258" s="350"/>
      <c r="Q258" s="19">
        <f>SUM(Q259:Q261)</f>
        <v>0</v>
      </c>
      <c r="R258" s="19"/>
      <c r="S258" s="19"/>
      <c r="T258" s="274"/>
      <c r="U258" s="350"/>
      <c r="V258" s="19">
        <f>SUM(V259:V261)</f>
        <v>0</v>
      </c>
      <c r="W258" s="19"/>
      <c r="X258" s="19"/>
      <c r="Y258" s="274"/>
      <c r="Z258" s="350"/>
      <c r="AA258" s="19">
        <f>SUM(AA259:AA261)</f>
        <v>0</v>
      </c>
      <c r="AB258" s="19"/>
      <c r="AC258" s="19"/>
      <c r="AD258" s="274"/>
      <c r="AE258" s="350"/>
      <c r="AF258" s="19">
        <f>SUM(AF259:AF261)</f>
        <v>0</v>
      </c>
      <c r="AG258" s="19"/>
      <c r="AH258" s="19"/>
      <c r="AI258" s="274"/>
      <c r="AJ258" s="350"/>
      <c r="AK258" s="19">
        <f>SUM(AK259:AK261)</f>
        <v>0</v>
      </c>
      <c r="AL258" s="19"/>
      <c r="AM258" s="19"/>
      <c r="AN258" s="274"/>
      <c r="AO258" s="350"/>
      <c r="AP258" s="19">
        <f>SUM(AP259:AP261)</f>
        <v>0</v>
      </c>
      <c r="AQ258" s="19"/>
      <c r="AR258" s="19"/>
      <c r="AS258" s="274"/>
      <c r="AT258" s="350"/>
      <c r="AU258" s="19">
        <f>SUM(AU259:AU261)</f>
        <v>0</v>
      </c>
      <c r="AV258" s="19"/>
      <c r="AW258" s="19"/>
      <c r="AX258" s="274"/>
      <c r="AY258" s="350"/>
      <c r="AZ258" s="19">
        <f>SUM(AZ259:AZ261)</f>
        <v>0</v>
      </c>
      <c r="BA258" s="19"/>
      <c r="BB258" s="19"/>
      <c r="BC258" s="274"/>
      <c r="BD258" s="350"/>
      <c r="BE258" s="19">
        <f>SUM(BE259:BE261)</f>
        <v>0</v>
      </c>
      <c r="BF258" s="19"/>
      <c r="BG258" s="19"/>
      <c r="BH258" s="274"/>
      <c r="BI258" s="350"/>
      <c r="BJ258" s="19">
        <f>SUM(BJ259:BJ261)</f>
        <v>1808338</v>
      </c>
      <c r="BK258" s="19"/>
      <c r="BL258" s="19"/>
      <c r="BM258" s="274"/>
      <c r="BN258" s="350"/>
      <c r="BO258" s="19">
        <f>SUM(BO259:BO261)</f>
        <v>0</v>
      </c>
      <c r="BP258" s="19"/>
      <c r="BQ258" s="19"/>
      <c r="BR258" s="274"/>
      <c r="BS258" s="350"/>
      <c r="BT258" s="19">
        <f>SUM(BT259:BT261)</f>
        <v>1808338</v>
      </c>
      <c r="BU258" s="19"/>
      <c r="BV258" s="19"/>
      <c r="BW258" s="274"/>
      <c r="BX258" s="350"/>
      <c r="BY258" s="19">
        <f>SUM(BY259:BY261)</f>
        <v>1877366</v>
      </c>
      <c r="BZ258" s="19"/>
      <c r="CA258" s="19"/>
      <c r="CB258" s="274"/>
      <c r="CC258" s="350"/>
      <c r="CD258" s="19">
        <f>SUM(CD259:CD261)</f>
        <v>0</v>
      </c>
      <c r="CE258" s="19"/>
      <c r="CF258" s="19"/>
      <c r="CG258" s="274"/>
      <c r="CH258" s="350"/>
      <c r="CI258" s="19">
        <f>SUM(CI259:CI261)</f>
        <v>1877366</v>
      </c>
      <c r="CJ258" s="19"/>
      <c r="CK258" s="19"/>
      <c r="CL258" s="274"/>
      <c r="CM258" s="350"/>
      <c r="CN258" s="19">
        <f>SUM(CN259:CN261)</f>
        <v>0</v>
      </c>
      <c r="CO258" s="19"/>
      <c r="CP258" s="19"/>
      <c r="CQ258" s="274"/>
      <c r="CR258" s="350"/>
      <c r="CS258" s="19">
        <f>SUM(CS259:CS261)</f>
        <v>0</v>
      </c>
      <c r="CT258" s="19"/>
      <c r="CU258" s="19"/>
      <c r="CV258" s="274"/>
      <c r="CW258" s="350"/>
      <c r="CX258" s="19">
        <f>SUM(CX259:CX261)</f>
        <v>0</v>
      </c>
      <c r="CY258" s="19"/>
      <c r="CZ258" s="19"/>
      <c r="DA258" s="274"/>
      <c r="DB258" s="350"/>
      <c r="DC258" s="19">
        <f>SUM(DC259:DC261)</f>
        <v>0</v>
      </c>
      <c r="DD258" s="19"/>
      <c r="DE258" s="19"/>
      <c r="DF258" s="274"/>
      <c r="DG258" s="350"/>
      <c r="DH258" s="19">
        <f>SUM(DH259:DH261)</f>
        <v>0</v>
      </c>
      <c r="DI258" s="19"/>
      <c r="DJ258" s="19"/>
      <c r="DK258" s="274"/>
      <c r="DL258" s="350"/>
      <c r="DM258" s="19">
        <f>SUM(DM259:DM261)</f>
        <v>0</v>
      </c>
      <c r="DN258" s="19"/>
      <c r="DO258" s="19"/>
      <c r="DP258" s="274"/>
      <c r="DQ258" s="350"/>
      <c r="DR258" s="19">
        <f>SUM(DR259:DR261)</f>
        <v>0</v>
      </c>
      <c r="DS258" s="19"/>
      <c r="DT258" s="19"/>
      <c r="DU258" s="274"/>
      <c r="DV258" s="350"/>
      <c r="DW258" s="19">
        <f>SUM(DW259:DW261)</f>
        <v>0</v>
      </c>
      <c r="DX258" s="19"/>
      <c r="DY258" s="19"/>
      <c r="DZ258" s="274"/>
      <c r="EA258" s="350"/>
      <c r="EB258" s="19">
        <f>SUM(EB259:EB261)</f>
        <v>0</v>
      </c>
      <c r="EC258" s="19"/>
      <c r="ED258" s="19"/>
      <c r="EE258" s="274"/>
      <c r="EF258" s="350"/>
      <c r="EG258" s="19">
        <f>SUM(EG259:EG261)</f>
        <v>0</v>
      </c>
      <c r="EH258" s="19"/>
      <c r="EI258" s="19"/>
      <c r="EJ258" s="274"/>
      <c r="EK258" s="350"/>
      <c r="EL258" s="19">
        <f>SUM(EL259:EL261)</f>
        <v>1877366</v>
      </c>
      <c r="EM258" s="19"/>
      <c r="EN258" s="19"/>
      <c r="EO258" s="244"/>
      <c r="ER258" s="451"/>
      <c r="ES258" s="451"/>
    </row>
    <row r="259" spans="4:149" ht="12.75" customHeight="1" x14ac:dyDescent="0.2">
      <c r="D259" s="244" t="s">
        <v>344</v>
      </c>
      <c r="E259" s="202"/>
      <c r="F259" s="358"/>
      <c r="G259" s="374">
        <f>887399-153936</f>
        <v>733463</v>
      </c>
      <c r="H259" s="475"/>
      <c r="I259" s="19"/>
      <c r="J259" s="274"/>
      <c r="K259" s="358"/>
      <c r="L259" s="374">
        <v>0</v>
      </c>
      <c r="M259" s="475"/>
      <c r="N259" s="19"/>
      <c r="O259" s="274"/>
      <c r="P259" s="358"/>
      <c r="Q259" s="374">
        <v>0</v>
      </c>
      <c r="R259" s="475"/>
      <c r="S259" s="19"/>
      <c r="T259" s="274"/>
      <c r="U259" s="358"/>
      <c r="V259" s="374">
        <v>0</v>
      </c>
      <c r="W259" s="475"/>
      <c r="X259" s="19"/>
      <c r="Y259" s="274"/>
      <c r="Z259" s="358"/>
      <c r="AA259" s="374">
        <v>0</v>
      </c>
      <c r="AB259" s="475"/>
      <c r="AC259" s="19"/>
      <c r="AD259" s="274"/>
      <c r="AE259" s="358"/>
      <c r="AF259" s="374">
        <v>0</v>
      </c>
      <c r="AG259" s="475"/>
      <c r="AH259" s="19"/>
      <c r="AI259" s="274"/>
      <c r="AJ259" s="358"/>
      <c r="AK259" s="374">
        <v>0</v>
      </c>
      <c r="AL259" s="475"/>
      <c r="AM259" s="19"/>
      <c r="AN259" s="274"/>
      <c r="AO259" s="358"/>
      <c r="AP259" s="374">
        <v>0</v>
      </c>
      <c r="AQ259" s="475"/>
      <c r="AR259" s="19"/>
      <c r="AS259" s="274"/>
      <c r="AT259" s="358"/>
      <c r="AU259" s="374">
        <v>0</v>
      </c>
      <c r="AV259" s="475"/>
      <c r="AW259" s="19"/>
      <c r="AX259" s="274"/>
      <c r="AY259" s="358"/>
      <c r="AZ259" s="374">
        <v>0</v>
      </c>
      <c r="BA259" s="475"/>
      <c r="BB259" s="19"/>
      <c r="BC259" s="274"/>
      <c r="BD259" s="358"/>
      <c r="BE259" s="374">
        <v>0</v>
      </c>
      <c r="BF259" s="475"/>
      <c r="BG259" s="19"/>
      <c r="BH259" s="274"/>
      <c r="BI259" s="358"/>
      <c r="BJ259" s="374">
        <f>1808338-308946</f>
        <v>1499392</v>
      </c>
      <c r="BK259" s="475"/>
      <c r="BL259" s="19"/>
      <c r="BM259" s="274"/>
      <c r="BN259" s="358"/>
      <c r="BO259" s="374">
        <v>0</v>
      </c>
      <c r="BP259" s="475"/>
      <c r="BQ259" s="19"/>
      <c r="BR259" s="274"/>
      <c r="BS259" s="358"/>
      <c r="BT259" s="374">
        <f>SUM(L259:BO259)</f>
        <v>1499392</v>
      </c>
      <c r="BU259" s="475"/>
      <c r="BV259" s="19"/>
      <c r="BW259" s="274"/>
      <c r="BX259" s="358"/>
      <c r="BY259" s="374">
        <v>1693226</v>
      </c>
      <c r="BZ259" s="475"/>
      <c r="CA259" s="19"/>
      <c r="CB259" s="274"/>
      <c r="CC259" s="358"/>
      <c r="CD259" s="374">
        <v>0</v>
      </c>
      <c r="CE259" s="475"/>
      <c r="CF259" s="19"/>
      <c r="CG259" s="274"/>
      <c r="CH259" s="358"/>
      <c r="CI259" s="374">
        <f>1877366-184140</f>
        <v>1693226</v>
      </c>
      <c r="CJ259" s="475"/>
      <c r="CK259" s="19"/>
      <c r="CL259" s="274"/>
      <c r="CM259" s="358"/>
      <c r="CN259" s="374">
        <v>0</v>
      </c>
      <c r="CO259" s="475"/>
      <c r="CP259" s="19"/>
      <c r="CQ259" s="274"/>
      <c r="CR259" s="358"/>
      <c r="CS259" s="374">
        <v>0</v>
      </c>
      <c r="CT259" s="475"/>
      <c r="CU259" s="19"/>
      <c r="CV259" s="274"/>
      <c r="CW259" s="358"/>
      <c r="CX259" s="374">
        <v>0</v>
      </c>
      <c r="CY259" s="475"/>
      <c r="CZ259" s="19"/>
      <c r="DA259" s="274"/>
      <c r="DB259" s="358"/>
      <c r="DC259" s="374">
        <v>0</v>
      </c>
      <c r="DD259" s="475"/>
      <c r="DE259" s="19"/>
      <c r="DF259" s="274"/>
      <c r="DG259" s="358"/>
      <c r="DH259" s="374">
        <v>0</v>
      </c>
      <c r="DI259" s="475"/>
      <c r="DJ259" s="19"/>
      <c r="DK259" s="274"/>
      <c r="DL259" s="358"/>
      <c r="DM259" s="374">
        <v>0</v>
      </c>
      <c r="DN259" s="475"/>
      <c r="DO259" s="19"/>
      <c r="DP259" s="274"/>
      <c r="DQ259" s="358"/>
      <c r="DR259" s="374">
        <v>0</v>
      </c>
      <c r="DS259" s="475"/>
      <c r="DT259" s="19"/>
      <c r="DU259" s="274"/>
      <c r="DV259" s="358"/>
      <c r="DW259" s="374">
        <v>0</v>
      </c>
      <c r="DX259" s="475"/>
      <c r="DY259" s="19"/>
      <c r="DZ259" s="274"/>
      <c r="EA259" s="358"/>
      <c r="EB259" s="374">
        <v>0</v>
      </c>
      <c r="EC259" s="475"/>
      <c r="ED259" s="19"/>
      <c r="EE259" s="274"/>
      <c r="EF259" s="358"/>
      <c r="EG259" s="374">
        <v>0</v>
      </c>
      <c r="EH259" s="475"/>
      <c r="EI259" s="19"/>
      <c r="EJ259" s="274"/>
      <c r="EK259" s="358"/>
      <c r="EL259" s="374">
        <f>SUM(CD259:EG259)</f>
        <v>1693226</v>
      </c>
      <c r="EM259" s="475"/>
      <c r="EN259" s="19"/>
      <c r="EO259" s="244"/>
      <c r="ER259" s="451"/>
      <c r="ES259" s="451"/>
    </row>
    <row r="260" spans="4:149" ht="12.75" customHeight="1" x14ac:dyDescent="0.2">
      <c r="D260" s="244" t="s">
        <v>346</v>
      </c>
      <c r="E260" s="202"/>
      <c r="F260" s="147"/>
      <c r="G260" s="19">
        <v>153936</v>
      </c>
      <c r="H260" s="18"/>
      <c r="I260" s="19"/>
      <c r="J260" s="274"/>
      <c r="K260" s="147"/>
      <c r="L260" s="19">
        <v>0</v>
      </c>
      <c r="M260" s="18"/>
      <c r="N260" s="19"/>
      <c r="O260" s="274"/>
      <c r="P260" s="147"/>
      <c r="Q260" s="19">
        <v>0</v>
      </c>
      <c r="R260" s="18"/>
      <c r="S260" s="19"/>
      <c r="T260" s="274"/>
      <c r="U260" s="147"/>
      <c r="V260" s="19">
        <v>0</v>
      </c>
      <c r="W260" s="18"/>
      <c r="X260" s="19"/>
      <c r="Y260" s="274"/>
      <c r="Z260" s="147"/>
      <c r="AA260" s="19">
        <v>0</v>
      </c>
      <c r="AB260" s="18"/>
      <c r="AC260" s="19"/>
      <c r="AD260" s="274"/>
      <c r="AE260" s="147"/>
      <c r="AF260" s="19">
        <v>0</v>
      </c>
      <c r="AG260" s="18"/>
      <c r="AH260" s="19"/>
      <c r="AI260" s="274"/>
      <c r="AJ260" s="147"/>
      <c r="AK260" s="19">
        <v>0</v>
      </c>
      <c r="AL260" s="18"/>
      <c r="AM260" s="19"/>
      <c r="AN260" s="274"/>
      <c r="AO260" s="147"/>
      <c r="AP260" s="19">
        <v>0</v>
      </c>
      <c r="AQ260" s="18"/>
      <c r="AR260" s="19"/>
      <c r="AS260" s="274"/>
      <c r="AT260" s="147"/>
      <c r="AU260" s="19">
        <v>0</v>
      </c>
      <c r="AV260" s="18"/>
      <c r="AW260" s="19"/>
      <c r="AX260" s="274"/>
      <c r="AY260" s="147"/>
      <c r="AZ260" s="19">
        <v>0</v>
      </c>
      <c r="BA260" s="18"/>
      <c r="BB260" s="19"/>
      <c r="BC260" s="274"/>
      <c r="BD260" s="147"/>
      <c r="BE260" s="19">
        <v>0</v>
      </c>
      <c r="BF260" s="18"/>
      <c r="BG260" s="19"/>
      <c r="BH260" s="274"/>
      <c r="BI260" s="147"/>
      <c r="BJ260" s="19">
        <v>308946</v>
      </c>
      <c r="BK260" s="18"/>
      <c r="BL260" s="19"/>
      <c r="BM260" s="274"/>
      <c r="BN260" s="147"/>
      <c r="BO260" s="19">
        <v>0</v>
      </c>
      <c r="BP260" s="18"/>
      <c r="BQ260" s="19"/>
      <c r="BR260" s="274"/>
      <c r="BS260" s="147"/>
      <c r="BT260" s="19">
        <f>SUM(L260:BO260)</f>
        <v>308946</v>
      </c>
      <c r="BU260" s="18"/>
      <c r="BV260" s="19"/>
      <c r="BW260" s="274"/>
      <c r="BX260" s="147"/>
      <c r="BY260" s="19">
        <v>184140</v>
      </c>
      <c r="BZ260" s="18"/>
      <c r="CA260" s="19"/>
      <c r="CB260" s="274"/>
      <c r="CC260" s="147"/>
      <c r="CD260" s="19">
        <v>0</v>
      </c>
      <c r="CE260" s="18"/>
      <c r="CF260" s="19"/>
      <c r="CG260" s="274"/>
      <c r="CH260" s="147"/>
      <c r="CI260" s="19">
        <v>184140</v>
      </c>
      <c r="CJ260" s="18"/>
      <c r="CK260" s="19"/>
      <c r="CL260" s="274"/>
      <c r="CM260" s="147"/>
      <c r="CN260" s="19">
        <v>0</v>
      </c>
      <c r="CO260" s="18"/>
      <c r="CP260" s="19"/>
      <c r="CQ260" s="274"/>
      <c r="CR260" s="147"/>
      <c r="CS260" s="19">
        <v>0</v>
      </c>
      <c r="CT260" s="18"/>
      <c r="CU260" s="19"/>
      <c r="CV260" s="274"/>
      <c r="CW260" s="147"/>
      <c r="CX260" s="19">
        <v>0</v>
      </c>
      <c r="CY260" s="18"/>
      <c r="CZ260" s="19"/>
      <c r="DA260" s="274"/>
      <c r="DB260" s="147"/>
      <c r="DC260" s="19">
        <v>0</v>
      </c>
      <c r="DD260" s="18"/>
      <c r="DE260" s="19"/>
      <c r="DF260" s="274"/>
      <c r="DG260" s="147"/>
      <c r="DH260" s="19">
        <v>0</v>
      </c>
      <c r="DI260" s="18"/>
      <c r="DJ260" s="19"/>
      <c r="DK260" s="274"/>
      <c r="DL260" s="147"/>
      <c r="DM260" s="19">
        <v>0</v>
      </c>
      <c r="DN260" s="18"/>
      <c r="DO260" s="19"/>
      <c r="DP260" s="274"/>
      <c r="DQ260" s="147"/>
      <c r="DR260" s="19">
        <v>0</v>
      </c>
      <c r="DS260" s="18"/>
      <c r="DT260" s="19"/>
      <c r="DU260" s="274"/>
      <c r="DV260" s="147"/>
      <c r="DW260" s="19">
        <v>0</v>
      </c>
      <c r="DX260" s="18"/>
      <c r="DY260" s="19"/>
      <c r="DZ260" s="274"/>
      <c r="EA260" s="147"/>
      <c r="EB260" s="19">
        <v>0</v>
      </c>
      <c r="EC260" s="18"/>
      <c r="ED260" s="19"/>
      <c r="EE260" s="274"/>
      <c r="EF260" s="147"/>
      <c r="EG260" s="19">
        <v>0</v>
      </c>
      <c r="EH260" s="18"/>
      <c r="EI260" s="19"/>
      <c r="EJ260" s="274"/>
      <c r="EK260" s="147"/>
      <c r="EL260" s="19">
        <f>SUM(CD260:EG260)</f>
        <v>184140</v>
      </c>
      <c r="EM260" s="18"/>
      <c r="EN260" s="19"/>
      <c r="EO260" s="244"/>
      <c r="ER260" s="451"/>
      <c r="ES260" s="451"/>
    </row>
    <row r="261" spans="4:149" ht="12.75" customHeight="1" x14ac:dyDescent="0.2">
      <c r="D261" s="244" t="s">
        <v>354</v>
      </c>
      <c r="E261" s="202"/>
      <c r="F261" s="276"/>
      <c r="G261" s="37">
        <v>0</v>
      </c>
      <c r="H261" s="36"/>
      <c r="I261" s="19"/>
      <c r="J261" s="274"/>
      <c r="K261" s="276"/>
      <c r="L261" s="37">
        <v>0</v>
      </c>
      <c r="M261" s="36"/>
      <c r="N261" s="19"/>
      <c r="O261" s="274"/>
      <c r="P261" s="276"/>
      <c r="Q261" s="37">
        <v>0</v>
      </c>
      <c r="R261" s="36"/>
      <c r="S261" s="19"/>
      <c r="T261" s="274"/>
      <c r="U261" s="276"/>
      <c r="V261" s="37">
        <v>0</v>
      </c>
      <c r="W261" s="36"/>
      <c r="X261" s="19"/>
      <c r="Y261" s="274"/>
      <c r="Z261" s="276"/>
      <c r="AA261" s="37">
        <v>0</v>
      </c>
      <c r="AB261" s="36"/>
      <c r="AC261" s="19"/>
      <c r="AD261" s="274"/>
      <c r="AE261" s="276"/>
      <c r="AF261" s="37">
        <v>0</v>
      </c>
      <c r="AG261" s="36"/>
      <c r="AH261" s="19"/>
      <c r="AI261" s="274"/>
      <c r="AJ261" s="276"/>
      <c r="AK261" s="37">
        <v>0</v>
      </c>
      <c r="AL261" s="36"/>
      <c r="AM261" s="19"/>
      <c r="AN261" s="274"/>
      <c r="AO261" s="276"/>
      <c r="AP261" s="37">
        <v>0</v>
      </c>
      <c r="AQ261" s="36"/>
      <c r="AR261" s="19"/>
      <c r="AS261" s="274"/>
      <c r="AT261" s="231"/>
      <c r="AU261" s="37">
        <v>0</v>
      </c>
      <c r="AV261" s="36"/>
      <c r="AW261" s="19"/>
      <c r="AX261" s="274"/>
      <c r="AY261" s="231"/>
      <c r="AZ261" s="37">
        <v>0</v>
      </c>
      <c r="BA261" s="36"/>
      <c r="BB261" s="19"/>
      <c r="BC261" s="274"/>
      <c r="BD261" s="231"/>
      <c r="BE261" s="37">
        <v>0</v>
      </c>
      <c r="BF261" s="36"/>
      <c r="BG261" s="19"/>
      <c r="BH261" s="274"/>
      <c r="BI261" s="231"/>
      <c r="BJ261" s="37">
        <v>0</v>
      </c>
      <c r="BK261" s="36"/>
      <c r="BL261" s="19"/>
      <c r="BM261" s="274"/>
      <c r="BN261" s="231"/>
      <c r="BO261" s="37">
        <v>0</v>
      </c>
      <c r="BP261" s="36"/>
      <c r="BQ261" s="19"/>
      <c r="BR261" s="274"/>
      <c r="BS261" s="231"/>
      <c r="BT261" s="37">
        <f>SUM(L261:BO261)</f>
        <v>0</v>
      </c>
      <c r="BU261" s="36"/>
      <c r="BV261" s="19"/>
      <c r="BW261" s="274"/>
      <c r="BX261" s="231"/>
      <c r="BY261" s="37">
        <v>0</v>
      </c>
      <c r="BZ261" s="36"/>
      <c r="CA261" s="19"/>
      <c r="CB261" s="274"/>
      <c r="CC261" s="276"/>
      <c r="CD261" s="37">
        <v>0</v>
      </c>
      <c r="CE261" s="36"/>
      <c r="CF261" s="19"/>
      <c r="CG261" s="274"/>
      <c r="CH261" s="276"/>
      <c r="CI261" s="37">
        <v>0</v>
      </c>
      <c r="CJ261" s="36"/>
      <c r="CK261" s="19"/>
      <c r="CL261" s="274"/>
      <c r="CM261" s="276"/>
      <c r="CN261" s="37">
        <v>0</v>
      </c>
      <c r="CO261" s="36"/>
      <c r="CP261" s="19"/>
      <c r="CQ261" s="274"/>
      <c r="CR261" s="276"/>
      <c r="CS261" s="37">
        <v>0</v>
      </c>
      <c r="CT261" s="36"/>
      <c r="CU261" s="19"/>
      <c r="CV261" s="274"/>
      <c r="CW261" s="276"/>
      <c r="CX261" s="37">
        <v>0</v>
      </c>
      <c r="CY261" s="36"/>
      <c r="CZ261" s="19"/>
      <c r="DA261" s="274"/>
      <c r="DB261" s="276"/>
      <c r="DC261" s="37">
        <v>0</v>
      </c>
      <c r="DD261" s="36"/>
      <c r="DE261" s="19"/>
      <c r="DF261" s="274"/>
      <c r="DG261" s="276"/>
      <c r="DH261" s="37">
        <v>0</v>
      </c>
      <c r="DI261" s="36"/>
      <c r="DJ261" s="19"/>
      <c r="DK261" s="274"/>
      <c r="DL261" s="231"/>
      <c r="DM261" s="37">
        <v>0</v>
      </c>
      <c r="DN261" s="36"/>
      <c r="DO261" s="19"/>
      <c r="DP261" s="274"/>
      <c r="DQ261" s="231"/>
      <c r="DR261" s="37">
        <v>0</v>
      </c>
      <c r="DS261" s="36"/>
      <c r="DT261" s="19"/>
      <c r="DU261" s="274"/>
      <c r="DV261" s="231"/>
      <c r="DW261" s="37">
        <v>0</v>
      </c>
      <c r="DX261" s="36"/>
      <c r="DY261" s="19"/>
      <c r="DZ261" s="274"/>
      <c r="EA261" s="231"/>
      <c r="EB261" s="37">
        <v>0</v>
      </c>
      <c r="EC261" s="36"/>
      <c r="ED261" s="19"/>
      <c r="EE261" s="274"/>
      <c r="EF261" s="231"/>
      <c r="EG261" s="37">
        <v>0</v>
      </c>
      <c r="EH261" s="36"/>
      <c r="EI261" s="19"/>
      <c r="EJ261" s="274"/>
      <c r="EK261" s="231"/>
      <c r="EL261" s="37">
        <f>SUM(CD261:EG261)</f>
        <v>0</v>
      </c>
      <c r="EM261" s="36"/>
      <c r="EN261" s="19"/>
      <c r="EO261" s="244"/>
      <c r="ER261" s="451"/>
      <c r="ES261" s="451"/>
    </row>
    <row r="262" spans="4:149" ht="12.75" customHeight="1" x14ac:dyDescent="0.2">
      <c r="D262" s="244"/>
      <c r="E262" s="202"/>
      <c r="F262" s="350"/>
      <c r="G262" s="19"/>
      <c r="H262" s="19"/>
      <c r="I262" s="19"/>
      <c r="J262" s="274"/>
      <c r="K262" s="350"/>
      <c r="L262" s="19"/>
      <c r="M262" s="19"/>
      <c r="N262" s="19"/>
      <c r="O262" s="274"/>
      <c r="P262" s="350"/>
      <c r="Q262" s="19"/>
      <c r="R262" s="19"/>
      <c r="S262" s="19"/>
      <c r="T262" s="274"/>
      <c r="U262" s="350"/>
      <c r="V262" s="19"/>
      <c r="W262" s="19"/>
      <c r="X262" s="19"/>
      <c r="Y262" s="274"/>
      <c r="Z262" s="350"/>
      <c r="AA262" s="19"/>
      <c r="AB262" s="19"/>
      <c r="AC262" s="19"/>
      <c r="AD262" s="274"/>
      <c r="AE262" s="350"/>
      <c r="AF262" s="19"/>
      <c r="AG262" s="19"/>
      <c r="AH262" s="19"/>
      <c r="AI262" s="274"/>
      <c r="AJ262" s="350"/>
      <c r="AK262" s="19"/>
      <c r="AL262" s="19"/>
      <c r="AM262" s="19"/>
      <c r="AN262" s="274"/>
      <c r="AO262" s="350"/>
      <c r="AP262" s="19"/>
      <c r="AQ262" s="19"/>
      <c r="AR262" s="19"/>
      <c r="AS262" s="274"/>
      <c r="AT262" s="350"/>
      <c r="AU262" s="19"/>
      <c r="AV262" s="19"/>
      <c r="AW262" s="19"/>
      <c r="AX262" s="274"/>
      <c r="AY262" s="350"/>
      <c r="AZ262" s="19"/>
      <c r="BA262" s="19"/>
      <c r="BB262" s="19"/>
      <c r="BC262" s="274"/>
      <c r="BD262" s="350"/>
      <c r="BE262" s="19"/>
      <c r="BF262" s="19"/>
      <c r="BG262" s="19"/>
      <c r="BH262" s="274"/>
      <c r="BI262" s="350"/>
      <c r="BJ262" s="19"/>
      <c r="BK262" s="19"/>
      <c r="BL262" s="19"/>
      <c r="BM262" s="274"/>
      <c r="BN262" s="350"/>
      <c r="BO262" s="19"/>
      <c r="BP262" s="19"/>
      <c r="BQ262" s="19"/>
      <c r="BR262" s="274"/>
      <c r="BS262" s="350"/>
      <c r="BT262" s="19"/>
      <c r="BU262" s="19"/>
      <c r="BV262" s="19"/>
      <c r="BW262" s="274"/>
      <c r="BX262" s="350"/>
      <c r="BY262" s="19"/>
      <c r="BZ262" s="19"/>
      <c r="CA262" s="19"/>
      <c r="CB262" s="274"/>
      <c r="CC262" s="350"/>
      <c r="CD262" s="19"/>
      <c r="CE262" s="19"/>
      <c r="CF262" s="19"/>
      <c r="CG262" s="274"/>
      <c r="CH262" s="350"/>
      <c r="CI262" s="19"/>
      <c r="CJ262" s="19"/>
      <c r="CK262" s="19"/>
      <c r="CL262" s="274"/>
      <c r="CM262" s="350"/>
      <c r="CN262" s="19"/>
      <c r="CO262" s="19"/>
      <c r="CP262" s="19"/>
      <c r="CQ262" s="274"/>
      <c r="CR262" s="350"/>
      <c r="CS262" s="19"/>
      <c r="CT262" s="19"/>
      <c r="CU262" s="19"/>
      <c r="CV262" s="274"/>
      <c r="CW262" s="350"/>
      <c r="CX262" s="19"/>
      <c r="CY262" s="19"/>
      <c r="CZ262" s="19"/>
      <c r="DA262" s="274"/>
      <c r="DB262" s="350"/>
      <c r="DC262" s="19"/>
      <c r="DD262" s="19"/>
      <c r="DE262" s="19"/>
      <c r="DF262" s="274"/>
      <c r="DG262" s="350"/>
      <c r="DH262" s="19"/>
      <c r="DI262" s="19"/>
      <c r="DJ262" s="19"/>
      <c r="DK262" s="274"/>
      <c r="DL262" s="350"/>
      <c r="DM262" s="19"/>
      <c r="DN262" s="19"/>
      <c r="DO262" s="19"/>
      <c r="DP262" s="274"/>
      <c r="DQ262" s="350"/>
      <c r="DR262" s="19"/>
      <c r="DS262" s="19"/>
      <c r="DT262" s="19"/>
      <c r="DU262" s="274"/>
      <c r="DV262" s="350"/>
      <c r="DW262" s="19"/>
      <c r="DX262" s="19"/>
      <c r="DY262" s="19"/>
      <c r="DZ262" s="274"/>
      <c r="EA262" s="350"/>
      <c r="EB262" s="19"/>
      <c r="EC262" s="19"/>
      <c r="ED262" s="19"/>
      <c r="EE262" s="274"/>
      <c r="EF262" s="350"/>
      <c r="EG262" s="19"/>
      <c r="EH262" s="19"/>
      <c r="EI262" s="19"/>
      <c r="EJ262" s="274"/>
      <c r="EK262" s="350"/>
      <c r="EL262" s="19"/>
      <c r="EM262" s="19"/>
      <c r="EN262" s="19"/>
      <c r="EO262" s="244"/>
      <c r="ER262" s="451"/>
      <c r="ES262" s="451"/>
    </row>
    <row r="263" spans="4:149" ht="12.75" customHeight="1" x14ac:dyDescent="0.2">
      <c r="D263" s="244" t="s">
        <v>401</v>
      </c>
      <c r="G263" s="19">
        <f>SUM(G264:G266)</f>
        <v>377760</v>
      </c>
      <c r="H263" s="19"/>
      <c r="I263" s="19"/>
      <c r="J263" s="274"/>
      <c r="K263" s="19"/>
      <c r="L263" s="19">
        <f>SUM(L264:L266)</f>
        <v>0</v>
      </c>
      <c r="M263" s="19"/>
      <c r="N263" s="19"/>
      <c r="O263" s="274"/>
      <c r="P263" s="19"/>
      <c r="Q263" s="19">
        <f>SUM(Q264:Q266)</f>
        <v>0</v>
      </c>
      <c r="R263" s="19"/>
      <c r="S263" s="19"/>
      <c r="T263" s="274"/>
      <c r="U263" s="19"/>
      <c r="V263" s="19">
        <f>SUM(V264:V266)</f>
        <v>0</v>
      </c>
      <c r="W263" s="19"/>
      <c r="X263" s="19"/>
      <c r="Y263" s="274"/>
      <c r="Z263" s="19"/>
      <c r="AA263" s="19">
        <f>SUM(AA264:AA266)</f>
        <v>0</v>
      </c>
      <c r="AB263" s="19"/>
      <c r="AC263" s="19"/>
      <c r="AD263" s="274"/>
      <c r="AE263" s="19"/>
      <c r="AF263" s="19">
        <f>SUM(AF264:AF266)</f>
        <v>0</v>
      </c>
      <c r="AG263" s="19"/>
      <c r="AH263" s="19"/>
      <c r="AI263" s="274"/>
      <c r="AJ263" s="19"/>
      <c r="AK263" s="19">
        <f>SUM(AK264:AK266)</f>
        <v>0</v>
      </c>
      <c r="AL263" s="19"/>
      <c r="AM263" s="19"/>
      <c r="AN263" s="274"/>
      <c r="AO263" s="19"/>
      <c r="AP263" s="19">
        <f>SUM(AP264:AP266)</f>
        <v>0</v>
      </c>
      <c r="AQ263" s="19"/>
      <c r="AR263" s="19"/>
      <c r="AS263" s="274"/>
      <c r="AT263" s="19"/>
      <c r="AU263" s="19">
        <f>SUM(AU264:AU266)</f>
        <v>0</v>
      </c>
      <c r="AV263" s="19"/>
      <c r="AW263" s="19"/>
      <c r="AX263" s="274"/>
      <c r="AY263" s="19"/>
      <c r="AZ263" s="19">
        <f>SUM(AZ264:AZ266)</f>
        <v>0</v>
      </c>
      <c r="BA263" s="19"/>
      <c r="BB263" s="19"/>
      <c r="BC263" s="274"/>
      <c r="BD263" s="19"/>
      <c r="BE263" s="19">
        <f>SUM(BE264:BE266)</f>
        <v>0</v>
      </c>
      <c r="BF263" s="19"/>
      <c r="BG263" s="19"/>
      <c r="BH263" s="274"/>
      <c r="BI263" s="19"/>
      <c r="BJ263" s="19">
        <f>SUM(BJ264:BJ266)</f>
        <v>377760</v>
      </c>
      <c r="BK263" s="19"/>
      <c r="BL263" s="19"/>
      <c r="BM263" s="274"/>
      <c r="BN263" s="19"/>
      <c r="BO263" s="19">
        <f>SUM(BO264:BO266)</f>
        <v>0</v>
      </c>
      <c r="BP263" s="19"/>
      <c r="BQ263" s="19"/>
      <c r="BR263" s="274"/>
      <c r="BS263" s="19"/>
      <c r="BT263" s="19">
        <f>SUM(BT264:BT266)</f>
        <v>377760</v>
      </c>
      <c r="BU263" s="19"/>
      <c r="BV263" s="19"/>
      <c r="BW263" s="274"/>
      <c r="BX263" s="19"/>
      <c r="BY263" s="19">
        <f>SUM(BY264:BY266)</f>
        <v>284188</v>
      </c>
      <c r="BZ263" s="19"/>
      <c r="CA263" s="19"/>
      <c r="CB263" s="274"/>
      <c r="CC263" s="19"/>
      <c r="CD263" s="19">
        <f>SUM(CD264:CD266)</f>
        <v>0</v>
      </c>
      <c r="CE263" s="19"/>
      <c r="CF263" s="19"/>
      <c r="CG263" s="274"/>
      <c r="CH263" s="19"/>
      <c r="CI263" s="19">
        <f>SUM(CI264:CI266)</f>
        <v>284188</v>
      </c>
      <c r="CJ263" s="19"/>
      <c r="CK263" s="19"/>
      <c r="CL263" s="274"/>
      <c r="CM263" s="19"/>
      <c r="CN263" s="19">
        <f>SUM(CN264:CN266)</f>
        <v>0</v>
      </c>
      <c r="CO263" s="19"/>
      <c r="CP263" s="19"/>
      <c r="CQ263" s="274"/>
      <c r="CR263" s="19"/>
      <c r="CS263" s="19">
        <f>SUM(CS264:CS266)</f>
        <v>0</v>
      </c>
      <c r="CT263" s="19"/>
      <c r="CU263" s="19"/>
      <c r="CV263" s="274"/>
      <c r="CW263" s="19"/>
      <c r="CX263" s="19">
        <f>SUM(CX264:CX266)</f>
        <v>0</v>
      </c>
      <c r="CY263" s="19"/>
      <c r="CZ263" s="19"/>
      <c r="DA263" s="274"/>
      <c r="DB263" s="19"/>
      <c r="DC263" s="19">
        <f>SUM(DC264:DC266)</f>
        <v>0</v>
      </c>
      <c r="DD263" s="19"/>
      <c r="DE263" s="19"/>
      <c r="DF263" s="274"/>
      <c r="DG263" s="19"/>
      <c r="DH263" s="19">
        <f>SUM(DH264:DH266)</f>
        <v>0</v>
      </c>
      <c r="DI263" s="19"/>
      <c r="DJ263" s="19"/>
      <c r="DK263" s="274"/>
      <c r="DL263" s="19"/>
      <c r="DM263" s="19">
        <f>SUM(DM264:DM266)</f>
        <v>0</v>
      </c>
      <c r="DN263" s="19"/>
      <c r="DO263" s="19"/>
      <c r="DP263" s="274"/>
      <c r="DQ263" s="19"/>
      <c r="DR263" s="19">
        <f>SUM(DR264:DR266)</f>
        <v>0</v>
      </c>
      <c r="DS263" s="19"/>
      <c r="DT263" s="19"/>
      <c r="DU263" s="274"/>
      <c r="DV263" s="19"/>
      <c r="DW263" s="19">
        <f>SUM(DW264:DW266)</f>
        <v>0</v>
      </c>
      <c r="DX263" s="19"/>
      <c r="DY263" s="19"/>
      <c r="DZ263" s="274"/>
      <c r="EA263" s="19"/>
      <c r="EB263" s="19">
        <f>SUM(EB264:EB266)</f>
        <v>0</v>
      </c>
      <c r="EC263" s="19"/>
      <c r="ED263" s="19"/>
      <c r="EE263" s="274"/>
      <c r="EF263" s="19"/>
      <c r="EG263" s="19">
        <f>SUM(EG264:EG266)</f>
        <v>0</v>
      </c>
      <c r="EH263" s="19"/>
      <c r="EI263" s="19"/>
      <c r="EJ263" s="274"/>
      <c r="EK263" s="19"/>
      <c r="EL263" s="19">
        <f>SUM(EL264:EL266)</f>
        <v>284188</v>
      </c>
      <c r="EM263" s="19"/>
      <c r="EN263" s="19"/>
      <c r="EO263" s="244"/>
      <c r="ER263" s="451"/>
      <c r="ES263" s="451"/>
    </row>
    <row r="264" spans="4:149" ht="12.75" customHeight="1" x14ac:dyDescent="0.2">
      <c r="D264" s="244" t="s">
        <v>344</v>
      </c>
      <c r="F264" s="112"/>
      <c r="G264" s="374">
        <f>377760-16605</f>
        <v>361155</v>
      </c>
      <c r="H264" s="475"/>
      <c r="I264" s="19"/>
      <c r="J264" s="274"/>
      <c r="K264" s="112"/>
      <c r="L264" s="374">
        <v>0</v>
      </c>
      <c r="M264" s="475"/>
      <c r="N264" s="19"/>
      <c r="O264" s="274"/>
      <c r="P264" s="112"/>
      <c r="Q264" s="374">
        <v>0</v>
      </c>
      <c r="R264" s="475"/>
      <c r="S264" s="19"/>
      <c r="T264" s="274"/>
      <c r="U264" s="112"/>
      <c r="V264" s="374">
        <v>0</v>
      </c>
      <c r="W264" s="475"/>
      <c r="X264" s="19"/>
      <c r="Y264" s="274"/>
      <c r="Z264" s="112"/>
      <c r="AA264" s="374">
        <v>0</v>
      </c>
      <c r="AB264" s="475"/>
      <c r="AC264" s="19"/>
      <c r="AD264" s="274"/>
      <c r="AE264" s="112"/>
      <c r="AF264" s="374">
        <v>0</v>
      </c>
      <c r="AG264" s="475"/>
      <c r="AH264" s="19"/>
      <c r="AI264" s="274"/>
      <c r="AJ264" s="112"/>
      <c r="AK264" s="374">
        <v>0</v>
      </c>
      <c r="AL264" s="475"/>
      <c r="AM264" s="19"/>
      <c r="AN264" s="274"/>
      <c r="AO264" s="112"/>
      <c r="AP264" s="374">
        <v>0</v>
      </c>
      <c r="AQ264" s="475"/>
      <c r="AR264" s="19"/>
      <c r="AS264" s="274"/>
      <c r="AT264" s="173"/>
      <c r="AU264" s="374">
        <v>0</v>
      </c>
      <c r="AV264" s="475"/>
      <c r="AW264" s="19"/>
      <c r="AX264" s="274"/>
      <c r="AY264" s="173"/>
      <c r="AZ264" s="374">
        <v>0</v>
      </c>
      <c r="BA264" s="475"/>
      <c r="BB264" s="19"/>
      <c r="BC264" s="274"/>
      <c r="BD264" s="173"/>
      <c r="BE264" s="374">
        <v>0</v>
      </c>
      <c r="BF264" s="475"/>
      <c r="BG264" s="19"/>
      <c r="BH264" s="274"/>
      <c r="BI264" s="173"/>
      <c r="BJ264" s="374">
        <f>377760-16605</f>
        <v>361155</v>
      </c>
      <c r="BK264" s="475"/>
      <c r="BL264" s="19"/>
      <c r="BM264" s="274"/>
      <c r="BN264" s="173"/>
      <c r="BO264" s="374">
        <v>0</v>
      </c>
      <c r="BP264" s="475"/>
      <c r="BQ264" s="19"/>
      <c r="BR264" s="274"/>
      <c r="BS264" s="173"/>
      <c r="BT264" s="374">
        <f>SUM(L264:BO264)</f>
        <v>361155</v>
      </c>
      <c r="BU264" s="475"/>
      <c r="BV264" s="19"/>
      <c r="BW264" s="274"/>
      <c r="BX264" s="173"/>
      <c r="BY264" s="374">
        <v>261563</v>
      </c>
      <c r="BZ264" s="475"/>
      <c r="CA264" s="19"/>
      <c r="CB264" s="274"/>
      <c r="CC264" s="112"/>
      <c r="CD264" s="374">
        <v>0</v>
      </c>
      <c r="CE264" s="475"/>
      <c r="CF264" s="19"/>
      <c r="CG264" s="274"/>
      <c r="CH264" s="112"/>
      <c r="CI264" s="374">
        <f>284188-22625</f>
        <v>261563</v>
      </c>
      <c r="CJ264" s="475"/>
      <c r="CK264" s="19"/>
      <c r="CL264" s="274"/>
      <c r="CM264" s="112"/>
      <c r="CN264" s="374">
        <v>0</v>
      </c>
      <c r="CO264" s="475"/>
      <c r="CP264" s="19"/>
      <c r="CQ264" s="274"/>
      <c r="CR264" s="112"/>
      <c r="CS264" s="374">
        <v>0</v>
      </c>
      <c r="CT264" s="475"/>
      <c r="CU264" s="19"/>
      <c r="CV264" s="274"/>
      <c r="CW264" s="112"/>
      <c r="CX264" s="374">
        <v>0</v>
      </c>
      <c r="CY264" s="475"/>
      <c r="CZ264" s="19"/>
      <c r="DA264" s="274"/>
      <c r="DB264" s="112"/>
      <c r="DC264" s="374">
        <v>0</v>
      </c>
      <c r="DD264" s="475"/>
      <c r="DE264" s="19"/>
      <c r="DF264" s="274"/>
      <c r="DG264" s="112"/>
      <c r="DH264" s="374">
        <v>0</v>
      </c>
      <c r="DI264" s="475"/>
      <c r="DJ264" s="19"/>
      <c r="DK264" s="274"/>
      <c r="DL264" s="173"/>
      <c r="DM264" s="374">
        <v>0</v>
      </c>
      <c r="DN264" s="475"/>
      <c r="DO264" s="19"/>
      <c r="DP264" s="274"/>
      <c r="DQ264" s="173"/>
      <c r="DR264" s="374">
        <v>0</v>
      </c>
      <c r="DS264" s="475"/>
      <c r="DT264" s="19"/>
      <c r="DU264" s="274"/>
      <c r="DV264" s="173"/>
      <c r="DW264" s="374">
        <v>0</v>
      </c>
      <c r="DX264" s="475"/>
      <c r="DY264" s="19"/>
      <c r="DZ264" s="274"/>
      <c r="EA264" s="173"/>
      <c r="EB264" s="374">
        <v>0</v>
      </c>
      <c r="EC264" s="475"/>
      <c r="ED264" s="19"/>
      <c r="EE264" s="274"/>
      <c r="EF264" s="173"/>
      <c r="EG264" s="374">
        <v>0</v>
      </c>
      <c r="EH264" s="475"/>
      <c r="EI264" s="19"/>
      <c r="EJ264" s="274"/>
      <c r="EK264" s="173"/>
      <c r="EL264" s="374">
        <f>SUM(CD264:EG264)</f>
        <v>261563</v>
      </c>
      <c r="EM264" s="475"/>
      <c r="EN264" s="19"/>
      <c r="EO264" s="244"/>
      <c r="ER264" s="451"/>
      <c r="ES264" s="451"/>
    </row>
    <row r="265" spans="4:149" ht="12.75" customHeight="1" x14ac:dyDescent="0.2">
      <c r="D265" s="244" t="s">
        <v>346</v>
      </c>
      <c r="F265" s="82"/>
      <c r="G265" s="19">
        <v>16605</v>
      </c>
      <c r="H265" s="18"/>
      <c r="I265" s="19"/>
      <c r="J265" s="274"/>
      <c r="K265" s="82"/>
      <c r="L265" s="19">
        <v>0</v>
      </c>
      <c r="M265" s="18"/>
      <c r="N265" s="19"/>
      <c r="O265" s="274"/>
      <c r="P265" s="82"/>
      <c r="Q265" s="19">
        <v>0</v>
      </c>
      <c r="R265" s="18"/>
      <c r="S265" s="19"/>
      <c r="T265" s="274"/>
      <c r="U265" s="82"/>
      <c r="V265" s="19">
        <v>0</v>
      </c>
      <c r="W265" s="18"/>
      <c r="X265" s="19"/>
      <c r="Y265" s="274"/>
      <c r="Z265" s="82"/>
      <c r="AA265" s="19">
        <v>0</v>
      </c>
      <c r="AB265" s="18"/>
      <c r="AC265" s="19"/>
      <c r="AD265" s="274"/>
      <c r="AE265" s="82"/>
      <c r="AF265" s="19">
        <v>0</v>
      </c>
      <c r="AG265" s="18"/>
      <c r="AH265" s="19"/>
      <c r="AI265" s="274"/>
      <c r="AJ265" s="82"/>
      <c r="AK265" s="19">
        <v>0</v>
      </c>
      <c r="AL265" s="18"/>
      <c r="AM265" s="19"/>
      <c r="AN265" s="274"/>
      <c r="AO265" s="82"/>
      <c r="AP265" s="19">
        <v>0</v>
      </c>
      <c r="AQ265" s="18"/>
      <c r="AR265" s="19"/>
      <c r="AS265" s="274"/>
      <c r="AT265" s="274"/>
      <c r="AU265" s="19">
        <v>0</v>
      </c>
      <c r="AV265" s="18"/>
      <c r="AW265" s="19"/>
      <c r="AX265" s="274"/>
      <c r="AY265" s="274"/>
      <c r="AZ265" s="19">
        <v>0</v>
      </c>
      <c r="BA265" s="18"/>
      <c r="BB265" s="19"/>
      <c r="BC265" s="274"/>
      <c r="BD265" s="274"/>
      <c r="BE265" s="19">
        <v>0</v>
      </c>
      <c r="BF265" s="18"/>
      <c r="BG265" s="19"/>
      <c r="BH265" s="274"/>
      <c r="BI265" s="274"/>
      <c r="BJ265" s="19">
        <v>16605</v>
      </c>
      <c r="BK265" s="18"/>
      <c r="BL265" s="19"/>
      <c r="BM265" s="274"/>
      <c r="BN265" s="274"/>
      <c r="BO265" s="19">
        <v>0</v>
      </c>
      <c r="BP265" s="18"/>
      <c r="BQ265" s="19"/>
      <c r="BR265" s="274"/>
      <c r="BS265" s="274"/>
      <c r="BT265" s="19">
        <f>SUM(L265:BO265)</f>
        <v>16605</v>
      </c>
      <c r="BU265" s="18"/>
      <c r="BV265" s="19"/>
      <c r="BW265" s="274"/>
      <c r="BX265" s="274"/>
      <c r="BY265" s="19">
        <v>22625</v>
      </c>
      <c r="BZ265" s="18"/>
      <c r="CA265" s="19"/>
      <c r="CB265" s="274"/>
      <c r="CC265" s="82"/>
      <c r="CD265" s="19">
        <v>0</v>
      </c>
      <c r="CE265" s="18"/>
      <c r="CF265" s="19"/>
      <c r="CG265" s="274"/>
      <c r="CH265" s="82"/>
      <c r="CI265" s="19">
        <v>22625</v>
      </c>
      <c r="CJ265" s="18"/>
      <c r="CK265" s="19"/>
      <c r="CL265" s="274"/>
      <c r="CM265" s="82"/>
      <c r="CN265" s="19">
        <v>0</v>
      </c>
      <c r="CO265" s="18"/>
      <c r="CP265" s="19"/>
      <c r="CQ265" s="274"/>
      <c r="CR265" s="82"/>
      <c r="CS265" s="19">
        <v>0</v>
      </c>
      <c r="CT265" s="18"/>
      <c r="CU265" s="19"/>
      <c r="CV265" s="274"/>
      <c r="CW265" s="82"/>
      <c r="CX265" s="19">
        <v>0</v>
      </c>
      <c r="CY265" s="18"/>
      <c r="CZ265" s="19"/>
      <c r="DA265" s="274"/>
      <c r="DB265" s="82"/>
      <c r="DC265" s="19">
        <v>0</v>
      </c>
      <c r="DD265" s="18"/>
      <c r="DE265" s="19"/>
      <c r="DF265" s="274"/>
      <c r="DG265" s="82"/>
      <c r="DH265" s="19">
        <v>0</v>
      </c>
      <c r="DI265" s="18"/>
      <c r="DJ265" s="19"/>
      <c r="DK265" s="274"/>
      <c r="DL265" s="274"/>
      <c r="DM265" s="19">
        <v>0</v>
      </c>
      <c r="DN265" s="18"/>
      <c r="DO265" s="19"/>
      <c r="DP265" s="274"/>
      <c r="DQ265" s="274"/>
      <c r="DR265" s="19">
        <v>0</v>
      </c>
      <c r="DS265" s="18"/>
      <c r="DT265" s="19"/>
      <c r="DU265" s="274"/>
      <c r="DV265" s="274"/>
      <c r="DW265" s="19">
        <v>0</v>
      </c>
      <c r="DX265" s="18"/>
      <c r="DY265" s="19"/>
      <c r="DZ265" s="274"/>
      <c r="EA265" s="274"/>
      <c r="EB265" s="19">
        <v>0</v>
      </c>
      <c r="EC265" s="18"/>
      <c r="ED265" s="19"/>
      <c r="EE265" s="274"/>
      <c r="EF265" s="274"/>
      <c r="EG265" s="19">
        <v>0</v>
      </c>
      <c r="EH265" s="18"/>
      <c r="EI265" s="19"/>
      <c r="EJ265" s="274"/>
      <c r="EK265" s="274"/>
      <c r="EL265" s="19">
        <f>SUM(CD265:EG265)</f>
        <v>22625</v>
      </c>
      <c r="EM265" s="18"/>
      <c r="EN265" s="19"/>
      <c r="EO265" s="244"/>
      <c r="ER265" s="451"/>
      <c r="ES265" s="451"/>
    </row>
    <row r="266" spans="4:149" ht="12.75" customHeight="1" x14ac:dyDescent="0.2">
      <c r="D266" s="244" t="s">
        <v>347</v>
      </c>
      <c r="F266" s="276"/>
      <c r="G266" s="37">
        <v>0</v>
      </c>
      <c r="H266" s="36"/>
      <c r="I266" s="19"/>
      <c r="J266" s="274"/>
      <c r="K266" s="276"/>
      <c r="L266" s="37">
        <v>0</v>
      </c>
      <c r="M266" s="36"/>
      <c r="N266" s="19"/>
      <c r="O266" s="274"/>
      <c r="P266" s="276"/>
      <c r="Q266" s="37">
        <v>0</v>
      </c>
      <c r="R266" s="36"/>
      <c r="S266" s="19"/>
      <c r="T266" s="274"/>
      <c r="U266" s="276"/>
      <c r="V266" s="37">
        <v>0</v>
      </c>
      <c r="W266" s="36"/>
      <c r="X266" s="19"/>
      <c r="Y266" s="274"/>
      <c r="Z266" s="276"/>
      <c r="AA266" s="37">
        <v>0</v>
      </c>
      <c r="AB266" s="36"/>
      <c r="AC266" s="19"/>
      <c r="AD266" s="274"/>
      <c r="AE266" s="276"/>
      <c r="AF266" s="37">
        <v>0</v>
      </c>
      <c r="AG266" s="36"/>
      <c r="AH266" s="19"/>
      <c r="AI266" s="274"/>
      <c r="AJ266" s="276"/>
      <c r="AK266" s="37">
        <v>0</v>
      </c>
      <c r="AL266" s="36"/>
      <c r="AM266" s="19"/>
      <c r="AN266" s="274"/>
      <c r="AO266" s="276"/>
      <c r="AP266" s="37">
        <v>0</v>
      </c>
      <c r="AQ266" s="36"/>
      <c r="AR266" s="19"/>
      <c r="AS266" s="274"/>
      <c r="AT266" s="231"/>
      <c r="AU266" s="37">
        <v>0</v>
      </c>
      <c r="AV266" s="36"/>
      <c r="AW266" s="19"/>
      <c r="AX266" s="274"/>
      <c r="AY266" s="231"/>
      <c r="AZ266" s="37">
        <v>0</v>
      </c>
      <c r="BA266" s="36"/>
      <c r="BB266" s="19"/>
      <c r="BC266" s="274"/>
      <c r="BD266" s="231"/>
      <c r="BE266" s="37">
        <v>0</v>
      </c>
      <c r="BF266" s="36"/>
      <c r="BG266" s="19"/>
      <c r="BH266" s="274"/>
      <c r="BI266" s="231"/>
      <c r="BJ266" s="37">
        <v>0</v>
      </c>
      <c r="BK266" s="36"/>
      <c r="BL266" s="19"/>
      <c r="BM266" s="274"/>
      <c r="BN266" s="231"/>
      <c r="BO266" s="37">
        <v>0</v>
      </c>
      <c r="BP266" s="36"/>
      <c r="BQ266" s="19"/>
      <c r="BR266" s="274"/>
      <c r="BS266" s="231"/>
      <c r="BT266" s="37">
        <f>SUM(L266:BO266)</f>
        <v>0</v>
      </c>
      <c r="BU266" s="36"/>
      <c r="BV266" s="19"/>
      <c r="BW266" s="274"/>
      <c r="BX266" s="231"/>
      <c r="BY266" s="37">
        <v>0</v>
      </c>
      <c r="BZ266" s="36"/>
      <c r="CA266" s="19"/>
      <c r="CB266" s="274"/>
      <c r="CC266" s="276"/>
      <c r="CD266" s="37">
        <v>0</v>
      </c>
      <c r="CE266" s="36"/>
      <c r="CF266" s="19"/>
      <c r="CG266" s="274"/>
      <c r="CH266" s="276"/>
      <c r="CI266" s="37">
        <v>0</v>
      </c>
      <c r="CJ266" s="36"/>
      <c r="CK266" s="19"/>
      <c r="CL266" s="274"/>
      <c r="CM266" s="276"/>
      <c r="CN266" s="37">
        <v>0</v>
      </c>
      <c r="CO266" s="36"/>
      <c r="CP266" s="19"/>
      <c r="CQ266" s="274"/>
      <c r="CR266" s="276"/>
      <c r="CS266" s="37">
        <v>0</v>
      </c>
      <c r="CT266" s="36"/>
      <c r="CU266" s="19"/>
      <c r="CV266" s="274"/>
      <c r="CW266" s="276"/>
      <c r="CX266" s="37">
        <v>0</v>
      </c>
      <c r="CY266" s="36"/>
      <c r="CZ266" s="19"/>
      <c r="DA266" s="274"/>
      <c r="DB266" s="276"/>
      <c r="DC266" s="37">
        <v>0</v>
      </c>
      <c r="DD266" s="36"/>
      <c r="DE266" s="19"/>
      <c r="DF266" s="274"/>
      <c r="DG266" s="276"/>
      <c r="DH266" s="37">
        <v>0</v>
      </c>
      <c r="DI266" s="36"/>
      <c r="DJ266" s="19"/>
      <c r="DK266" s="274"/>
      <c r="DL266" s="231"/>
      <c r="DM266" s="37">
        <v>0</v>
      </c>
      <c r="DN266" s="36"/>
      <c r="DO266" s="19"/>
      <c r="DP266" s="274"/>
      <c r="DQ266" s="231"/>
      <c r="DR266" s="37">
        <v>0</v>
      </c>
      <c r="DS266" s="36"/>
      <c r="DT266" s="19"/>
      <c r="DU266" s="274"/>
      <c r="DV266" s="231"/>
      <c r="DW266" s="37">
        <v>0</v>
      </c>
      <c r="DX266" s="36"/>
      <c r="DY266" s="19"/>
      <c r="DZ266" s="274"/>
      <c r="EA266" s="231"/>
      <c r="EB266" s="37">
        <v>0</v>
      </c>
      <c r="EC266" s="36"/>
      <c r="ED266" s="19"/>
      <c r="EE266" s="274"/>
      <c r="EF266" s="231"/>
      <c r="EG266" s="37">
        <v>0</v>
      </c>
      <c r="EH266" s="36"/>
      <c r="EI266" s="19"/>
      <c r="EJ266" s="274"/>
      <c r="EK266" s="231"/>
      <c r="EL266" s="37">
        <f>SUM(CD266:EG266)</f>
        <v>0</v>
      </c>
      <c r="EM266" s="36"/>
      <c r="EN266" s="19"/>
      <c r="EO266" s="244"/>
      <c r="ER266" s="451"/>
      <c r="ES266" s="451"/>
    </row>
    <row r="267" spans="4:149" ht="12.75" customHeight="1" x14ac:dyDescent="0.2">
      <c r="D267" s="244"/>
      <c r="G267" s="19"/>
      <c r="H267" s="19"/>
      <c r="I267" s="19"/>
      <c r="J267" s="274"/>
      <c r="L267" s="19"/>
      <c r="M267" s="19"/>
      <c r="N267" s="19"/>
      <c r="O267" s="274"/>
      <c r="Q267" s="19"/>
      <c r="R267" s="19"/>
      <c r="S267" s="19"/>
      <c r="T267" s="274"/>
      <c r="V267" s="19"/>
      <c r="W267" s="19"/>
      <c r="X267" s="19"/>
      <c r="Y267" s="274"/>
      <c r="AA267" s="19"/>
      <c r="AB267" s="19"/>
      <c r="AC267" s="19"/>
      <c r="AD267" s="274"/>
      <c r="AF267" s="19"/>
      <c r="AG267" s="19"/>
      <c r="AH267" s="19"/>
      <c r="AI267" s="274"/>
      <c r="AK267" s="19"/>
      <c r="AL267" s="19"/>
      <c r="AM267" s="19"/>
      <c r="AN267" s="274"/>
      <c r="AP267" s="19"/>
      <c r="AQ267" s="19"/>
      <c r="AR267" s="19"/>
      <c r="AS267" s="274"/>
      <c r="AT267" s="19"/>
      <c r="AU267" s="19"/>
      <c r="AV267" s="19"/>
      <c r="AW267" s="19"/>
      <c r="AX267" s="274"/>
      <c r="AY267" s="19"/>
      <c r="AZ267" s="19"/>
      <c r="BA267" s="19"/>
      <c r="BB267" s="19"/>
      <c r="BC267" s="274"/>
      <c r="BD267" s="19"/>
      <c r="BE267" s="19"/>
      <c r="BF267" s="19"/>
      <c r="BG267" s="19"/>
      <c r="BH267" s="274"/>
      <c r="BI267" s="19"/>
      <c r="BJ267" s="19"/>
      <c r="BK267" s="19"/>
      <c r="BL267" s="19"/>
      <c r="BM267" s="274"/>
      <c r="BN267" s="19"/>
      <c r="BO267" s="19"/>
      <c r="BP267" s="19"/>
      <c r="BQ267" s="19"/>
      <c r="BR267" s="274"/>
      <c r="BS267" s="19"/>
      <c r="BT267" s="19"/>
      <c r="BU267" s="19"/>
      <c r="BV267" s="19"/>
      <c r="BW267" s="274"/>
      <c r="BX267" s="19"/>
      <c r="BY267" s="19"/>
      <c r="BZ267" s="19"/>
      <c r="CA267" s="19"/>
      <c r="CB267" s="274"/>
      <c r="CD267" s="19"/>
      <c r="CE267" s="19"/>
      <c r="CF267" s="19"/>
      <c r="CG267" s="274"/>
      <c r="CI267" s="19"/>
      <c r="CJ267" s="19"/>
      <c r="CK267" s="19"/>
      <c r="CL267" s="274"/>
      <c r="CN267" s="19"/>
      <c r="CO267" s="19"/>
      <c r="CP267" s="19"/>
      <c r="CQ267" s="274"/>
      <c r="CS267" s="19"/>
      <c r="CT267" s="19"/>
      <c r="CU267" s="19"/>
      <c r="CV267" s="274"/>
      <c r="CX267" s="19"/>
      <c r="CY267" s="19"/>
      <c r="CZ267" s="19"/>
      <c r="DA267" s="274"/>
      <c r="DC267" s="19"/>
      <c r="DD267" s="19"/>
      <c r="DE267" s="19"/>
      <c r="DF267" s="274"/>
      <c r="DH267" s="19"/>
      <c r="DI267" s="19"/>
      <c r="DJ267" s="19"/>
      <c r="DK267" s="274"/>
      <c r="DL267" s="19"/>
      <c r="DM267" s="19"/>
      <c r="DN267" s="19"/>
      <c r="DO267" s="19"/>
      <c r="DP267" s="274"/>
      <c r="DQ267" s="19"/>
      <c r="DR267" s="19"/>
      <c r="DS267" s="19"/>
      <c r="DT267" s="19"/>
      <c r="DU267" s="274"/>
      <c r="DV267" s="19"/>
      <c r="DW267" s="19"/>
      <c r="DX267" s="19"/>
      <c r="DY267" s="19"/>
      <c r="DZ267" s="274"/>
      <c r="EA267" s="19"/>
      <c r="EB267" s="19"/>
      <c r="EC267" s="19"/>
      <c r="ED267" s="19"/>
      <c r="EE267" s="274"/>
      <c r="EF267" s="19"/>
      <c r="EG267" s="19"/>
      <c r="EH267" s="19"/>
      <c r="EI267" s="19"/>
      <c r="EJ267" s="274"/>
      <c r="EK267" s="19"/>
      <c r="EL267" s="19"/>
      <c r="EM267" s="19"/>
      <c r="EN267" s="19"/>
      <c r="EO267" s="244"/>
      <c r="ER267" s="451"/>
      <c r="ES267" s="451"/>
    </row>
    <row r="268" spans="4:149" ht="12.75" customHeight="1" x14ac:dyDescent="0.2">
      <c r="D268" s="244" t="s">
        <v>402</v>
      </c>
      <c r="E268" s="202"/>
      <c r="G268" s="19">
        <f>SUM(G269:G271)</f>
        <v>187871</v>
      </c>
      <c r="H268" s="19"/>
      <c r="I268" s="19"/>
      <c r="J268" s="274"/>
      <c r="L268" s="19">
        <f>SUM(L269:L271)</f>
        <v>0</v>
      </c>
      <c r="M268" s="19"/>
      <c r="N268" s="19"/>
      <c r="O268" s="274"/>
      <c r="Q268" s="19">
        <f>SUM(Q269:Q271)</f>
        <v>0</v>
      </c>
      <c r="R268" s="19"/>
      <c r="S268" s="19"/>
      <c r="T268" s="274"/>
      <c r="V268" s="19">
        <f>SUM(V269:V271)</f>
        <v>0</v>
      </c>
      <c r="W268" s="19"/>
      <c r="X268" s="19"/>
      <c r="Y268" s="274"/>
      <c r="AA268" s="19">
        <f>SUM(AA269:AA271)</f>
        <v>0</v>
      </c>
      <c r="AB268" s="19"/>
      <c r="AC268" s="19"/>
      <c r="AD268" s="274"/>
      <c r="AF268" s="19">
        <f>SUM(AF269:AF271)</f>
        <v>0</v>
      </c>
      <c r="AG268" s="19"/>
      <c r="AH268" s="19"/>
      <c r="AI268" s="274"/>
      <c r="AK268" s="19">
        <f>SUM(AK269:AK271)</f>
        <v>0</v>
      </c>
      <c r="AL268" s="19"/>
      <c r="AM268" s="19"/>
      <c r="AN268" s="274"/>
      <c r="AP268" s="19">
        <f>SUM(AP269:AP271)</f>
        <v>0</v>
      </c>
      <c r="AQ268" s="19"/>
      <c r="AR268" s="19"/>
      <c r="AS268" s="274"/>
      <c r="AU268" s="19">
        <f>SUM(AU269:AU271)</f>
        <v>0</v>
      </c>
      <c r="AV268" s="19"/>
      <c r="AW268" s="19"/>
      <c r="AX268" s="274"/>
      <c r="AZ268" s="19">
        <f>SUM(AZ269:AZ271)</f>
        <v>0</v>
      </c>
      <c r="BA268" s="19"/>
      <c r="BB268" s="19"/>
      <c r="BC268" s="274"/>
      <c r="BE268" s="19">
        <f>SUM(BE269:BE271)</f>
        <v>0</v>
      </c>
      <c r="BF268" s="19"/>
      <c r="BG268" s="19"/>
      <c r="BH268" s="274"/>
      <c r="BJ268" s="19">
        <f>SUM(BJ269:BJ271)</f>
        <v>800109</v>
      </c>
      <c r="BK268" s="19"/>
      <c r="BL268" s="19"/>
      <c r="BM268" s="274"/>
      <c r="BO268" s="19">
        <f>SUM(BO269:BO271)</f>
        <v>0</v>
      </c>
      <c r="BP268" s="19"/>
      <c r="BQ268" s="19"/>
      <c r="BR268" s="274"/>
      <c r="BT268" s="19">
        <f>SUM(BT269:BT271)</f>
        <v>800109</v>
      </c>
      <c r="BU268" s="19"/>
      <c r="BV268" s="19"/>
      <c r="BW268" s="274"/>
      <c r="BY268" s="19">
        <f>SUM(BY269:BY271)</f>
        <v>1026241</v>
      </c>
      <c r="BZ268" s="19"/>
      <c r="CA268" s="19"/>
      <c r="CB268" s="274"/>
      <c r="CD268" s="19">
        <f>SUM(CD269:CD271)</f>
        <v>0</v>
      </c>
      <c r="CE268" s="19"/>
      <c r="CF268" s="19"/>
      <c r="CG268" s="274"/>
      <c r="CI268" s="19">
        <f>SUM(CI269:CI271)</f>
        <v>1026241</v>
      </c>
      <c r="CJ268" s="19"/>
      <c r="CK268" s="19"/>
      <c r="CL268" s="274"/>
      <c r="CN268" s="19">
        <f>SUM(CN269:CN271)</f>
        <v>0</v>
      </c>
      <c r="CO268" s="19"/>
      <c r="CP268" s="19"/>
      <c r="CQ268" s="274"/>
      <c r="CS268" s="19">
        <f>SUM(CS269:CS271)</f>
        <v>0</v>
      </c>
      <c r="CT268" s="19"/>
      <c r="CU268" s="19"/>
      <c r="CV268" s="274"/>
      <c r="CX268" s="19">
        <f>SUM(CX269:CX271)</f>
        <v>0</v>
      </c>
      <c r="CY268" s="19"/>
      <c r="CZ268" s="19"/>
      <c r="DA268" s="274"/>
      <c r="DC268" s="19">
        <f>SUM(DC269:DC271)</f>
        <v>0</v>
      </c>
      <c r="DD268" s="19"/>
      <c r="DE268" s="19"/>
      <c r="DF268" s="274"/>
      <c r="DH268" s="19">
        <f>SUM(DH269:DH271)</f>
        <v>0</v>
      </c>
      <c r="DI268" s="19"/>
      <c r="DJ268" s="19"/>
      <c r="DK268" s="274"/>
      <c r="DM268" s="19">
        <f>SUM(DM269:DM271)</f>
        <v>0</v>
      </c>
      <c r="DN268" s="19"/>
      <c r="DO268" s="19"/>
      <c r="DP268" s="274"/>
      <c r="DR268" s="19">
        <f>SUM(DR269:DR271)</f>
        <v>0</v>
      </c>
      <c r="DS268" s="19"/>
      <c r="DT268" s="19"/>
      <c r="DU268" s="274"/>
      <c r="DW268" s="19">
        <f>SUM(DW269:DW271)</f>
        <v>0</v>
      </c>
      <c r="DX268" s="19"/>
      <c r="DY268" s="19"/>
      <c r="DZ268" s="274"/>
      <c r="EB268" s="19">
        <f>SUM(EB269:EB271)</f>
        <v>0</v>
      </c>
      <c r="EC268" s="19"/>
      <c r="ED268" s="19"/>
      <c r="EE268" s="274"/>
      <c r="EG268" s="19">
        <f>SUM(EG269:EG271)</f>
        <v>0</v>
      </c>
      <c r="EH268" s="19"/>
      <c r="EI268" s="19"/>
      <c r="EJ268" s="274"/>
      <c r="EL268" s="19">
        <f>SUM(EL269:EL271)</f>
        <v>1026241</v>
      </c>
      <c r="EM268" s="19"/>
      <c r="EN268" s="19"/>
      <c r="EO268" s="244"/>
      <c r="ER268" s="451"/>
      <c r="ES268" s="451"/>
    </row>
    <row r="269" spans="4:149" ht="12.75" customHeight="1" x14ac:dyDescent="0.2">
      <c r="D269" s="244" t="s">
        <v>344</v>
      </c>
      <c r="E269" s="202"/>
      <c r="F269" s="112"/>
      <c r="G269" s="374">
        <f>187871-17993</f>
        <v>169878</v>
      </c>
      <c r="H269" s="475"/>
      <c r="I269" s="19"/>
      <c r="J269" s="274"/>
      <c r="K269" s="112"/>
      <c r="L269" s="374">
        <v>0</v>
      </c>
      <c r="M269" s="475"/>
      <c r="N269" s="19"/>
      <c r="O269" s="274"/>
      <c r="P269" s="112"/>
      <c r="Q269" s="374">
        <v>0</v>
      </c>
      <c r="R269" s="475"/>
      <c r="S269" s="19"/>
      <c r="T269" s="274"/>
      <c r="U269" s="112"/>
      <c r="V269" s="374">
        <v>0</v>
      </c>
      <c r="W269" s="475"/>
      <c r="X269" s="19"/>
      <c r="Y269" s="274"/>
      <c r="Z269" s="112"/>
      <c r="AA269" s="374">
        <v>0</v>
      </c>
      <c r="AB269" s="475"/>
      <c r="AC269" s="19"/>
      <c r="AD269" s="274"/>
      <c r="AE269" s="112"/>
      <c r="AF269" s="374">
        <v>0</v>
      </c>
      <c r="AG269" s="475"/>
      <c r="AH269" s="19"/>
      <c r="AI269" s="274"/>
      <c r="AJ269" s="112"/>
      <c r="AK269" s="374">
        <v>0</v>
      </c>
      <c r="AL269" s="475"/>
      <c r="AM269" s="19"/>
      <c r="AN269" s="274"/>
      <c r="AO269" s="112"/>
      <c r="AP269" s="374">
        <v>0</v>
      </c>
      <c r="AQ269" s="475"/>
      <c r="AR269" s="19"/>
      <c r="AS269" s="274"/>
      <c r="AT269" s="112"/>
      <c r="AU269" s="374">
        <v>0</v>
      </c>
      <c r="AV269" s="475"/>
      <c r="AW269" s="19"/>
      <c r="AX269" s="274"/>
      <c r="AY269" s="112"/>
      <c r="AZ269" s="374">
        <v>0</v>
      </c>
      <c r="BA269" s="475"/>
      <c r="BB269" s="19"/>
      <c r="BC269" s="274"/>
      <c r="BD269" s="112"/>
      <c r="BE269" s="374">
        <v>0</v>
      </c>
      <c r="BF269" s="475"/>
      <c r="BG269" s="19"/>
      <c r="BH269" s="274"/>
      <c r="BI269" s="112"/>
      <c r="BJ269" s="374">
        <f>800109-70223</f>
        <v>729886</v>
      </c>
      <c r="BK269" s="475"/>
      <c r="BL269" s="19"/>
      <c r="BM269" s="274"/>
      <c r="BN269" s="112"/>
      <c r="BO269" s="374">
        <v>0</v>
      </c>
      <c r="BP269" s="475"/>
      <c r="BQ269" s="19"/>
      <c r="BR269" s="274"/>
      <c r="BS269" s="112"/>
      <c r="BT269" s="374">
        <f>SUM(L269:BO269)</f>
        <v>729886</v>
      </c>
      <c r="BU269" s="475"/>
      <c r="BV269" s="19"/>
      <c r="BW269" s="274"/>
      <c r="BX269" s="112"/>
      <c r="BY269" s="374">
        <v>938161</v>
      </c>
      <c r="BZ269" s="475"/>
      <c r="CA269" s="19"/>
      <c r="CB269" s="274"/>
      <c r="CC269" s="112"/>
      <c r="CD269" s="374">
        <v>0</v>
      </c>
      <c r="CE269" s="475"/>
      <c r="CF269" s="19"/>
      <c r="CG269" s="274"/>
      <c r="CH269" s="112"/>
      <c r="CI269" s="374">
        <f>1026241-88080</f>
        <v>938161</v>
      </c>
      <c r="CJ269" s="475"/>
      <c r="CK269" s="19"/>
      <c r="CL269" s="274"/>
      <c r="CM269" s="112"/>
      <c r="CN269" s="374">
        <v>0</v>
      </c>
      <c r="CO269" s="475"/>
      <c r="CP269" s="19"/>
      <c r="CQ269" s="274"/>
      <c r="CR269" s="112"/>
      <c r="CS269" s="374">
        <v>0</v>
      </c>
      <c r="CT269" s="475"/>
      <c r="CU269" s="19"/>
      <c r="CV269" s="274"/>
      <c r="CW269" s="112"/>
      <c r="CX269" s="374">
        <v>0</v>
      </c>
      <c r="CY269" s="475"/>
      <c r="CZ269" s="19"/>
      <c r="DA269" s="274"/>
      <c r="DB269" s="112"/>
      <c r="DC269" s="374">
        <v>0</v>
      </c>
      <c r="DD269" s="475"/>
      <c r="DE269" s="19"/>
      <c r="DF269" s="274"/>
      <c r="DG269" s="112"/>
      <c r="DH269" s="374">
        <v>0</v>
      </c>
      <c r="DI269" s="475"/>
      <c r="DJ269" s="19"/>
      <c r="DK269" s="274"/>
      <c r="DL269" s="112"/>
      <c r="DM269" s="374">
        <v>0</v>
      </c>
      <c r="DN269" s="475"/>
      <c r="DO269" s="19"/>
      <c r="DP269" s="274"/>
      <c r="DQ269" s="112"/>
      <c r="DR269" s="374">
        <v>0</v>
      </c>
      <c r="DS269" s="475"/>
      <c r="DT269" s="19"/>
      <c r="DU269" s="274"/>
      <c r="DV269" s="112"/>
      <c r="DW269" s="374">
        <v>0</v>
      </c>
      <c r="DX269" s="475"/>
      <c r="DY269" s="19"/>
      <c r="DZ269" s="274"/>
      <c r="EA269" s="112"/>
      <c r="EB269" s="374">
        <v>0</v>
      </c>
      <c r="EC269" s="475"/>
      <c r="ED269" s="19"/>
      <c r="EE269" s="274"/>
      <c r="EF269" s="112"/>
      <c r="EG269" s="374">
        <v>0</v>
      </c>
      <c r="EH269" s="475"/>
      <c r="EI269" s="19"/>
      <c r="EJ269" s="274"/>
      <c r="EK269" s="112"/>
      <c r="EL269" s="374">
        <f>SUM(CD269:EG269)</f>
        <v>938161</v>
      </c>
      <c r="EM269" s="475"/>
      <c r="EN269" s="19"/>
      <c r="EO269" s="244"/>
      <c r="ER269" s="451"/>
      <c r="ES269" s="451"/>
    </row>
    <row r="270" spans="4:149" ht="12.75" customHeight="1" x14ac:dyDescent="0.2">
      <c r="D270" s="244" t="s">
        <v>346</v>
      </c>
      <c r="E270" s="202"/>
      <c r="F270" s="82"/>
      <c r="G270" s="19">
        <v>17993</v>
      </c>
      <c r="H270" s="18"/>
      <c r="I270" s="19"/>
      <c r="J270" s="274"/>
      <c r="K270" s="82"/>
      <c r="L270" s="19">
        <v>0</v>
      </c>
      <c r="M270" s="18"/>
      <c r="N270" s="19"/>
      <c r="O270" s="274"/>
      <c r="P270" s="82"/>
      <c r="Q270" s="19">
        <v>0</v>
      </c>
      <c r="R270" s="18"/>
      <c r="S270" s="19"/>
      <c r="T270" s="274"/>
      <c r="U270" s="82"/>
      <c r="V270" s="19">
        <v>0</v>
      </c>
      <c r="W270" s="18"/>
      <c r="X270" s="19"/>
      <c r="Y270" s="274"/>
      <c r="Z270" s="82"/>
      <c r="AA270" s="19">
        <v>0</v>
      </c>
      <c r="AB270" s="18"/>
      <c r="AC270" s="19"/>
      <c r="AD270" s="274"/>
      <c r="AE270" s="82"/>
      <c r="AF270" s="19">
        <v>0</v>
      </c>
      <c r="AG270" s="18"/>
      <c r="AH270" s="19"/>
      <c r="AI270" s="274"/>
      <c r="AJ270" s="82"/>
      <c r="AK270" s="19">
        <v>0</v>
      </c>
      <c r="AL270" s="18"/>
      <c r="AM270" s="19"/>
      <c r="AN270" s="274"/>
      <c r="AO270" s="82"/>
      <c r="AP270" s="19">
        <v>0</v>
      </c>
      <c r="AQ270" s="18"/>
      <c r="AR270" s="19"/>
      <c r="AS270" s="274"/>
      <c r="AT270" s="82"/>
      <c r="AU270" s="19">
        <v>0</v>
      </c>
      <c r="AV270" s="18"/>
      <c r="AW270" s="19"/>
      <c r="AX270" s="274"/>
      <c r="AY270" s="82"/>
      <c r="AZ270" s="19">
        <v>0</v>
      </c>
      <c r="BA270" s="18"/>
      <c r="BB270" s="19"/>
      <c r="BC270" s="274"/>
      <c r="BD270" s="82"/>
      <c r="BE270" s="19">
        <v>0</v>
      </c>
      <c r="BF270" s="18"/>
      <c r="BG270" s="19"/>
      <c r="BH270" s="274"/>
      <c r="BI270" s="82"/>
      <c r="BJ270" s="19">
        <v>70223</v>
      </c>
      <c r="BK270" s="18"/>
      <c r="BL270" s="19"/>
      <c r="BM270" s="274"/>
      <c r="BN270" s="82"/>
      <c r="BO270" s="19">
        <v>0</v>
      </c>
      <c r="BP270" s="18"/>
      <c r="BQ270" s="19"/>
      <c r="BR270" s="274"/>
      <c r="BS270" s="82"/>
      <c r="BT270" s="19">
        <f>SUM(L270:BO270)</f>
        <v>70223</v>
      </c>
      <c r="BU270" s="18"/>
      <c r="BV270" s="19"/>
      <c r="BW270" s="274"/>
      <c r="BX270" s="82"/>
      <c r="BY270" s="19">
        <v>88080</v>
      </c>
      <c r="BZ270" s="18"/>
      <c r="CA270" s="19"/>
      <c r="CB270" s="274"/>
      <c r="CC270" s="82"/>
      <c r="CD270" s="19">
        <v>0</v>
      </c>
      <c r="CE270" s="18"/>
      <c r="CF270" s="19"/>
      <c r="CG270" s="274"/>
      <c r="CH270" s="82"/>
      <c r="CI270" s="19">
        <v>88080</v>
      </c>
      <c r="CJ270" s="18"/>
      <c r="CK270" s="19"/>
      <c r="CL270" s="274"/>
      <c r="CM270" s="82"/>
      <c r="CN270" s="19">
        <v>0</v>
      </c>
      <c r="CO270" s="18"/>
      <c r="CP270" s="19"/>
      <c r="CQ270" s="274"/>
      <c r="CR270" s="82"/>
      <c r="CS270" s="19">
        <v>0</v>
      </c>
      <c r="CT270" s="18"/>
      <c r="CU270" s="19"/>
      <c r="CV270" s="274"/>
      <c r="CW270" s="82"/>
      <c r="CX270" s="19">
        <v>0</v>
      </c>
      <c r="CY270" s="18"/>
      <c r="CZ270" s="19"/>
      <c r="DA270" s="274"/>
      <c r="DB270" s="82"/>
      <c r="DC270" s="19">
        <v>0</v>
      </c>
      <c r="DD270" s="18"/>
      <c r="DE270" s="19"/>
      <c r="DF270" s="274"/>
      <c r="DG270" s="82"/>
      <c r="DH270" s="19">
        <v>0</v>
      </c>
      <c r="DI270" s="18"/>
      <c r="DJ270" s="19"/>
      <c r="DK270" s="274"/>
      <c r="DL270" s="82"/>
      <c r="DM270" s="19">
        <v>0</v>
      </c>
      <c r="DN270" s="18"/>
      <c r="DO270" s="19"/>
      <c r="DP270" s="274"/>
      <c r="DQ270" s="82"/>
      <c r="DR270" s="19">
        <v>0</v>
      </c>
      <c r="DS270" s="18"/>
      <c r="DT270" s="19"/>
      <c r="DU270" s="274"/>
      <c r="DV270" s="82"/>
      <c r="DW270" s="19">
        <v>0</v>
      </c>
      <c r="DX270" s="18"/>
      <c r="DY270" s="19"/>
      <c r="DZ270" s="274"/>
      <c r="EA270" s="82"/>
      <c r="EB270" s="19">
        <v>0</v>
      </c>
      <c r="EC270" s="18"/>
      <c r="ED270" s="19"/>
      <c r="EE270" s="274"/>
      <c r="EF270" s="82"/>
      <c r="EG270" s="19">
        <v>0</v>
      </c>
      <c r="EH270" s="18"/>
      <c r="EI270" s="19"/>
      <c r="EJ270" s="274"/>
      <c r="EK270" s="82"/>
      <c r="EL270" s="19">
        <f>SUM(CD270:EG270)</f>
        <v>88080</v>
      </c>
      <c r="EM270" s="18"/>
      <c r="EN270" s="19"/>
      <c r="EO270" s="244"/>
      <c r="ER270" s="451"/>
      <c r="ES270" s="451"/>
    </row>
    <row r="271" spans="4:149" ht="12.75" customHeight="1" x14ac:dyDescent="0.2">
      <c r="D271" s="244" t="s">
        <v>347</v>
      </c>
      <c r="E271" s="202"/>
      <c r="F271" s="276"/>
      <c r="G271" s="37">
        <v>0</v>
      </c>
      <c r="H271" s="36"/>
      <c r="I271" s="19"/>
      <c r="J271" s="274"/>
      <c r="K271" s="276"/>
      <c r="L271" s="37">
        <v>0</v>
      </c>
      <c r="M271" s="36"/>
      <c r="N271" s="19"/>
      <c r="O271" s="274"/>
      <c r="P271" s="276"/>
      <c r="Q271" s="37">
        <v>0</v>
      </c>
      <c r="R271" s="36"/>
      <c r="S271" s="19"/>
      <c r="T271" s="274"/>
      <c r="U271" s="276"/>
      <c r="V271" s="37">
        <v>0</v>
      </c>
      <c r="W271" s="36"/>
      <c r="X271" s="19"/>
      <c r="Y271" s="274"/>
      <c r="Z271" s="276"/>
      <c r="AA271" s="37">
        <v>0</v>
      </c>
      <c r="AB271" s="36"/>
      <c r="AC271" s="19"/>
      <c r="AD271" s="274"/>
      <c r="AE271" s="276"/>
      <c r="AF271" s="37">
        <v>0</v>
      </c>
      <c r="AG271" s="36"/>
      <c r="AH271" s="19"/>
      <c r="AI271" s="274"/>
      <c r="AJ271" s="276"/>
      <c r="AK271" s="37">
        <v>0</v>
      </c>
      <c r="AL271" s="36"/>
      <c r="AM271" s="19"/>
      <c r="AN271" s="274"/>
      <c r="AO271" s="276"/>
      <c r="AP271" s="37">
        <v>0</v>
      </c>
      <c r="AQ271" s="36"/>
      <c r="AR271" s="19"/>
      <c r="AS271" s="274"/>
      <c r="AT271" s="276"/>
      <c r="AU271" s="37">
        <v>0</v>
      </c>
      <c r="AV271" s="36"/>
      <c r="AW271" s="19"/>
      <c r="AX271" s="274"/>
      <c r="AY271" s="276"/>
      <c r="AZ271" s="37">
        <v>0</v>
      </c>
      <c r="BA271" s="36"/>
      <c r="BB271" s="19"/>
      <c r="BC271" s="274"/>
      <c r="BD271" s="276"/>
      <c r="BE271" s="37">
        <v>0</v>
      </c>
      <c r="BF271" s="36"/>
      <c r="BG271" s="19"/>
      <c r="BH271" s="274"/>
      <c r="BI271" s="276"/>
      <c r="BJ271" s="37">
        <v>0</v>
      </c>
      <c r="BK271" s="36"/>
      <c r="BL271" s="19"/>
      <c r="BM271" s="274"/>
      <c r="BN271" s="276"/>
      <c r="BO271" s="37">
        <v>0</v>
      </c>
      <c r="BP271" s="36"/>
      <c r="BQ271" s="19"/>
      <c r="BR271" s="274"/>
      <c r="BS271" s="276"/>
      <c r="BT271" s="37">
        <f>SUM(L271:BO271)</f>
        <v>0</v>
      </c>
      <c r="BU271" s="36"/>
      <c r="BV271" s="19"/>
      <c r="BW271" s="274"/>
      <c r="BX271" s="276"/>
      <c r="BY271" s="37">
        <v>0</v>
      </c>
      <c r="BZ271" s="36"/>
      <c r="CA271" s="19"/>
      <c r="CB271" s="274"/>
      <c r="CC271" s="276"/>
      <c r="CD271" s="37">
        <v>0</v>
      </c>
      <c r="CE271" s="36"/>
      <c r="CF271" s="19"/>
      <c r="CG271" s="274"/>
      <c r="CH271" s="276"/>
      <c r="CI271" s="37">
        <v>0</v>
      </c>
      <c r="CJ271" s="36"/>
      <c r="CK271" s="19"/>
      <c r="CL271" s="274"/>
      <c r="CM271" s="276"/>
      <c r="CN271" s="37">
        <v>0</v>
      </c>
      <c r="CO271" s="36"/>
      <c r="CP271" s="19"/>
      <c r="CQ271" s="274"/>
      <c r="CR271" s="276"/>
      <c r="CS271" s="37">
        <v>0</v>
      </c>
      <c r="CT271" s="36"/>
      <c r="CU271" s="19"/>
      <c r="CV271" s="274"/>
      <c r="CW271" s="276"/>
      <c r="CX271" s="37">
        <v>0</v>
      </c>
      <c r="CY271" s="36"/>
      <c r="CZ271" s="19"/>
      <c r="DA271" s="274"/>
      <c r="DB271" s="276"/>
      <c r="DC271" s="37">
        <v>0</v>
      </c>
      <c r="DD271" s="36"/>
      <c r="DE271" s="19"/>
      <c r="DF271" s="274"/>
      <c r="DG271" s="276"/>
      <c r="DH271" s="37">
        <v>0</v>
      </c>
      <c r="DI271" s="36"/>
      <c r="DJ271" s="19"/>
      <c r="DK271" s="274"/>
      <c r="DL271" s="276"/>
      <c r="DM271" s="37">
        <v>0</v>
      </c>
      <c r="DN271" s="36"/>
      <c r="DO271" s="19"/>
      <c r="DP271" s="274"/>
      <c r="DQ271" s="276"/>
      <c r="DR271" s="37">
        <v>0</v>
      </c>
      <c r="DS271" s="36"/>
      <c r="DT271" s="19"/>
      <c r="DU271" s="274"/>
      <c r="DV271" s="276"/>
      <c r="DW271" s="37">
        <v>0</v>
      </c>
      <c r="DX271" s="36"/>
      <c r="DY271" s="19"/>
      <c r="DZ271" s="274"/>
      <c r="EA271" s="276"/>
      <c r="EB271" s="37">
        <v>0</v>
      </c>
      <c r="EC271" s="36"/>
      <c r="ED271" s="19"/>
      <c r="EE271" s="274"/>
      <c r="EF271" s="276"/>
      <c r="EG271" s="37">
        <v>0</v>
      </c>
      <c r="EH271" s="36"/>
      <c r="EI271" s="19"/>
      <c r="EJ271" s="274"/>
      <c r="EK271" s="276"/>
      <c r="EL271" s="37">
        <f>SUM(CD271:EG271)</f>
        <v>0</v>
      </c>
      <c r="EM271" s="36"/>
      <c r="EN271" s="19"/>
      <c r="EO271" s="244"/>
      <c r="ER271" s="451"/>
      <c r="ES271" s="451"/>
    </row>
    <row r="272" spans="4:149" ht="12.75" customHeight="1" x14ac:dyDescent="0.2">
      <c r="D272" s="244"/>
      <c r="E272" s="202"/>
      <c r="G272" s="19"/>
      <c r="H272" s="19"/>
      <c r="I272" s="19"/>
      <c r="J272" s="274"/>
      <c r="L272" s="19"/>
      <c r="M272" s="19"/>
      <c r="N272" s="19"/>
      <c r="O272" s="274"/>
      <c r="Q272" s="19"/>
      <c r="R272" s="19"/>
      <c r="S272" s="19"/>
      <c r="T272" s="274"/>
      <c r="V272" s="19"/>
      <c r="W272" s="19"/>
      <c r="X272" s="19"/>
      <c r="Y272" s="274"/>
      <c r="AA272" s="19"/>
      <c r="AB272" s="19"/>
      <c r="AC272" s="19"/>
      <c r="AD272" s="274"/>
      <c r="AF272" s="19"/>
      <c r="AG272" s="19"/>
      <c r="AH272" s="19"/>
      <c r="AI272" s="274"/>
      <c r="AK272" s="19"/>
      <c r="AL272" s="19"/>
      <c r="AM272" s="19"/>
      <c r="AN272" s="274"/>
      <c r="AP272" s="19"/>
      <c r="AQ272" s="19"/>
      <c r="AR272" s="19"/>
      <c r="AS272" s="274"/>
      <c r="AU272" s="19"/>
      <c r="AV272" s="19"/>
      <c r="AW272" s="19"/>
      <c r="AX272" s="274"/>
      <c r="AZ272" s="19"/>
      <c r="BA272" s="19"/>
      <c r="BB272" s="19"/>
      <c r="BC272" s="274"/>
      <c r="BE272" s="19"/>
      <c r="BF272" s="19"/>
      <c r="BG272" s="19"/>
      <c r="BH272" s="274"/>
      <c r="BJ272" s="19"/>
      <c r="BK272" s="19"/>
      <c r="BL272" s="19"/>
      <c r="BM272" s="274"/>
      <c r="BO272" s="19"/>
      <c r="BP272" s="19"/>
      <c r="BQ272" s="19"/>
      <c r="BR272" s="274"/>
      <c r="BT272" s="19"/>
      <c r="BU272" s="19"/>
      <c r="BV272" s="19"/>
      <c r="BW272" s="274"/>
      <c r="BY272" s="19"/>
      <c r="BZ272" s="19"/>
      <c r="CA272" s="19"/>
      <c r="CB272" s="274"/>
      <c r="CD272" s="19"/>
      <c r="CE272" s="19"/>
      <c r="CF272" s="19"/>
      <c r="CG272" s="274"/>
      <c r="CI272" s="19"/>
      <c r="CJ272" s="19"/>
      <c r="CK272" s="19"/>
      <c r="CL272" s="274"/>
      <c r="CN272" s="19"/>
      <c r="CO272" s="19"/>
      <c r="CP272" s="19"/>
      <c r="CQ272" s="274"/>
      <c r="CS272" s="19"/>
      <c r="CT272" s="19"/>
      <c r="CU272" s="19"/>
      <c r="CV272" s="274"/>
      <c r="CX272" s="19"/>
      <c r="CY272" s="19"/>
      <c r="CZ272" s="19"/>
      <c r="DA272" s="274"/>
      <c r="DC272" s="19"/>
      <c r="DD272" s="19"/>
      <c r="DE272" s="19"/>
      <c r="DF272" s="274"/>
      <c r="DH272" s="19"/>
      <c r="DI272" s="19"/>
      <c r="DJ272" s="19"/>
      <c r="DK272" s="274"/>
      <c r="DM272" s="19"/>
      <c r="DN272" s="19"/>
      <c r="DO272" s="19"/>
      <c r="DP272" s="274"/>
      <c r="DR272" s="19"/>
      <c r="DS272" s="19"/>
      <c r="DT272" s="19"/>
      <c r="DU272" s="274"/>
      <c r="DW272" s="19"/>
      <c r="DX272" s="19"/>
      <c r="DY272" s="19"/>
      <c r="DZ272" s="274"/>
      <c r="EB272" s="19"/>
      <c r="EC272" s="19"/>
      <c r="ED272" s="19"/>
      <c r="EE272" s="274"/>
      <c r="EG272" s="19"/>
      <c r="EH272" s="19"/>
      <c r="EI272" s="19"/>
      <c r="EJ272" s="274"/>
      <c r="EL272" s="19"/>
      <c r="EM272" s="19"/>
      <c r="EN272" s="19"/>
      <c r="EO272" s="244"/>
      <c r="ER272" s="451"/>
      <c r="ES272" s="451"/>
    </row>
    <row r="273" spans="4:149" ht="12.75" customHeight="1" x14ac:dyDescent="0.2">
      <c r="D273" s="244" t="s">
        <v>403</v>
      </c>
      <c r="G273" s="19">
        <f>SUM(G274:G276)</f>
        <v>0</v>
      </c>
      <c r="H273" s="19"/>
      <c r="I273" s="19"/>
      <c r="J273" s="274"/>
      <c r="K273" s="19"/>
      <c r="L273" s="19">
        <f>SUM(L274:L276)</f>
        <v>0</v>
      </c>
      <c r="M273" s="19"/>
      <c r="N273" s="19"/>
      <c r="O273" s="274"/>
      <c r="P273" s="19"/>
      <c r="Q273" s="19">
        <f>SUM(Q274:Q276)</f>
        <v>0</v>
      </c>
      <c r="R273" s="19"/>
      <c r="S273" s="19"/>
      <c r="T273" s="274"/>
      <c r="U273" s="19"/>
      <c r="V273" s="19">
        <f>SUM(V274:V276)</f>
        <v>0</v>
      </c>
      <c r="W273" s="19"/>
      <c r="X273" s="19"/>
      <c r="Y273" s="274"/>
      <c r="Z273" s="19"/>
      <c r="AA273" s="19">
        <f>SUM(AA274:AA276)</f>
        <v>0</v>
      </c>
      <c r="AB273" s="19"/>
      <c r="AC273" s="19"/>
      <c r="AD273" s="274"/>
      <c r="AE273" s="19"/>
      <c r="AF273" s="19">
        <f>SUM(AF274:AF276)</f>
        <v>0</v>
      </c>
      <c r="AG273" s="19"/>
      <c r="AH273" s="19"/>
      <c r="AI273" s="274"/>
      <c r="AJ273" s="19"/>
      <c r="AK273" s="19">
        <f>SUM(AK274:AK276)</f>
        <v>0</v>
      </c>
      <c r="AL273" s="19"/>
      <c r="AM273" s="19"/>
      <c r="AN273" s="274"/>
      <c r="AO273" s="19"/>
      <c r="AP273" s="19">
        <f>SUM(AP274:AP276)</f>
        <v>0</v>
      </c>
      <c r="AQ273" s="19"/>
      <c r="AR273" s="19"/>
      <c r="AS273" s="274"/>
      <c r="AT273" s="19"/>
      <c r="AU273" s="19">
        <f>SUM(AU274:AU276)</f>
        <v>0</v>
      </c>
      <c r="AV273" s="19"/>
      <c r="AW273" s="19"/>
      <c r="AX273" s="274"/>
      <c r="AY273" s="19"/>
      <c r="AZ273" s="19">
        <f>SUM(AZ274:AZ276)</f>
        <v>0</v>
      </c>
      <c r="BA273" s="19"/>
      <c r="BB273" s="19"/>
      <c r="BC273" s="274"/>
      <c r="BD273" s="19"/>
      <c r="BE273" s="19">
        <f>SUM(BE274:BE276)</f>
        <v>0</v>
      </c>
      <c r="BF273" s="19"/>
      <c r="BG273" s="19"/>
      <c r="BH273" s="274"/>
      <c r="BI273" s="19"/>
      <c r="BJ273" s="19">
        <f>SUM(BJ274:BJ276)</f>
        <v>0</v>
      </c>
      <c r="BK273" s="19"/>
      <c r="BL273" s="19"/>
      <c r="BM273" s="274"/>
      <c r="BN273" s="19"/>
      <c r="BO273" s="19">
        <f>SUM(BO274:BO276)</f>
        <v>0</v>
      </c>
      <c r="BP273" s="19"/>
      <c r="BQ273" s="19"/>
      <c r="BR273" s="274"/>
      <c r="BS273" s="19"/>
      <c r="BT273" s="19">
        <f>SUM(BT274:BT276)</f>
        <v>0</v>
      </c>
      <c r="BU273" s="19"/>
      <c r="BV273" s="19"/>
      <c r="BW273" s="274"/>
      <c r="BX273" s="19"/>
      <c r="BY273" s="19">
        <f>SUM(BY274:BY276)</f>
        <v>2981219</v>
      </c>
      <c r="BZ273" s="19"/>
      <c r="CA273" s="19"/>
      <c r="CB273" s="274"/>
      <c r="CC273" s="19"/>
      <c r="CD273" s="19">
        <f>SUM(CD274:CD276)</f>
        <v>0</v>
      </c>
      <c r="CE273" s="19"/>
      <c r="CF273" s="19"/>
      <c r="CG273" s="274"/>
      <c r="CH273" s="19"/>
      <c r="CI273" s="19">
        <f>SUM(CI274:CI276)</f>
        <v>2981219</v>
      </c>
      <c r="CJ273" s="19"/>
      <c r="CK273" s="19"/>
      <c r="CL273" s="274"/>
      <c r="CM273" s="19"/>
      <c r="CN273" s="19">
        <f>SUM(CN274:CN276)</f>
        <v>0</v>
      </c>
      <c r="CO273" s="19"/>
      <c r="CP273" s="19"/>
      <c r="CQ273" s="274"/>
      <c r="CR273" s="19"/>
      <c r="CS273" s="19">
        <f>SUM(CS274:CS276)</f>
        <v>0</v>
      </c>
      <c r="CT273" s="19"/>
      <c r="CU273" s="19"/>
      <c r="CV273" s="274"/>
      <c r="CW273" s="19"/>
      <c r="CX273" s="19">
        <f>SUM(CX274:CX276)</f>
        <v>0</v>
      </c>
      <c r="CY273" s="19"/>
      <c r="CZ273" s="19"/>
      <c r="DA273" s="274"/>
      <c r="DB273" s="19"/>
      <c r="DC273" s="19">
        <f>SUM(DC274:DC276)</f>
        <v>0</v>
      </c>
      <c r="DD273" s="19"/>
      <c r="DE273" s="19"/>
      <c r="DF273" s="274"/>
      <c r="DG273" s="19"/>
      <c r="DH273" s="19">
        <f>SUM(DH274:DH276)</f>
        <v>0</v>
      </c>
      <c r="DI273" s="19"/>
      <c r="DJ273" s="19"/>
      <c r="DK273" s="274"/>
      <c r="DL273" s="19"/>
      <c r="DM273" s="19">
        <f>SUM(DM274:DM276)</f>
        <v>0</v>
      </c>
      <c r="DN273" s="19"/>
      <c r="DO273" s="19"/>
      <c r="DP273" s="274"/>
      <c r="DQ273" s="19"/>
      <c r="DR273" s="19">
        <f>SUM(DR274:DR276)</f>
        <v>0</v>
      </c>
      <c r="DS273" s="19"/>
      <c r="DT273" s="19"/>
      <c r="DU273" s="274"/>
      <c r="DV273" s="19"/>
      <c r="DW273" s="19">
        <f>SUM(DW274:DW276)</f>
        <v>0</v>
      </c>
      <c r="DX273" s="19"/>
      <c r="DY273" s="19"/>
      <c r="DZ273" s="274"/>
      <c r="EA273" s="19"/>
      <c r="EB273" s="19">
        <f>SUM(EB274:EB276)</f>
        <v>0</v>
      </c>
      <c r="EC273" s="19"/>
      <c r="ED273" s="19"/>
      <c r="EE273" s="274"/>
      <c r="EF273" s="19"/>
      <c r="EG273" s="19">
        <f>SUM(EG274:EG276)</f>
        <v>0</v>
      </c>
      <c r="EH273" s="19"/>
      <c r="EI273" s="19"/>
      <c r="EJ273" s="274"/>
      <c r="EK273" s="19"/>
      <c r="EL273" s="19">
        <f>SUM(EL274:EL276)</f>
        <v>2981219</v>
      </c>
      <c r="EM273" s="19"/>
      <c r="EN273" s="19"/>
      <c r="EO273" s="244"/>
      <c r="ER273" s="451"/>
      <c r="ES273" s="451"/>
    </row>
    <row r="274" spans="4:149" ht="12.75" customHeight="1" x14ac:dyDescent="0.2">
      <c r="D274" s="244" t="s">
        <v>344</v>
      </c>
      <c r="F274" s="112"/>
      <c r="G274" s="374">
        <v>0</v>
      </c>
      <c r="H274" s="475"/>
      <c r="I274" s="19"/>
      <c r="J274" s="274"/>
      <c r="K274" s="173"/>
      <c r="L274" s="374">
        <v>0</v>
      </c>
      <c r="M274" s="475"/>
      <c r="N274" s="19"/>
      <c r="O274" s="274"/>
      <c r="P274" s="173"/>
      <c r="Q274" s="374">
        <v>0</v>
      </c>
      <c r="R274" s="475"/>
      <c r="S274" s="19"/>
      <c r="T274" s="274"/>
      <c r="U274" s="173"/>
      <c r="V274" s="374">
        <v>0</v>
      </c>
      <c r="W274" s="475"/>
      <c r="X274" s="19"/>
      <c r="Y274" s="274"/>
      <c r="Z274" s="173"/>
      <c r="AA274" s="374">
        <v>0</v>
      </c>
      <c r="AB274" s="475"/>
      <c r="AC274" s="19"/>
      <c r="AD274" s="274"/>
      <c r="AE274" s="173"/>
      <c r="AF274" s="374">
        <v>0</v>
      </c>
      <c r="AG274" s="475"/>
      <c r="AH274" s="19"/>
      <c r="AI274" s="274"/>
      <c r="AJ274" s="173"/>
      <c r="AK274" s="374">
        <v>0</v>
      </c>
      <c r="AL274" s="475"/>
      <c r="AM274" s="19"/>
      <c r="AN274" s="274"/>
      <c r="AO274" s="173"/>
      <c r="AP274" s="374">
        <v>0</v>
      </c>
      <c r="AQ274" s="475"/>
      <c r="AR274" s="19"/>
      <c r="AS274" s="274"/>
      <c r="AT274" s="173"/>
      <c r="AU274" s="374">
        <v>0</v>
      </c>
      <c r="AV274" s="475"/>
      <c r="AW274" s="19"/>
      <c r="AX274" s="274"/>
      <c r="AY274" s="173"/>
      <c r="AZ274" s="374">
        <v>0</v>
      </c>
      <c r="BA274" s="475"/>
      <c r="BB274" s="19"/>
      <c r="BC274" s="274"/>
      <c r="BD274" s="173"/>
      <c r="BE274" s="374">
        <v>0</v>
      </c>
      <c r="BF274" s="475"/>
      <c r="BG274" s="19"/>
      <c r="BH274" s="274"/>
      <c r="BI274" s="173"/>
      <c r="BJ274" s="374">
        <v>0</v>
      </c>
      <c r="BK274" s="475"/>
      <c r="BL274" s="19"/>
      <c r="BM274" s="274"/>
      <c r="BN274" s="173"/>
      <c r="BO274" s="374">
        <v>0</v>
      </c>
      <c r="BP274" s="475"/>
      <c r="BQ274" s="19"/>
      <c r="BR274" s="274"/>
      <c r="BS274" s="173"/>
      <c r="BT274" s="374">
        <f>SUM(L274:BO274)</f>
        <v>0</v>
      </c>
      <c r="BU274" s="475"/>
      <c r="BV274" s="19"/>
      <c r="BW274" s="274"/>
      <c r="BX274" s="173"/>
      <c r="BY274" s="374">
        <v>2157480</v>
      </c>
      <c r="BZ274" s="475"/>
      <c r="CA274" s="19"/>
      <c r="CB274" s="274"/>
      <c r="CC274" s="173"/>
      <c r="CD274" s="374">
        <v>0</v>
      </c>
      <c r="CE274" s="475"/>
      <c r="CF274" s="19"/>
      <c r="CG274" s="274"/>
      <c r="CH274" s="173"/>
      <c r="CI274" s="374">
        <f>2981219-823739</f>
        <v>2157480</v>
      </c>
      <c r="CJ274" s="475"/>
      <c r="CK274" s="19"/>
      <c r="CL274" s="274"/>
      <c r="CM274" s="173"/>
      <c r="CN274" s="374">
        <v>0</v>
      </c>
      <c r="CO274" s="475"/>
      <c r="CP274" s="19"/>
      <c r="CQ274" s="274"/>
      <c r="CR274" s="173"/>
      <c r="CS274" s="374">
        <v>0</v>
      </c>
      <c r="CT274" s="475"/>
      <c r="CU274" s="19"/>
      <c r="CV274" s="274"/>
      <c r="CW274" s="173"/>
      <c r="CX274" s="374">
        <v>0</v>
      </c>
      <c r="CY274" s="475"/>
      <c r="CZ274" s="19"/>
      <c r="DA274" s="274"/>
      <c r="DB274" s="173"/>
      <c r="DC274" s="374">
        <v>0</v>
      </c>
      <c r="DD274" s="475"/>
      <c r="DE274" s="19"/>
      <c r="DF274" s="274"/>
      <c r="DG274" s="173"/>
      <c r="DH274" s="374">
        <v>0</v>
      </c>
      <c r="DI274" s="475"/>
      <c r="DJ274" s="19"/>
      <c r="DK274" s="274"/>
      <c r="DL274" s="173"/>
      <c r="DM274" s="374">
        <v>0</v>
      </c>
      <c r="DN274" s="475"/>
      <c r="DO274" s="19"/>
      <c r="DP274" s="274"/>
      <c r="DQ274" s="173"/>
      <c r="DR274" s="374">
        <v>0</v>
      </c>
      <c r="DS274" s="475"/>
      <c r="DT274" s="19"/>
      <c r="DU274" s="274"/>
      <c r="DV274" s="173"/>
      <c r="DW274" s="374">
        <v>0</v>
      </c>
      <c r="DX274" s="475"/>
      <c r="DY274" s="19"/>
      <c r="DZ274" s="274"/>
      <c r="EA274" s="173"/>
      <c r="EB274" s="374">
        <v>0</v>
      </c>
      <c r="EC274" s="475"/>
      <c r="ED274" s="19"/>
      <c r="EE274" s="274"/>
      <c r="EF274" s="173"/>
      <c r="EG274" s="374">
        <v>0</v>
      </c>
      <c r="EH274" s="475"/>
      <c r="EI274" s="19"/>
      <c r="EJ274" s="274"/>
      <c r="EK274" s="173"/>
      <c r="EL274" s="374">
        <f>SUM(CD274:EG274)</f>
        <v>2157480</v>
      </c>
      <c r="EM274" s="475"/>
      <c r="EN274" s="19"/>
      <c r="EO274" s="244"/>
      <c r="ER274" s="451"/>
      <c r="ES274" s="451"/>
    </row>
    <row r="275" spans="4:149" ht="12.75" customHeight="1" x14ac:dyDescent="0.2">
      <c r="D275" s="244" t="s">
        <v>346</v>
      </c>
      <c r="F275" s="82"/>
      <c r="G275" s="19">
        <v>0</v>
      </c>
      <c r="H275" s="18"/>
      <c r="I275" s="19"/>
      <c r="J275" s="274"/>
      <c r="K275" s="274"/>
      <c r="L275" s="19">
        <v>0</v>
      </c>
      <c r="M275" s="18"/>
      <c r="N275" s="19"/>
      <c r="O275" s="274"/>
      <c r="P275" s="274"/>
      <c r="Q275" s="19">
        <v>0</v>
      </c>
      <c r="R275" s="18"/>
      <c r="S275" s="19"/>
      <c r="T275" s="274"/>
      <c r="U275" s="274"/>
      <c r="V275" s="19">
        <v>0</v>
      </c>
      <c r="W275" s="18"/>
      <c r="X275" s="19"/>
      <c r="Y275" s="274"/>
      <c r="Z275" s="274"/>
      <c r="AA275" s="19">
        <v>0</v>
      </c>
      <c r="AB275" s="18"/>
      <c r="AC275" s="19"/>
      <c r="AD275" s="274"/>
      <c r="AE275" s="274"/>
      <c r="AF275" s="19">
        <v>0</v>
      </c>
      <c r="AG275" s="18"/>
      <c r="AH275" s="19"/>
      <c r="AI275" s="274"/>
      <c r="AJ275" s="274"/>
      <c r="AK275" s="19">
        <v>0</v>
      </c>
      <c r="AL275" s="18"/>
      <c r="AM275" s="19"/>
      <c r="AN275" s="274"/>
      <c r="AO275" s="274"/>
      <c r="AP275" s="19">
        <v>0</v>
      </c>
      <c r="AQ275" s="18"/>
      <c r="AR275" s="19"/>
      <c r="AS275" s="274"/>
      <c r="AT275" s="274"/>
      <c r="AU275" s="19">
        <v>0</v>
      </c>
      <c r="AV275" s="18"/>
      <c r="AW275" s="19"/>
      <c r="AX275" s="274"/>
      <c r="AY275" s="274"/>
      <c r="AZ275" s="19">
        <v>0</v>
      </c>
      <c r="BA275" s="18"/>
      <c r="BB275" s="19"/>
      <c r="BC275" s="274"/>
      <c r="BD275" s="274"/>
      <c r="BE275" s="19">
        <v>0</v>
      </c>
      <c r="BF275" s="18"/>
      <c r="BG275" s="19"/>
      <c r="BH275" s="274"/>
      <c r="BI275" s="274"/>
      <c r="BJ275" s="19">
        <v>0</v>
      </c>
      <c r="BK275" s="18"/>
      <c r="BL275" s="19"/>
      <c r="BM275" s="274"/>
      <c r="BN275" s="274"/>
      <c r="BO275" s="19">
        <v>0</v>
      </c>
      <c r="BP275" s="18"/>
      <c r="BQ275" s="19"/>
      <c r="BR275" s="274"/>
      <c r="BS275" s="274"/>
      <c r="BT275" s="19">
        <f>SUM(L275:BO275)</f>
        <v>0</v>
      </c>
      <c r="BU275" s="18"/>
      <c r="BV275" s="19"/>
      <c r="BW275" s="274"/>
      <c r="BX275" s="274"/>
      <c r="BY275" s="19">
        <v>823739</v>
      </c>
      <c r="BZ275" s="18"/>
      <c r="CA275" s="19"/>
      <c r="CB275" s="274"/>
      <c r="CC275" s="274"/>
      <c r="CD275" s="19">
        <v>0</v>
      </c>
      <c r="CE275" s="18"/>
      <c r="CF275" s="19"/>
      <c r="CG275" s="274"/>
      <c r="CH275" s="274"/>
      <c r="CI275" s="19">
        <v>823739</v>
      </c>
      <c r="CJ275" s="18"/>
      <c r="CK275" s="19"/>
      <c r="CL275" s="274"/>
      <c r="CM275" s="274"/>
      <c r="CN275" s="19">
        <v>0</v>
      </c>
      <c r="CO275" s="18"/>
      <c r="CP275" s="19"/>
      <c r="CQ275" s="274"/>
      <c r="CR275" s="274"/>
      <c r="CS275" s="19">
        <v>0</v>
      </c>
      <c r="CT275" s="18"/>
      <c r="CU275" s="19"/>
      <c r="CV275" s="274"/>
      <c r="CW275" s="274"/>
      <c r="CX275" s="19">
        <v>0</v>
      </c>
      <c r="CY275" s="18"/>
      <c r="CZ275" s="19"/>
      <c r="DA275" s="274"/>
      <c r="DB275" s="274"/>
      <c r="DC275" s="19">
        <v>0</v>
      </c>
      <c r="DD275" s="18"/>
      <c r="DE275" s="19"/>
      <c r="DF275" s="274"/>
      <c r="DG275" s="274"/>
      <c r="DH275" s="19">
        <v>0</v>
      </c>
      <c r="DI275" s="18"/>
      <c r="DJ275" s="19"/>
      <c r="DK275" s="274"/>
      <c r="DL275" s="274"/>
      <c r="DM275" s="19">
        <v>0</v>
      </c>
      <c r="DN275" s="18"/>
      <c r="DO275" s="19"/>
      <c r="DP275" s="274"/>
      <c r="DQ275" s="274"/>
      <c r="DR275" s="19">
        <v>0</v>
      </c>
      <c r="DS275" s="18"/>
      <c r="DT275" s="19"/>
      <c r="DU275" s="274"/>
      <c r="DV275" s="274"/>
      <c r="DW275" s="19">
        <v>0</v>
      </c>
      <c r="DX275" s="18"/>
      <c r="DY275" s="19"/>
      <c r="DZ275" s="274"/>
      <c r="EA275" s="274"/>
      <c r="EB275" s="19">
        <v>0</v>
      </c>
      <c r="EC275" s="18"/>
      <c r="ED275" s="19"/>
      <c r="EE275" s="274"/>
      <c r="EF275" s="274"/>
      <c r="EG275" s="19">
        <v>0</v>
      </c>
      <c r="EH275" s="18"/>
      <c r="EI275" s="19"/>
      <c r="EJ275" s="274"/>
      <c r="EK275" s="274"/>
      <c r="EL275" s="19">
        <f>SUM(CD275:EG275)</f>
        <v>823739</v>
      </c>
      <c r="EM275" s="18"/>
      <c r="EN275" s="19"/>
      <c r="EO275" s="244"/>
      <c r="ER275" s="451"/>
      <c r="ES275" s="451"/>
    </row>
    <row r="276" spans="4:149" ht="12.75" customHeight="1" x14ac:dyDescent="0.2">
      <c r="D276" s="244" t="s">
        <v>347</v>
      </c>
      <c r="F276" s="276"/>
      <c r="G276" s="37">
        <v>0</v>
      </c>
      <c r="H276" s="36"/>
      <c r="I276" s="19"/>
      <c r="J276" s="274"/>
      <c r="K276" s="231"/>
      <c r="L276" s="37">
        <v>0</v>
      </c>
      <c r="M276" s="36"/>
      <c r="N276" s="19"/>
      <c r="O276" s="274"/>
      <c r="P276" s="231"/>
      <c r="Q276" s="37">
        <v>0</v>
      </c>
      <c r="R276" s="36"/>
      <c r="S276" s="19"/>
      <c r="T276" s="274"/>
      <c r="U276" s="231"/>
      <c r="V276" s="37">
        <v>0</v>
      </c>
      <c r="W276" s="36"/>
      <c r="X276" s="19"/>
      <c r="Y276" s="274"/>
      <c r="Z276" s="231"/>
      <c r="AA276" s="37">
        <v>0</v>
      </c>
      <c r="AB276" s="36"/>
      <c r="AC276" s="19"/>
      <c r="AD276" s="274"/>
      <c r="AE276" s="231"/>
      <c r="AF276" s="37">
        <v>0</v>
      </c>
      <c r="AG276" s="36"/>
      <c r="AH276" s="19"/>
      <c r="AI276" s="274"/>
      <c r="AJ276" s="231"/>
      <c r="AK276" s="37">
        <v>0</v>
      </c>
      <c r="AL276" s="36"/>
      <c r="AM276" s="19"/>
      <c r="AN276" s="274"/>
      <c r="AO276" s="231"/>
      <c r="AP276" s="37">
        <v>0</v>
      </c>
      <c r="AQ276" s="36"/>
      <c r="AR276" s="19"/>
      <c r="AS276" s="274"/>
      <c r="AT276" s="231"/>
      <c r="AU276" s="37">
        <v>0</v>
      </c>
      <c r="AV276" s="36"/>
      <c r="AW276" s="19"/>
      <c r="AX276" s="274"/>
      <c r="AY276" s="231"/>
      <c r="AZ276" s="37">
        <v>0</v>
      </c>
      <c r="BA276" s="36"/>
      <c r="BB276" s="19"/>
      <c r="BC276" s="274"/>
      <c r="BD276" s="231"/>
      <c r="BE276" s="37">
        <v>0</v>
      </c>
      <c r="BF276" s="36"/>
      <c r="BG276" s="19"/>
      <c r="BH276" s="274"/>
      <c r="BI276" s="231"/>
      <c r="BJ276" s="37">
        <v>0</v>
      </c>
      <c r="BK276" s="36"/>
      <c r="BL276" s="19"/>
      <c r="BM276" s="274"/>
      <c r="BN276" s="231"/>
      <c r="BO276" s="37">
        <v>0</v>
      </c>
      <c r="BP276" s="36"/>
      <c r="BQ276" s="19"/>
      <c r="BR276" s="274"/>
      <c r="BS276" s="231"/>
      <c r="BT276" s="37">
        <f>SUM(L276:BO276)</f>
        <v>0</v>
      </c>
      <c r="BU276" s="36"/>
      <c r="BV276" s="19"/>
      <c r="BW276" s="274"/>
      <c r="BX276" s="231"/>
      <c r="BY276" s="37">
        <v>0</v>
      </c>
      <c r="BZ276" s="36"/>
      <c r="CA276" s="19"/>
      <c r="CB276" s="274"/>
      <c r="CC276" s="231"/>
      <c r="CD276" s="37">
        <v>0</v>
      </c>
      <c r="CE276" s="36"/>
      <c r="CF276" s="19"/>
      <c r="CG276" s="274"/>
      <c r="CH276" s="231"/>
      <c r="CI276" s="37">
        <v>0</v>
      </c>
      <c r="CJ276" s="36"/>
      <c r="CK276" s="19"/>
      <c r="CL276" s="274"/>
      <c r="CM276" s="231"/>
      <c r="CN276" s="37">
        <v>0</v>
      </c>
      <c r="CO276" s="36"/>
      <c r="CP276" s="19"/>
      <c r="CQ276" s="274"/>
      <c r="CR276" s="231"/>
      <c r="CS276" s="37">
        <v>0</v>
      </c>
      <c r="CT276" s="36"/>
      <c r="CU276" s="19"/>
      <c r="CV276" s="274"/>
      <c r="CW276" s="231"/>
      <c r="CX276" s="37">
        <v>0</v>
      </c>
      <c r="CY276" s="36"/>
      <c r="CZ276" s="19"/>
      <c r="DA276" s="274"/>
      <c r="DB276" s="231"/>
      <c r="DC276" s="37">
        <v>0</v>
      </c>
      <c r="DD276" s="36"/>
      <c r="DE276" s="19"/>
      <c r="DF276" s="274"/>
      <c r="DG276" s="231"/>
      <c r="DH276" s="37">
        <v>0</v>
      </c>
      <c r="DI276" s="36"/>
      <c r="DJ276" s="19"/>
      <c r="DK276" s="274"/>
      <c r="DL276" s="231"/>
      <c r="DM276" s="37">
        <v>0</v>
      </c>
      <c r="DN276" s="36"/>
      <c r="DO276" s="19"/>
      <c r="DP276" s="274"/>
      <c r="DQ276" s="231"/>
      <c r="DR276" s="37">
        <v>0</v>
      </c>
      <c r="DS276" s="36"/>
      <c r="DT276" s="19"/>
      <c r="DU276" s="274"/>
      <c r="DV276" s="231"/>
      <c r="DW276" s="37">
        <v>0</v>
      </c>
      <c r="DX276" s="36"/>
      <c r="DY276" s="19"/>
      <c r="DZ276" s="274"/>
      <c r="EA276" s="231"/>
      <c r="EB276" s="37">
        <v>0</v>
      </c>
      <c r="EC276" s="36"/>
      <c r="ED276" s="19"/>
      <c r="EE276" s="274"/>
      <c r="EF276" s="231"/>
      <c r="EG276" s="37">
        <v>0</v>
      </c>
      <c r="EH276" s="36"/>
      <c r="EI276" s="19"/>
      <c r="EJ276" s="274"/>
      <c r="EK276" s="231"/>
      <c r="EL276" s="37">
        <f>SUM(CD276:EG276)</f>
        <v>0</v>
      </c>
      <c r="EM276" s="36"/>
      <c r="EN276" s="19"/>
      <c r="EO276" s="244"/>
      <c r="ER276" s="451"/>
      <c r="ES276" s="451"/>
    </row>
    <row r="277" spans="4:149" x14ac:dyDescent="0.2">
      <c r="D277" s="244"/>
      <c r="E277" s="202"/>
      <c r="G277" s="19"/>
      <c r="H277" s="19"/>
      <c r="I277" s="19"/>
      <c r="J277" s="274"/>
      <c r="L277" s="19"/>
      <c r="M277" s="19"/>
      <c r="N277" s="19"/>
      <c r="O277" s="274"/>
      <c r="Q277" s="19"/>
      <c r="R277" s="19"/>
      <c r="S277" s="19"/>
      <c r="T277" s="274"/>
      <c r="V277" s="19"/>
      <c r="W277" s="19"/>
      <c r="X277" s="19"/>
      <c r="Y277" s="274"/>
      <c r="AA277" s="19"/>
      <c r="AB277" s="19"/>
      <c r="AC277" s="19"/>
      <c r="AD277" s="274"/>
      <c r="AF277" s="19"/>
      <c r="AG277" s="19"/>
      <c r="AH277" s="19"/>
      <c r="AI277" s="274"/>
      <c r="AK277" s="19"/>
      <c r="AL277" s="19"/>
      <c r="AM277" s="19"/>
      <c r="AN277" s="274"/>
      <c r="AP277" s="19"/>
      <c r="AQ277" s="19"/>
      <c r="AR277" s="19"/>
      <c r="AS277" s="274"/>
      <c r="AU277" s="19"/>
      <c r="AV277" s="19"/>
      <c r="AW277" s="19"/>
      <c r="AX277" s="274"/>
      <c r="AZ277" s="19"/>
      <c r="BA277" s="19"/>
      <c r="BB277" s="19"/>
      <c r="BC277" s="274"/>
      <c r="BE277" s="19"/>
      <c r="BF277" s="19"/>
      <c r="BG277" s="19"/>
      <c r="BH277" s="274"/>
      <c r="BJ277" s="19"/>
      <c r="BK277" s="19"/>
      <c r="BL277" s="19"/>
      <c r="BM277" s="274"/>
      <c r="BO277" s="19"/>
      <c r="BP277" s="19"/>
      <c r="BQ277" s="19"/>
      <c r="BR277" s="274"/>
      <c r="BT277" s="19"/>
      <c r="BU277" s="19"/>
      <c r="BV277" s="19"/>
      <c r="BW277" s="274"/>
      <c r="BY277" s="19"/>
      <c r="BZ277" s="19"/>
      <c r="CA277" s="19"/>
      <c r="CB277" s="274"/>
      <c r="CD277" s="19"/>
      <c r="CE277" s="19"/>
      <c r="CF277" s="19"/>
      <c r="CG277" s="274"/>
      <c r="CI277" s="19"/>
      <c r="CJ277" s="19"/>
      <c r="CK277" s="19"/>
      <c r="CL277" s="274"/>
      <c r="CN277" s="19"/>
      <c r="CO277" s="19"/>
      <c r="CP277" s="19"/>
      <c r="CQ277" s="274"/>
      <c r="CS277" s="19"/>
      <c r="CT277" s="19"/>
      <c r="CU277" s="19"/>
      <c r="CV277" s="274"/>
      <c r="CX277" s="19"/>
      <c r="CY277" s="19"/>
      <c r="CZ277" s="19"/>
      <c r="DA277" s="274"/>
      <c r="DC277" s="19"/>
      <c r="DD277" s="19"/>
      <c r="DE277" s="19"/>
      <c r="DF277" s="274"/>
      <c r="DH277" s="19"/>
      <c r="DI277" s="19"/>
      <c r="DJ277" s="19"/>
      <c r="DK277" s="274"/>
      <c r="DM277" s="19"/>
      <c r="DN277" s="19"/>
      <c r="DO277" s="19"/>
      <c r="DP277" s="274"/>
      <c r="DR277" s="19"/>
      <c r="DS277" s="19"/>
      <c r="DT277" s="19"/>
      <c r="DU277" s="274"/>
      <c r="DW277" s="19"/>
      <c r="DX277" s="19"/>
      <c r="DY277" s="19"/>
      <c r="DZ277" s="274"/>
      <c r="EB277" s="19"/>
      <c r="EC277" s="19"/>
      <c r="ED277" s="19"/>
      <c r="EE277" s="274"/>
      <c r="EG277" s="19"/>
      <c r="EH277" s="19"/>
      <c r="EI277" s="19"/>
      <c r="EJ277" s="274"/>
      <c r="EL277" s="19"/>
      <c r="EM277" s="19"/>
      <c r="EN277" s="19"/>
      <c r="EO277" s="244"/>
      <c r="ER277" s="451"/>
      <c r="ES277" s="451"/>
    </row>
    <row r="278" spans="4:149" s="451" customFormat="1" x14ac:dyDescent="0.2">
      <c r="D278" s="393" t="s">
        <v>337</v>
      </c>
      <c r="E278" s="329"/>
      <c r="F278" s="340"/>
      <c r="G278" s="14">
        <f>SUM(G279:G279)</f>
        <v>1028268</v>
      </c>
      <c r="H278" s="14"/>
      <c r="I278" s="14"/>
      <c r="J278" s="422"/>
      <c r="K278" s="14"/>
      <c r="L278" s="14">
        <f>SUM(L279:L279)</f>
        <v>487336</v>
      </c>
      <c r="M278" s="14"/>
      <c r="N278" s="14"/>
      <c r="O278" s="422"/>
      <c r="P278" s="14"/>
      <c r="Q278" s="14">
        <f>SUM(Q279:Q279)</f>
        <v>29682</v>
      </c>
      <c r="R278" s="14"/>
      <c r="S278" s="14"/>
      <c r="T278" s="422"/>
      <c r="U278" s="14"/>
      <c r="V278" s="14">
        <f>SUM(V279:V279)</f>
        <v>28489</v>
      </c>
      <c r="W278" s="14"/>
      <c r="X278" s="14"/>
      <c r="Y278" s="422"/>
      <c r="Z278" s="14"/>
      <c r="AA278" s="14">
        <f>SUM(AA279:AA279)</f>
        <v>0</v>
      </c>
      <c r="AB278" s="14"/>
      <c r="AC278" s="14"/>
      <c r="AD278" s="422"/>
      <c r="AE278" s="14"/>
      <c r="AF278" s="14">
        <f>SUM(AF279:AF279)</f>
        <v>41191</v>
      </c>
      <c r="AG278" s="14"/>
      <c r="AH278" s="14"/>
      <c r="AI278" s="422"/>
      <c r="AJ278" s="14"/>
      <c r="AK278" s="14">
        <f>SUM(AK279:AK279)</f>
        <v>18552</v>
      </c>
      <c r="AL278" s="14"/>
      <c r="AM278" s="14"/>
      <c r="AN278" s="422"/>
      <c r="AO278" s="350"/>
      <c r="AP278" s="14">
        <f>SUM(AP279:AP279)</f>
        <v>0</v>
      </c>
      <c r="AQ278" s="19"/>
      <c r="AR278" s="14"/>
      <c r="AS278" s="422"/>
      <c r="AT278" s="14"/>
      <c r="AU278" s="14">
        <f>SUM(AU279:AU279)</f>
        <v>85877</v>
      </c>
      <c r="AV278" s="14"/>
      <c r="AW278" s="14"/>
      <c r="AX278" s="422"/>
      <c r="AY278" s="14"/>
      <c r="AZ278" s="14">
        <f>SUM(AZ279:AZ279)</f>
        <v>204461</v>
      </c>
      <c r="BA278" s="14"/>
      <c r="BB278" s="14"/>
      <c r="BC278" s="422"/>
      <c r="BD278" s="14"/>
      <c r="BE278" s="14">
        <f>SUM(BE279:BE279)</f>
        <v>132680</v>
      </c>
      <c r="BF278" s="14"/>
      <c r="BG278" s="14"/>
      <c r="BH278" s="422"/>
      <c r="BI278" s="14"/>
      <c r="BJ278" s="14">
        <f>SUM(BJ279:BJ279)</f>
        <v>1279237</v>
      </c>
      <c r="BK278" s="14"/>
      <c r="BL278" s="14"/>
      <c r="BM278" s="422"/>
      <c r="BN278" s="14"/>
      <c r="BO278" s="14">
        <f>SUM(BO279:BO279)</f>
        <v>2584491</v>
      </c>
      <c r="BP278" s="14"/>
      <c r="BQ278" s="14"/>
      <c r="BR278" s="422"/>
      <c r="BS278" s="14"/>
      <c r="BT278" s="14">
        <f>SUM(BT279:BT279)</f>
        <v>4891996</v>
      </c>
      <c r="BU278" s="14"/>
      <c r="BV278" s="14"/>
      <c r="BW278" s="422"/>
      <c r="BX278" s="14"/>
      <c r="BY278" s="14">
        <f>SUM(BY279:BY279)</f>
        <v>4361282</v>
      </c>
      <c r="BZ278" s="14"/>
      <c r="CA278" s="14"/>
      <c r="CB278" s="422"/>
      <c r="CC278" s="14"/>
      <c r="CD278" s="14">
        <f>SUM(CD279:CD279)</f>
        <v>3109689</v>
      </c>
      <c r="CE278" s="14"/>
      <c r="CF278" s="14"/>
      <c r="CG278" s="422"/>
      <c r="CH278" s="14"/>
      <c r="CI278" s="14">
        <f>SUM(CI279:CI279)</f>
        <v>0</v>
      </c>
      <c r="CJ278" s="14"/>
      <c r="CK278" s="14"/>
      <c r="CL278" s="422"/>
      <c r="CM278" s="14"/>
      <c r="CN278" s="14">
        <f>SUM(CN279:CN279)</f>
        <v>0</v>
      </c>
      <c r="CO278" s="14"/>
      <c r="CP278" s="14"/>
      <c r="CQ278" s="422"/>
      <c r="CR278" s="14"/>
      <c r="CS278" s="14">
        <f>SUM(CS279:CS279)</f>
        <v>0</v>
      </c>
      <c r="CT278" s="14"/>
      <c r="CU278" s="14"/>
      <c r="CV278" s="422"/>
      <c r="CW278" s="14"/>
      <c r="CX278" s="14">
        <f>SUM(CX279:CX279)</f>
        <v>289217</v>
      </c>
      <c r="CY278" s="14"/>
      <c r="CZ278" s="14"/>
      <c r="DA278" s="422"/>
      <c r="DB278" s="14"/>
      <c r="DC278" s="14">
        <f>SUM(DC279:DC279)</f>
        <v>235010</v>
      </c>
      <c r="DD278" s="14"/>
      <c r="DE278" s="14"/>
      <c r="DF278" s="422"/>
      <c r="DG278" s="350"/>
      <c r="DH278" s="14">
        <f>SUM(DH279:DH279)</f>
        <v>0</v>
      </c>
      <c r="DI278" s="19"/>
      <c r="DJ278" s="14"/>
      <c r="DK278" s="422"/>
      <c r="DL278" s="14"/>
      <c r="DM278" s="14">
        <f>SUM(DM279:DM279)</f>
        <v>64127</v>
      </c>
      <c r="DN278" s="14"/>
      <c r="DO278" s="14"/>
      <c r="DP278" s="422"/>
      <c r="DQ278" s="14"/>
      <c r="DR278" s="14">
        <f>SUM(DR279:DR279)</f>
        <v>0</v>
      </c>
      <c r="DS278" s="14"/>
      <c r="DT278" s="14"/>
      <c r="DU278" s="422"/>
      <c r="DV278" s="14"/>
      <c r="DW278" s="14">
        <f>SUM(DW279:DW279)</f>
        <v>0</v>
      </c>
      <c r="DX278" s="14"/>
      <c r="DY278" s="14"/>
      <c r="DZ278" s="422"/>
      <c r="EA278" s="14"/>
      <c r="EB278" s="14">
        <f>SUM(EB279:EB279)</f>
        <v>0</v>
      </c>
      <c r="EC278" s="14"/>
      <c r="ED278" s="14"/>
      <c r="EE278" s="422"/>
      <c r="EF278" s="14"/>
      <c r="EG278" s="14">
        <f>SUM(EG279:EG279)</f>
        <v>663239</v>
      </c>
      <c r="EH278" s="14"/>
      <c r="EI278" s="14"/>
      <c r="EJ278" s="422"/>
      <c r="EK278" s="14"/>
      <c r="EL278" s="14">
        <f>SUM(EL279:EL279)</f>
        <v>4361282</v>
      </c>
      <c r="EM278" s="14"/>
      <c r="EN278" s="14"/>
      <c r="EO278" s="484"/>
      <c r="EQ278" s="12"/>
    </row>
    <row r="279" spans="4:149" x14ac:dyDescent="0.2">
      <c r="D279" s="244" t="s">
        <v>344</v>
      </c>
      <c r="E279" s="202"/>
      <c r="F279" s="431"/>
      <c r="G279" s="81">
        <f>G285+G288+G320+G291+G297+G300+G303+G306+G308+G317+G323+G326+G329+G332+G335+G338+G341+G282+G313+G294</f>
        <v>1028268</v>
      </c>
      <c r="H279" s="49"/>
      <c r="I279" s="19"/>
      <c r="J279" s="274"/>
      <c r="K279" s="48"/>
      <c r="L279" s="81">
        <f>L285+L288+L320+L291+L297+L300+L303+L306+L308+L317+L323+L326+L329+L332+L335+L338+L341+L282+L313+L294</f>
        <v>487336</v>
      </c>
      <c r="M279" s="49"/>
      <c r="N279" s="19"/>
      <c r="O279" s="274"/>
      <c r="P279" s="48"/>
      <c r="Q279" s="81">
        <f>Q285+Q288+Q320+Q291+Q297+Q300+Q303+Q306+Q308+Q317+Q323+Q326+Q329+Q332+Q335+Q338+Q341+Q282+Q313+Q294</f>
        <v>29682</v>
      </c>
      <c r="R279" s="49"/>
      <c r="S279" s="19"/>
      <c r="T279" s="274"/>
      <c r="U279" s="48"/>
      <c r="V279" s="81">
        <f>V285+V288+V320+V291+V297+V300+V303+V306+V308+V317+V323+V326+V329+V332+V335+V338+V341+V282+V313+V294</f>
        <v>28489</v>
      </c>
      <c r="W279" s="49"/>
      <c r="X279" s="19"/>
      <c r="Y279" s="274"/>
      <c r="Z279" s="48"/>
      <c r="AA279" s="81">
        <f>AA285+AA288+AA320+AA291+AA297+AA300+AA303+AA306+AA308+AA317+AA323+AA326+AA329+AA332+AA335+AA338+AA341+AA282+AA313+AA294</f>
        <v>0</v>
      </c>
      <c r="AB279" s="49"/>
      <c r="AC279" s="19"/>
      <c r="AD279" s="274"/>
      <c r="AE279" s="48"/>
      <c r="AF279" s="81">
        <f>AF285+AF288+AF320+AF291+AF297+AF300+AF303+AF306+AF308+AF317+AF323+AF326+AF329+AF332+AF335+AF338+AF341+AF282+AF313+AF294</f>
        <v>41191</v>
      </c>
      <c r="AG279" s="49"/>
      <c r="AH279" s="19"/>
      <c r="AI279" s="274"/>
      <c r="AJ279" s="48"/>
      <c r="AK279" s="81">
        <f>AK285+AK288+AK320+AK291+AK297+AK300+AK303+AK306+AK308+AK317+AK323+AK326+AK329+AK332+AK335+AK338+AK341+AK282+AK313+AK294</f>
        <v>18552</v>
      </c>
      <c r="AL279" s="49"/>
      <c r="AM279" s="19"/>
      <c r="AN279" s="274"/>
      <c r="AO279" s="48"/>
      <c r="AP279" s="81">
        <f>AP285+AP288+AP320+AP291+AP297+AP300+AP303+AP306+AP308+AP317+AP323+AP326+AP329+AP332+AP335+AP338+AP341+AP282+AP313+AP294</f>
        <v>0</v>
      </c>
      <c r="AQ279" s="49"/>
      <c r="AR279" s="19"/>
      <c r="AS279" s="274"/>
      <c r="AT279" s="48"/>
      <c r="AU279" s="81">
        <f>AU285+AU288+AU320+AU291+AU297+AU300+AU303+AU306+AU308+AU317+AU323+AU326+AU329+AU332+AU335+AU338+AU341+AU282+AU313+AU294</f>
        <v>85877</v>
      </c>
      <c r="AV279" s="49"/>
      <c r="AW279" s="19"/>
      <c r="AX279" s="274"/>
      <c r="AY279" s="48"/>
      <c r="AZ279" s="81">
        <f>AZ285+AZ288+AZ320+AZ291+AZ297+AZ300+AZ303+AZ306+AZ308+AZ317+AZ323+AZ326+AZ329+AZ332+AZ335+AZ338+AZ341+AZ282+AZ313+AZ294</f>
        <v>204461</v>
      </c>
      <c r="BA279" s="49"/>
      <c r="BB279" s="19"/>
      <c r="BC279" s="274"/>
      <c r="BD279" s="48"/>
      <c r="BE279" s="81">
        <f>BE285+BE288+BE320+BE291+BE297+BE300+BE303+BE306+BE308+BE317+BE323+BE326+BE329+BE332+BE335+BE338+BE341+BE282+BE313+BE294</f>
        <v>132680</v>
      </c>
      <c r="BF279" s="49"/>
      <c r="BG279" s="19"/>
      <c r="BH279" s="274"/>
      <c r="BI279" s="48"/>
      <c r="BJ279" s="81">
        <f>BJ285+BJ288+BJ320+BJ291+BJ297+BJ300+BJ303+BJ306+BJ308+BJ317+BJ323+BJ326+BJ329+BJ332+BJ335+BJ338+BJ341+BJ282+BJ313+BJ294</f>
        <v>1279237</v>
      </c>
      <c r="BK279" s="49"/>
      <c r="BL279" s="19"/>
      <c r="BM279" s="274"/>
      <c r="BN279" s="48"/>
      <c r="BO279" s="81">
        <f>BO285+BO288+BO320+BO291+BO297+BO300+BO303+BO306+BO308+BO317+BO323+BO326+BO329+BO332+BO335+BO338+BO341+BO282+BO313+BO294</f>
        <v>2584491</v>
      </c>
      <c r="BP279" s="49"/>
      <c r="BQ279" s="19"/>
      <c r="BR279" s="274"/>
      <c r="BS279" s="48"/>
      <c r="BT279" s="226">
        <f>BT285+BT288+BT320+BT291+BT297+BT300+BT303+BT306+BT308+BT317+BT323+BT326+BT329+BT332+BT335+BT338+BT341+BT282+BT313+BT294</f>
        <v>4891996</v>
      </c>
      <c r="BU279" s="49"/>
      <c r="BV279" s="19"/>
      <c r="BW279" s="274"/>
      <c r="BX279" s="48"/>
      <c r="BY279" s="226">
        <f>BY285+BY288+BY320+BY291+BY297+BY300+BY303+BY306+BY308+BY317+BY323+BY326+BY329+BY332+BY335+BY338+BY341+BY282+BY313+BY294</f>
        <v>4361282</v>
      </c>
      <c r="BZ279" s="49"/>
      <c r="CA279" s="19"/>
      <c r="CB279" s="274"/>
      <c r="CC279" s="48"/>
      <c r="CD279" s="81">
        <f>CD285+CD288+CD320+CD291+CD297+CD300+CD303+CD306+CD308+CD317+CD323+CD326+CD329+CD332+CD335+CD338+CD341+CD282+CD313+CD294</f>
        <v>3109689</v>
      </c>
      <c r="CE279" s="49"/>
      <c r="CF279" s="19"/>
      <c r="CG279" s="274"/>
      <c r="CH279" s="48"/>
      <c r="CI279" s="81">
        <f>CI285+CI288+CI320+CI291+CI297+CI300+CI303+CI306+CI308+CI317+CI323+CI326+CI329+CI332+CI335+CI338+CI341+CI282+CI313+CI294</f>
        <v>0</v>
      </c>
      <c r="CJ279" s="49"/>
      <c r="CK279" s="19"/>
      <c r="CL279" s="274"/>
      <c r="CM279" s="48"/>
      <c r="CN279" s="81">
        <f>CN285+CN288+CN320+CN291+CN297+CN300+CN303+CN306+CN308+CN317+CN323+CN326+CN329+CN332+CN335+CN338+CN341+CN282+CN313+CN294</f>
        <v>0</v>
      </c>
      <c r="CO279" s="49"/>
      <c r="CP279" s="19"/>
      <c r="CQ279" s="274"/>
      <c r="CR279" s="48"/>
      <c r="CS279" s="81">
        <f>CS285+CS288+CS320+CS291+CS297+CS300+CS303+CS306+CS308+CS317+CS323+CS326+CS329+CS332+CS335+CS338+CS341+CS282+CS313+CS294</f>
        <v>0</v>
      </c>
      <c r="CT279" s="49"/>
      <c r="CU279" s="19"/>
      <c r="CV279" s="274"/>
      <c r="CW279" s="48"/>
      <c r="CX279" s="81">
        <f>CX285+CX288+CX320+CX291+CX297+CX300+CX303+CX306+CX308+CX317+CX323+CX326+CX329+CX332+CX335+CX338+CX341+CX282+CX313+CX294</f>
        <v>289217</v>
      </c>
      <c r="CY279" s="49"/>
      <c r="CZ279" s="19"/>
      <c r="DA279" s="274"/>
      <c r="DB279" s="48"/>
      <c r="DC279" s="81">
        <f>DC285+DC288+DC320+DC291+DC297+DC300+DC303+DC306+DC308+DC317+DC323+DC326+DC329+DC332+DC335+DC338+DC341+DC282+DC313+DC294</f>
        <v>235010</v>
      </c>
      <c r="DD279" s="49"/>
      <c r="DE279" s="19"/>
      <c r="DF279" s="274"/>
      <c r="DG279" s="48"/>
      <c r="DH279" s="81">
        <f>DH285+DH288+DH320+DH291+DH297+DH300+DH303+DH306+DH308+DH317+DH323+DH326+DH329+DH332+DH335+DH338+DH341+DH282+DH313+DH294</f>
        <v>0</v>
      </c>
      <c r="DI279" s="49"/>
      <c r="DJ279" s="19"/>
      <c r="DK279" s="274"/>
      <c r="DL279" s="48"/>
      <c r="DM279" s="81">
        <f>DM285+DM288+DM320+DM291+DM297+DM300+DM303+DM306+DM308+DM317+DM323+DM326+DM329+DM332+DM335+DM338+DM341+DM282+DM313+DM294</f>
        <v>64127</v>
      </c>
      <c r="DN279" s="49"/>
      <c r="DO279" s="19"/>
      <c r="DP279" s="274"/>
      <c r="DQ279" s="48"/>
      <c r="DR279" s="81">
        <v>0</v>
      </c>
      <c r="DS279" s="49"/>
      <c r="DT279" s="19"/>
      <c r="DU279" s="274"/>
      <c r="DV279" s="48"/>
      <c r="DW279" s="81">
        <v>0</v>
      </c>
      <c r="DX279" s="49"/>
      <c r="DY279" s="19"/>
      <c r="DZ279" s="274"/>
      <c r="EA279" s="48"/>
      <c r="EB279" s="81">
        <v>0</v>
      </c>
      <c r="EC279" s="49"/>
      <c r="ED279" s="19"/>
      <c r="EE279" s="274"/>
      <c r="EF279" s="48"/>
      <c r="EG279" s="81">
        <f>EG285+EG288+EG320+EG291+EG297+EG300+EG303+EG306+EG308+EG317+EG323+EG326+EG329+EG332+EG335+EG338+EG341+EG282+EG313+EG294</f>
        <v>663239</v>
      </c>
      <c r="EH279" s="49"/>
      <c r="EI279" s="19"/>
      <c r="EJ279" s="274"/>
      <c r="EK279" s="48"/>
      <c r="EL279" s="226">
        <f>EL285+EL288+EL320+EL291+EL297+EL300+EL303+EL306+EL308+EL317+EL323+EL326+EL329+EL332+EL335+EL338+EL341+EL282+EL313+EL294</f>
        <v>4361282</v>
      </c>
      <c r="EM279" s="49"/>
      <c r="EN279" s="19"/>
      <c r="EO279" s="244"/>
      <c r="ER279" s="451"/>
      <c r="ES279" s="451"/>
    </row>
    <row r="280" spans="4:149" x14ac:dyDescent="0.2">
      <c r="D280" s="244"/>
      <c r="E280" s="202"/>
      <c r="F280" s="350"/>
      <c r="G280" s="19"/>
      <c r="H280" s="19"/>
      <c r="I280" s="19"/>
      <c r="J280" s="274"/>
      <c r="K280" s="19"/>
      <c r="L280" s="19"/>
      <c r="M280" s="19"/>
      <c r="N280" s="19"/>
      <c r="O280" s="274"/>
      <c r="P280" s="19"/>
      <c r="Q280" s="19"/>
      <c r="R280" s="19"/>
      <c r="S280" s="19"/>
      <c r="T280" s="274"/>
      <c r="U280" s="19"/>
      <c r="V280" s="19"/>
      <c r="W280" s="19"/>
      <c r="X280" s="19"/>
      <c r="Y280" s="274"/>
      <c r="Z280" s="19"/>
      <c r="AA280" s="19"/>
      <c r="AB280" s="19"/>
      <c r="AC280" s="19"/>
      <c r="AD280" s="274"/>
      <c r="AE280" s="19"/>
      <c r="AF280" s="19"/>
      <c r="AG280" s="19"/>
      <c r="AH280" s="19"/>
      <c r="AI280" s="274"/>
      <c r="AJ280" s="19"/>
      <c r="AK280" s="19"/>
      <c r="AL280" s="19"/>
      <c r="AM280" s="19"/>
      <c r="AN280" s="274"/>
      <c r="AO280" s="19"/>
      <c r="AP280" s="19"/>
      <c r="AQ280" s="19"/>
      <c r="AR280" s="19"/>
      <c r="AS280" s="274"/>
      <c r="AT280" s="19"/>
      <c r="AU280" s="19"/>
      <c r="AV280" s="19"/>
      <c r="AW280" s="19"/>
      <c r="AX280" s="274"/>
      <c r="AY280" s="19"/>
      <c r="AZ280" s="19"/>
      <c r="BA280" s="19"/>
      <c r="BB280" s="19"/>
      <c r="BC280" s="274"/>
      <c r="BD280" s="19"/>
      <c r="BE280" s="19"/>
      <c r="BF280" s="19"/>
      <c r="BG280" s="19"/>
      <c r="BH280" s="274"/>
      <c r="BI280" s="19"/>
      <c r="BJ280" s="19"/>
      <c r="BK280" s="19"/>
      <c r="BL280" s="19"/>
      <c r="BM280" s="274"/>
      <c r="BN280" s="19"/>
      <c r="BO280" s="19"/>
      <c r="BP280" s="19"/>
      <c r="BQ280" s="19"/>
      <c r="BR280" s="274"/>
      <c r="BS280" s="19"/>
      <c r="BT280" s="19"/>
      <c r="BU280" s="19"/>
      <c r="BV280" s="19"/>
      <c r="BW280" s="274"/>
      <c r="BX280" s="19"/>
      <c r="BY280" s="19"/>
      <c r="BZ280" s="19"/>
      <c r="CA280" s="19"/>
      <c r="CB280" s="274"/>
      <c r="CC280" s="19"/>
      <c r="CD280" s="19"/>
      <c r="CE280" s="19"/>
      <c r="CF280" s="19"/>
      <c r="CG280" s="274"/>
      <c r="CH280" s="19"/>
      <c r="CI280" s="19"/>
      <c r="CJ280" s="19"/>
      <c r="CK280" s="19"/>
      <c r="CL280" s="274"/>
      <c r="CM280" s="19"/>
      <c r="CN280" s="19"/>
      <c r="CO280" s="19"/>
      <c r="CP280" s="19"/>
      <c r="CQ280" s="274"/>
      <c r="CR280" s="19"/>
      <c r="CS280" s="19"/>
      <c r="CT280" s="19"/>
      <c r="CU280" s="19"/>
      <c r="CV280" s="274"/>
      <c r="CW280" s="19"/>
      <c r="CX280" s="19"/>
      <c r="CY280" s="19"/>
      <c r="CZ280" s="19"/>
      <c r="DA280" s="274"/>
      <c r="DB280" s="19"/>
      <c r="DC280" s="19"/>
      <c r="DD280" s="19"/>
      <c r="DE280" s="19"/>
      <c r="DF280" s="274"/>
      <c r="DG280" s="19"/>
      <c r="DH280" s="19"/>
      <c r="DI280" s="19"/>
      <c r="DJ280" s="19"/>
      <c r="DK280" s="274"/>
      <c r="DL280" s="19"/>
      <c r="DM280" s="19"/>
      <c r="DN280" s="19"/>
      <c r="DO280" s="19"/>
      <c r="DP280" s="274"/>
      <c r="DQ280" s="19"/>
      <c r="DR280" s="19"/>
      <c r="DS280" s="19"/>
      <c r="DT280" s="19"/>
      <c r="DU280" s="274"/>
      <c r="DV280" s="19"/>
      <c r="DW280" s="19"/>
      <c r="DX280" s="19"/>
      <c r="DY280" s="19"/>
      <c r="DZ280" s="274"/>
      <c r="EA280" s="19"/>
      <c r="EB280" s="19"/>
      <c r="EC280" s="19"/>
      <c r="ED280" s="19"/>
      <c r="EE280" s="274"/>
      <c r="EF280" s="19"/>
      <c r="EG280" s="19"/>
      <c r="EH280" s="19"/>
      <c r="EI280" s="19"/>
      <c r="EJ280" s="274"/>
      <c r="EK280" s="19"/>
      <c r="EL280" s="19"/>
      <c r="EM280" s="19"/>
      <c r="EN280" s="19"/>
      <c r="EO280" s="244"/>
      <c r="ER280" s="451"/>
      <c r="ES280" s="451"/>
    </row>
    <row r="281" spans="4:149" ht="12.75" hidden="1" customHeight="1" x14ac:dyDescent="0.2">
      <c r="D281" s="244" t="s">
        <v>404</v>
      </c>
      <c r="G281" s="19">
        <v>0</v>
      </c>
      <c r="H281" s="19"/>
      <c r="I281" s="19"/>
      <c r="J281" s="274"/>
      <c r="K281" s="19"/>
      <c r="L281" s="19">
        <f>SUM(L282:L282)</f>
        <v>0</v>
      </c>
      <c r="M281" s="19"/>
      <c r="N281" s="19"/>
      <c r="O281" s="274"/>
      <c r="P281" s="19"/>
      <c r="Q281" s="19">
        <f>SUM(Q282:Q282)</f>
        <v>0</v>
      </c>
      <c r="R281" s="19"/>
      <c r="S281" s="19"/>
      <c r="T281" s="274"/>
      <c r="U281" s="19"/>
      <c r="V281" s="19">
        <f>SUM(V282:V282)</f>
        <v>0</v>
      </c>
      <c r="W281" s="19"/>
      <c r="X281" s="19"/>
      <c r="Y281" s="274"/>
      <c r="Z281" s="19"/>
      <c r="AA281" s="19">
        <f>SUM(AA282:AA282)</f>
        <v>0</v>
      </c>
      <c r="AB281" s="19"/>
      <c r="AC281" s="19"/>
      <c r="AD281" s="274"/>
      <c r="AE281" s="19"/>
      <c r="AF281" s="19">
        <f>SUM(AF282:AF282)</f>
        <v>0</v>
      </c>
      <c r="AG281" s="19"/>
      <c r="AH281" s="19"/>
      <c r="AI281" s="274"/>
      <c r="AJ281" s="19"/>
      <c r="AK281" s="19">
        <f>SUM(AK282:AK282)</f>
        <v>0</v>
      </c>
      <c r="AL281" s="19"/>
      <c r="AM281" s="19"/>
      <c r="AN281" s="274"/>
      <c r="AO281" s="19"/>
      <c r="AP281" s="19">
        <f>SUM(AP282:AP282)</f>
        <v>0</v>
      </c>
      <c r="AQ281" s="19"/>
      <c r="AR281" s="19"/>
      <c r="AS281" s="274"/>
      <c r="AT281" s="19"/>
      <c r="AU281" s="19">
        <f>SUM(AU282:AU282)</f>
        <v>0</v>
      </c>
      <c r="AV281" s="19"/>
      <c r="AW281" s="19"/>
      <c r="AX281" s="274"/>
      <c r="AY281" s="19"/>
      <c r="AZ281" s="19">
        <f>SUM(AZ282:AZ282)</f>
        <v>0</v>
      </c>
      <c r="BA281" s="19"/>
      <c r="BB281" s="19"/>
      <c r="BC281" s="274"/>
      <c r="BD281" s="19"/>
      <c r="BE281" s="19">
        <f>SUM(BE282:BE282)</f>
        <v>0</v>
      </c>
      <c r="BF281" s="19"/>
      <c r="BG281" s="19"/>
      <c r="BH281" s="274"/>
      <c r="BI281" s="19"/>
      <c r="BJ281" s="19">
        <f>SUM(BJ282:BJ282)</f>
        <v>0</v>
      </c>
      <c r="BK281" s="19"/>
      <c r="BL281" s="19"/>
      <c r="BM281" s="274"/>
      <c r="BN281" s="19"/>
      <c r="BO281" s="19">
        <f>SUM(BO282:BO282)</f>
        <v>0</v>
      </c>
      <c r="BP281" s="19"/>
      <c r="BQ281" s="19"/>
      <c r="BR281" s="274"/>
      <c r="BS281" s="19"/>
      <c r="BT281" s="19">
        <f>SUM(BT282:BT282)</f>
        <v>0</v>
      </c>
      <c r="BU281" s="19"/>
      <c r="BV281" s="19"/>
      <c r="BW281" s="274"/>
      <c r="BX281" s="19"/>
      <c r="BY281" s="19">
        <f>SUM(BY282:BY282)</f>
        <v>0</v>
      </c>
      <c r="BZ281" s="19"/>
      <c r="CA281" s="19"/>
      <c r="CB281" s="274"/>
      <c r="CC281" s="19"/>
      <c r="CD281" s="19">
        <f>SUM(CD282:CD282)</f>
        <v>0</v>
      </c>
      <c r="CE281" s="19"/>
      <c r="CF281" s="19"/>
      <c r="CG281" s="274"/>
      <c r="CH281" s="19"/>
      <c r="CI281" s="19">
        <f>SUM(CI282:CI282)</f>
        <v>0</v>
      </c>
      <c r="CJ281" s="19"/>
      <c r="CK281" s="19"/>
      <c r="CL281" s="274"/>
      <c r="CM281" s="19"/>
      <c r="CN281" s="19">
        <f>SUM(CN282:CN282)</f>
        <v>0</v>
      </c>
      <c r="CO281" s="19"/>
      <c r="CP281" s="19"/>
      <c r="CQ281" s="274"/>
      <c r="CR281" s="19"/>
      <c r="CS281" s="19">
        <f>SUM(CS282:CS282)</f>
        <v>0</v>
      </c>
      <c r="CT281" s="19"/>
      <c r="CU281" s="19"/>
      <c r="CV281" s="274"/>
      <c r="CW281" s="19"/>
      <c r="CX281" s="19">
        <f>SUM(CX282:CX282)</f>
        <v>0</v>
      </c>
      <c r="CY281" s="19"/>
      <c r="CZ281" s="19"/>
      <c r="DA281" s="274"/>
      <c r="DB281" s="19"/>
      <c r="DC281" s="19">
        <f>SUM(DC282:DC282)</f>
        <v>0</v>
      </c>
      <c r="DD281" s="19"/>
      <c r="DE281" s="19"/>
      <c r="DF281" s="274"/>
      <c r="DG281" s="19"/>
      <c r="DH281" s="19">
        <f>SUM(DH282:DH282)</f>
        <v>0</v>
      </c>
      <c r="DI281" s="19"/>
      <c r="DJ281" s="19"/>
      <c r="DK281" s="274"/>
      <c r="DL281" s="19"/>
      <c r="DM281" s="19">
        <f>SUM(DM282:DM282)</f>
        <v>0</v>
      </c>
      <c r="DN281" s="19"/>
      <c r="DO281" s="19"/>
      <c r="DP281" s="274"/>
      <c r="DQ281" s="19"/>
      <c r="DR281" s="19">
        <f>SUM(DR282:DR282)</f>
        <v>0</v>
      </c>
      <c r="DS281" s="19"/>
      <c r="DT281" s="19"/>
      <c r="DU281" s="274"/>
      <c r="DV281" s="19"/>
      <c r="DW281" s="19">
        <f>SUM(DW282:DW282)</f>
        <v>0</v>
      </c>
      <c r="DX281" s="19"/>
      <c r="DY281" s="19"/>
      <c r="DZ281" s="274"/>
      <c r="EA281" s="19"/>
      <c r="EB281" s="19">
        <f>SUM(EB282:EB282)</f>
        <v>0</v>
      </c>
      <c r="EC281" s="19"/>
      <c r="ED281" s="19"/>
      <c r="EE281" s="274"/>
      <c r="EF281" s="19"/>
      <c r="EG281" s="19">
        <f>SUM(EG282:EG282)</f>
        <v>0</v>
      </c>
      <c r="EH281" s="19"/>
      <c r="EI281" s="19"/>
      <c r="EJ281" s="274"/>
      <c r="EK281" s="19"/>
      <c r="EL281" s="19">
        <f>SUM(EL282:EL282)</f>
        <v>0</v>
      </c>
      <c r="EM281" s="19"/>
      <c r="EN281" s="19"/>
      <c r="EO281" s="244"/>
      <c r="ER281" s="451"/>
      <c r="ES281" s="451"/>
    </row>
    <row r="282" spans="4:149" ht="12.75" hidden="1" customHeight="1" x14ac:dyDescent="0.2">
      <c r="D282" s="244" t="s">
        <v>344</v>
      </c>
      <c r="F282" s="91"/>
      <c r="G282" s="81">
        <v>0</v>
      </c>
      <c r="H282" s="49"/>
      <c r="I282" s="19"/>
      <c r="J282" s="274"/>
      <c r="K282" s="48"/>
      <c r="L282" s="81">
        <v>0</v>
      </c>
      <c r="M282" s="49"/>
      <c r="N282" s="19"/>
      <c r="O282" s="274"/>
      <c r="P282" s="48"/>
      <c r="Q282" s="81">
        <v>0</v>
      </c>
      <c r="R282" s="49"/>
      <c r="S282" s="19"/>
      <c r="T282" s="274"/>
      <c r="U282" s="48"/>
      <c r="V282" s="81">
        <v>0</v>
      </c>
      <c r="W282" s="49"/>
      <c r="X282" s="19"/>
      <c r="Y282" s="274"/>
      <c r="Z282" s="48"/>
      <c r="AA282" s="81">
        <v>0</v>
      </c>
      <c r="AB282" s="49"/>
      <c r="AC282" s="19"/>
      <c r="AD282" s="274"/>
      <c r="AE282" s="48"/>
      <c r="AF282" s="81">
        <v>0</v>
      </c>
      <c r="AG282" s="49"/>
      <c r="AH282" s="19"/>
      <c r="AI282" s="274"/>
      <c r="AJ282" s="48"/>
      <c r="AK282" s="81">
        <v>0</v>
      </c>
      <c r="AL282" s="49"/>
      <c r="AM282" s="19"/>
      <c r="AN282" s="274"/>
      <c r="AO282" s="48"/>
      <c r="AP282" s="81">
        <v>0</v>
      </c>
      <c r="AQ282" s="49"/>
      <c r="AR282" s="19"/>
      <c r="AS282" s="274"/>
      <c r="AT282" s="48"/>
      <c r="AU282" s="81">
        <v>0</v>
      </c>
      <c r="AV282" s="49"/>
      <c r="AW282" s="19"/>
      <c r="AX282" s="274"/>
      <c r="AY282" s="48"/>
      <c r="AZ282" s="81">
        <v>0</v>
      </c>
      <c r="BA282" s="49"/>
      <c r="BB282" s="19"/>
      <c r="BC282" s="274"/>
      <c r="BD282" s="48"/>
      <c r="BE282" s="81">
        <v>0</v>
      </c>
      <c r="BF282" s="49"/>
      <c r="BG282" s="19"/>
      <c r="BH282" s="274"/>
      <c r="BI282" s="48"/>
      <c r="BJ282" s="81">
        <v>0</v>
      </c>
      <c r="BK282" s="49"/>
      <c r="BL282" s="19"/>
      <c r="BM282" s="274"/>
      <c r="BN282" s="48"/>
      <c r="BO282" s="81">
        <v>0</v>
      </c>
      <c r="BP282" s="49"/>
      <c r="BQ282" s="19"/>
      <c r="BR282" s="274"/>
      <c r="BS282" s="48"/>
      <c r="BT282" s="81">
        <f>SUM(L282:BO282)</f>
        <v>0</v>
      </c>
      <c r="BU282" s="49"/>
      <c r="BV282" s="19"/>
      <c r="BW282" s="274"/>
      <c r="BX282" s="48"/>
      <c r="BY282" s="81">
        <f>SUM(Q282:BT282)</f>
        <v>0</v>
      </c>
      <c r="BZ282" s="49"/>
      <c r="CA282" s="19"/>
      <c r="CB282" s="274"/>
      <c r="CC282" s="48"/>
      <c r="CD282" s="81">
        <v>0</v>
      </c>
      <c r="CE282" s="49"/>
      <c r="CF282" s="19"/>
      <c r="CG282" s="274"/>
      <c r="CH282" s="48"/>
      <c r="CI282" s="81">
        <v>0</v>
      </c>
      <c r="CJ282" s="49"/>
      <c r="CK282" s="19"/>
      <c r="CL282" s="274"/>
      <c r="CM282" s="48"/>
      <c r="CN282" s="81">
        <v>0</v>
      </c>
      <c r="CO282" s="49"/>
      <c r="CP282" s="19"/>
      <c r="CQ282" s="274"/>
      <c r="CR282" s="48"/>
      <c r="CS282" s="81">
        <v>0</v>
      </c>
      <c r="CT282" s="49"/>
      <c r="CU282" s="19"/>
      <c r="CV282" s="274"/>
      <c r="CW282" s="48"/>
      <c r="CX282" s="81">
        <v>0</v>
      </c>
      <c r="CY282" s="49"/>
      <c r="CZ282" s="19"/>
      <c r="DA282" s="274"/>
      <c r="DB282" s="48"/>
      <c r="DC282" s="81">
        <v>0</v>
      </c>
      <c r="DD282" s="49"/>
      <c r="DE282" s="19"/>
      <c r="DF282" s="274"/>
      <c r="DG282" s="48"/>
      <c r="DH282" s="81">
        <v>0</v>
      </c>
      <c r="DI282" s="49"/>
      <c r="DJ282" s="19"/>
      <c r="DK282" s="274"/>
      <c r="DL282" s="48"/>
      <c r="DM282" s="81">
        <v>0</v>
      </c>
      <c r="DN282" s="49"/>
      <c r="DO282" s="19"/>
      <c r="DP282" s="274"/>
      <c r="DQ282" s="48"/>
      <c r="DR282" s="81">
        <v>0</v>
      </c>
      <c r="DS282" s="49"/>
      <c r="DT282" s="19"/>
      <c r="DU282" s="274"/>
      <c r="DV282" s="48"/>
      <c r="DW282" s="81">
        <v>0</v>
      </c>
      <c r="DX282" s="49"/>
      <c r="DY282" s="19"/>
      <c r="DZ282" s="274"/>
      <c r="EA282" s="48"/>
      <c r="EB282" s="81">
        <v>0</v>
      </c>
      <c r="EC282" s="49"/>
      <c r="ED282" s="19"/>
      <c r="EE282" s="274"/>
      <c r="EF282" s="48"/>
      <c r="EG282" s="81">
        <v>0</v>
      </c>
      <c r="EH282" s="49"/>
      <c r="EI282" s="19"/>
      <c r="EJ282" s="274"/>
      <c r="EK282" s="48"/>
      <c r="EL282" s="81">
        <f>SUM(CD282:EG282)</f>
        <v>0</v>
      </c>
      <c r="EM282" s="49"/>
      <c r="EN282" s="19"/>
      <c r="EO282" s="244"/>
      <c r="ER282" s="451"/>
      <c r="ES282" s="451"/>
    </row>
    <row r="283" spans="4:149" ht="12.75" hidden="1" customHeight="1" x14ac:dyDescent="0.2">
      <c r="D283" s="244"/>
      <c r="E283" s="202"/>
      <c r="F283" s="350"/>
      <c r="G283" s="19"/>
      <c r="H283" s="19"/>
      <c r="I283" s="19"/>
      <c r="J283" s="274"/>
      <c r="K283" s="19"/>
      <c r="L283" s="19"/>
      <c r="M283" s="19"/>
      <c r="N283" s="19"/>
      <c r="O283" s="274"/>
      <c r="P283" s="19"/>
      <c r="Q283" s="19"/>
      <c r="R283" s="19"/>
      <c r="S283" s="19"/>
      <c r="T283" s="274"/>
      <c r="U283" s="19"/>
      <c r="V283" s="19"/>
      <c r="W283" s="19"/>
      <c r="X283" s="19"/>
      <c r="Y283" s="274"/>
      <c r="Z283" s="19"/>
      <c r="AA283" s="19"/>
      <c r="AB283" s="19"/>
      <c r="AC283" s="19"/>
      <c r="AD283" s="274"/>
      <c r="AE283" s="19"/>
      <c r="AF283" s="19"/>
      <c r="AG283" s="19"/>
      <c r="AH283" s="19"/>
      <c r="AI283" s="274"/>
      <c r="AJ283" s="19"/>
      <c r="AK283" s="19"/>
      <c r="AL283" s="19"/>
      <c r="AM283" s="19"/>
      <c r="AN283" s="274"/>
      <c r="AO283" s="19"/>
      <c r="AP283" s="19"/>
      <c r="AQ283" s="19"/>
      <c r="AR283" s="19"/>
      <c r="AS283" s="274"/>
      <c r="AT283" s="19"/>
      <c r="AU283" s="19"/>
      <c r="AV283" s="19"/>
      <c r="AW283" s="19"/>
      <c r="AX283" s="274"/>
      <c r="AY283" s="19"/>
      <c r="AZ283" s="19"/>
      <c r="BA283" s="19"/>
      <c r="BB283" s="19"/>
      <c r="BC283" s="274"/>
      <c r="BD283" s="19"/>
      <c r="BE283" s="19"/>
      <c r="BF283" s="19"/>
      <c r="BG283" s="19"/>
      <c r="BH283" s="274"/>
      <c r="BI283" s="19"/>
      <c r="BJ283" s="19"/>
      <c r="BK283" s="19"/>
      <c r="BL283" s="19"/>
      <c r="BM283" s="274"/>
      <c r="BN283" s="19"/>
      <c r="BO283" s="19"/>
      <c r="BP283" s="19"/>
      <c r="BQ283" s="19"/>
      <c r="BR283" s="274"/>
      <c r="BS283" s="19"/>
      <c r="BT283" s="19"/>
      <c r="BU283" s="19"/>
      <c r="BV283" s="19"/>
      <c r="BW283" s="274"/>
      <c r="BX283" s="19"/>
      <c r="BY283" s="19"/>
      <c r="BZ283" s="19"/>
      <c r="CA283" s="19"/>
      <c r="CB283" s="274"/>
      <c r="CC283" s="19"/>
      <c r="CD283" s="19"/>
      <c r="CE283" s="19"/>
      <c r="CF283" s="19"/>
      <c r="CG283" s="274"/>
      <c r="CH283" s="19"/>
      <c r="CI283" s="19"/>
      <c r="CJ283" s="19"/>
      <c r="CK283" s="19"/>
      <c r="CL283" s="274"/>
      <c r="CM283" s="19"/>
      <c r="CN283" s="19"/>
      <c r="CO283" s="19"/>
      <c r="CP283" s="19"/>
      <c r="CQ283" s="274"/>
      <c r="CR283" s="19"/>
      <c r="CS283" s="19"/>
      <c r="CT283" s="19"/>
      <c r="CU283" s="19"/>
      <c r="CV283" s="274"/>
      <c r="CW283" s="19"/>
      <c r="CX283" s="19"/>
      <c r="CY283" s="19"/>
      <c r="CZ283" s="19"/>
      <c r="DA283" s="274"/>
      <c r="DB283" s="19"/>
      <c r="DC283" s="19"/>
      <c r="DD283" s="19"/>
      <c r="DE283" s="19"/>
      <c r="DF283" s="274"/>
      <c r="DG283" s="19"/>
      <c r="DH283" s="19"/>
      <c r="DI283" s="19"/>
      <c r="DJ283" s="19"/>
      <c r="DK283" s="274"/>
      <c r="DL283" s="19"/>
      <c r="DM283" s="19"/>
      <c r="DN283" s="19"/>
      <c r="DO283" s="19"/>
      <c r="DP283" s="274"/>
      <c r="DQ283" s="19"/>
      <c r="DR283" s="19"/>
      <c r="DS283" s="19"/>
      <c r="DT283" s="19"/>
      <c r="DU283" s="274"/>
      <c r="DV283" s="19"/>
      <c r="DW283" s="19"/>
      <c r="DX283" s="19"/>
      <c r="DY283" s="19"/>
      <c r="DZ283" s="274"/>
      <c r="EA283" s="19"/>
      <c r="EB283" s="19"/>
      <c r="EC283" s="19"/>
      <c r="ED283" s="19"/>
      <c r="EE283" s="274"/>
      <c r="EF283" s="19"/>
      <c r="EG283" s="19"/>
      <c r="EH283" s="19"/>
      <c r="EI283" s="19"/>
      <c r="EJ283" s="274"/>
      <c r="EK283" s="19"/>
      <c r="EL283" s="19"/>
      <c r="EM283" s="19"/>
      <c r="EN283" s="19"/>
      <c r="EO283" s="244"/>
      <c r="ER283" s="451"/>
      <c r="ES283" s="451"/>
    </row>
    <row r="284" spans="4:149" x14ac:dyDescent="0.2">
      <c r="D284" s="244" t="s">
        <v>371</v>
      </c>
      <c r="G284" s="19">
        <f>SUM(G285:G285)</f>
        <v>555556</v>
      </c>
      <c r="H284" s="19"/>
      <c r="I284" s="19"/>
      <c r="J284" s="274"/>
      <c r="K284" s="19"/>
      <c r="L284" s="19">
        <f>SUM(L285:L285)</f>
        <v>487336</v>
      </c>
      <c r="M284" s="19"/>
      <c r="N284" s="19"/>
      <c r="O284" s="274"/>
      <c r="P284" s="19"/>
      <c r="Q284" s="19">
        <f>SUM(Q285:Q285)</f>
        <v>0</v>
      </c>
      <c r="R284" s="19"/>
      <c r="S284" s="19"/>
      <c r="T284" s="274"/>
      <c r="U284" s="19"/>
      <c r="V284" s="19">
        <f>SUM(V285:V285)</f>
        <v>0</v>
      </c>
      <c r="W284" s="19"/>
      <c r="X284" s="19"/>
      <c r="Y284" s="274"/>
      <c r="Z284" s="19"/>
      <c r="AA284" s="19">
        <f>SUM(AA285:AA285)</f>
        <v>0</v>
      </c>
      <c r="AB284" s="19"/>
      <c r="AC284" s="19"/>
      <c r="AD284" s="274"/>
      <c r="AE284" s="19"/>
      <c r="AF284" s="19">
        <f>SUM(AF285:AF285)</f>
        <v>0</v>
      </c>
      <c r="AG284" s="19"/>
      <c r="AH284" s="19"/>
      <c r="AI284" s="274"/>
      <c r="AJ284" s="19"/>
      <c r="AK284" s="19">
        <f>SUM(AK285:AK285)</f>
        <v>0</v>
      </c>
      <c r="AL284" s="19"/>
      <c r="AM284" s="19"/>
      <c r="AN284" s="274"/>
      <c r="AO284" s="19"/>
      <c r="AP284" s="19">
        <f>SUM(AP285:AP285)</f>
        <v>0</v>
      </c>
      <c r="AQ284" s="19"/>
      <c r="AR284" s="19"/>
      <c r="AS284" s="274"/>
      <c r="AT284" s="19"/>
      <c r="AU284" s="19">
        <f>SUM(AU285:AU285)</f>
        <v>0</v>
      </c>
      <c r="AV284" s="19"/>
      <c r="AW284" s="19"/>
      <c r="AX284" s="274"/>
      <c r="AY284" s="19"/>
      <c r="AZ284" s="19">
        <f>SUM(AZ285:AZ285)</f>
        <v>68220</v>
      </c>
      <c r="BA284" s="19"/>
      <c r="BB284" s="19"/>
      <c r="BC284" s="274"/>
      <c r="BD284" s="19"/>
      <c r="BE284" s="19">
        <f>SUM(BE285:BE285)</f>
        <v>0</v>
      </c>
      <c r="BF284" s="19"/>
      <c r="BG284" s="19"/>
      <c r="BH284" s="274"/>
      <c r="BI284" s="19"/>
      <c r="BJ284" s="19">
        <f>SUM(BJ285:BJ285)</f>
        <v>119402</v>
      </c>
      <c r="BK284" s="19"/>
      <c r="BL284" s="19"/>
      <c r="BM284" s="274"/>
      <c r="BN284" s="19"/>
      <c r="BO284" s="19">
        <f>SUM(BO285:BO285)</f>
        <v>31938</v>
      </c>
      <c r="BP284" s="19"/>
      <c r="BQ284" s="19"/>
      <c r="BR284" s="274"/>
      <c r="BS284" s="19"/>
      <c r="BT284" s="19">
        <f>SUM(BT285:BT285)</f>
        <v>706896</v>
      </c>
      <c r="BU284" s="19"/>
      <c r="BV284" s="19"/>
      <c r="BW284" s="274"/>
      <c r="BX284" s="19"/>
      <c r="BY284" s="19">
        <f>SUM(BY285:BY285)</f>
        <v>89569</v>
      </c>
      <c r="BZ284" s="19"/>
      <c r="CA284" s="19"/>
      <c r="CB284" s="274"/>
      <c r="CC284" s="19"/>
      <c r="CD284" s="19">
        <f>SUM(CD285:CD285)</f>
        <v>0</v>
      </c>
      <c r="CE284" s="19"/>
      <c r="CF284" s="19"/>
      <c r="CG284" s="274"/>
      <c r="CH284" s="19"/>
      <c r="CI284" s="19">
        <f>SUM(CI285:CI285)</f>
        <v>0</v>
      </c>
      <c r="CJ284" s="19"/>
      <c r="CK284" s="19"/>
      <c r="CL284" s="274"/>
      <c r="CM284" s="19"/>
      <c r="CN284" s="19">
        <f>SUM(CN285:CN285)</f>
        <v>0</v>
      </c>
      <c r="CO284" s="19"/>
      <c r="CP284" s="19"/>
      <c r="CQ284" s="274"/>
      <c r="CR284" s="19"/>
      <c r="CS284" s="19">
        <f>SUM(CS285:CS285)</f>
        <v>0</v>
      </c>
      <c r="CT284" s="19"/>
      <c r="CU284" s="19"/>
      <c r="CV284" s="274"/>
      <c r="CW284" s="19"/>
      <c r="CX284" s="19">
        <f>SUM(CX285:CX285)</f>
        <v>0</v>
      </c>
      <c r="CY284" s="19"/>
      <c r="CZ284" s="19"/>
      <c r="DA284" s="274"/>
      <c r="DB284" s="19"/>
      <c r="DC284" s="19">
        <f>SUM(DC285:DC285)</f>
        <v>0</v>
      </c>
      <c r="DD284" s="19"/>
      <c r="DE284" s="19"/>
      <c r="DF284" s="274"/>
      <c r="DG284" s="19"/>
      <c r="DH284" s="19">
        <f>SUM(DH285:DH285)</f>
        <v>0</v>
      </c>
      <c r="DI284" s="19"/>
      <c r="DJ284" s="19"/>
      <c r="DK284" s="274"/>
      <c r="DL284" s="19"/>
      <c r="DM284" s="19">
        <f>SUM(DM285:DM285)</f>
        <v>0</v>
      </c>
      <c r="DN284" s="19"/>
      <c r="DO284" s="19"/>
      <c r="DP284" s="274"/>
      <c r="DQ284" s="19"/>
      <c r="DR284" s="19">
        <f>SUM(DR285:DR285)</f>
        <v>0</v>
      </c>
      <c r="DS284" s="19"/>
      <c r="DT284" s="19"/>
      <c r="DU284" s="274"/>
      <c r="DV284" s="19"/>
      <c r="DW284" s="19">
        <f>SUM(DW285:DW285)</f>
        <v>0</v>
      </c>
      <c r="DX284" s="19"/>
      <c r="DY284" s="19"/>
      <c r="DZ284" s="274"/>
      <c r="EA284" s="19"/>
      <c r="EB284" s="19">
        <f>SUM(EB285:EB285)</f>
        <v>0</v>
      </c>
      <c r="EC284" s="19"/>
      <c r="ED284" s="19"/>
      <c r="EE284" s="274"/>
      <c r="EF284" s="19"/>
      <c r="EG284" s="19">
        <f>SUM(EG285:EG285)</f>
        <v>89569</v>
      </c>
      <c r="EH284" s="19"/>
      <c r="EI284" s="19"/>
      <c r="EJ284" s="274"/>
      <c r="EK284" s="19"/>
      <c r="EL284" s="19">
        <f>SUM(EL285:EL285)</f>
        <v>89569</v>
      </c>
      <c r="EM284" s="19"/>
      <c r="EN284" s="19"/>
      <c r="EO284" s="244"/>
      <c r="ER284" s="451"/>
      <c r="ES284" s="451"/>
    </row>
    <row r="285" spans="4:149" x14ac:dyDescent="0.2">
      <c r="D285" s="244" t="s">
        <v>344</v>
      </c>
      <c r="F285" s="91"/>
      <c r="G285" s="81">
        <v>555556</v>
      </c>
      <c r="H285" s="49"/>
      <c r="I285" s="19"/>
      <c r="J285" s="274"/>
      <c r="K285" s="48"/>
      <c r="L285" s="81">
        <v>487336</v>
      </c>
      <c r="M285" s="49"/>
      <c r="N285" s="19"/>
      <c r="O285" s="274"/>
      <c r="P285" s="48"/>
      <c r="Q285" s="81">
        <v>0</v>
      </c>
      <c r="R285" s="49"/>
      <c r="S285" s="19"/>
      <c r="T285" s="274"/>
      <c r="U285" s="48"/>
      <c r="V285" s="81">
        <v>0</v>
      </c>
      <c r="W285" s="49"/>
      <c r="X285" s="19"/>
      <c r="Y285" s="274"/>
      <c r="Z285" s="48"/>
      <c r="AA285" s="81">
        <v>0</v>
      </c>
      <c r="AB285" s="49"/>
      <c r="AC285" s="19"/>
      <c r="AD285" s="274"/>
      <c r="AE285" s="48"/>
      <c r="AF285" s="81">
        <v>0</v>
      </c>
      <c r="AG285" s="49"/>
      <c r="AH285" s="19"/>
      <c r="AI285" s="274"/>
      <c r="AJ285" s="48"/>
      <c r="AK285" s="81">
        <v>0</v>
      </c>
      <c r="AL285" s="49"/>
      <c r="AM285" s="19"/>
      <c r="AN285" s="274"/>
      <c r="AO285" s="48"/>
      <c r="AP285" s="81">
        <v>0</v>
      </c>
      <c r="AQ285" s="49"/>
      <c r="AR285" s="19"/>
      <c r="AS285" s="274"/>
      <c r="AT285" s="48"/>
      <c r="AU285" s="81">
        <v>0</v>
      </c>
      <c r="AV285" s="49"/>
      <c r="AW285" s="19"/>
      <c r="AX285" s="274"/>
      <c r="AY285" s="48"/>
      <c r="AZ285" s="81">
        <v>68220</v>
      </c>
      <c r="BA285" s="49"/>
      <c r="BB285" s="19"/>
      <c r="BC285" s="274"/>
      <c r="BD285" s="48"/>
      <c r="BE285" s="81">
        <v>0</v>
      </c>
      <c r="BF285" s="49"/>
      <c r="BG285" s="19"/>
      <c r="BH285" s="274"/>
      <c r="BI285" s="48"/>
      <c r="BJ285" s="81">
        <v>119402</v>
      </c>
      <c r="BK285" s="49"/>
      <c r="BL285" s="19"/>
      <c r="BM285" s="274"/>
      <c r="BN285" s="48"/>
      <c r="BO285" s="81">
        <v>31938</v>
      </c>
      <c r="BP285" s="49"/>
      <c r="BQ285" s="19"/>
      <c r="BR285" s="274"/>
      <c r="BS285" s="48"/>
      <c r="BT285" s="81">
        <f>SUM(L285:BO285)</f>
        <v>706896</v>
      </c>
      <c r="BU285" s="49"/>
      <c r="BV285" s="19"/>
      <c r="BW285" s="274"/>
      <c r="BX285" s="48"/>
      <c r="BY285" s="81">
        <v>89569</v>
      </c>
      <c r="BZ285" s="49"/>
      <c r="CA285" s="19"/>
      <c r="CB285" s="274"/>
      <c r="CC285" s="48"/>
      <c r="CD285" s="81">
        <v>0</v>
      </c>
      <c r="CE285" s="49"/>
      <c r="CF285" s="19"/>
      <c r="CG285" s="274"/>
      <c r="CH285" s="48"/>
      <c r="CI285" s="81">
        <v>0</v>
      </c>
      <c r="CJ285" s="49"/>
      <c r="CK285" s="19"/>
      <c r="CL285" s="274"/>
      <c r="CM285" s="48"/>
      <c r="CN285" s="81">
        <v>0</v>
      </c>
      <c r="CO285" s="49"/>
      <c r="CP285" s="19"/>
      <c r="CQ285" s="274"/>
      <c r="CR285" s="48"/>
      <c r="CS285" s="81">
        <v>0</v>
      </c>
      <c r="CT285" s="49"/>
      <c r="CU285" s="19"/>
      <c r="CV285" s="274"/>
      <c r="CW285" s="48"/>
      <c r="CX285" s="81">
        <v>0</v>
      </c>
      <c r="CY285" s="49"/>
      <c r="CZ285" s="19"/>
      <c r="DA285" s="274"/>
      <c r="DB285" s="48"/>
      <c r="DC285" s="81">
        <v>0</v>
      </c>
      <c r="DD285" s="49"/>
      <c r="DE285" s="19"/>
      <c r="DF285" s="274"/>
      <c r="DG285" s="48"/>
      <c r="DH285" s="81">
        <v>0</v>
      </c>
      <c r="DI285" s="49"/>
      <c r="DJ285" s="19"/>
      <c r="DK285" s="274"/>
      <c r="DL285" s="48"/>
      <c r="DM285" s="81">
        <v>0</v>
      </c>
      <c r="DN285" s="49"/>
      <c r="DO285" s="19"/>
      <c r="DP285" s="274"/>
      <c r="DQ285" s="48"/>
      <c r="DR285" s="81">
        <v>0</v>
      </c>
      <c r="DS285" s="49"/>
      <c r="DT285" s="19"/>
      <c r="DU285" s="274"/>
      <c r="DV285" s="48"/>
      <c r="DW285" s="81">
        <v>0</v>
      </c>
      <c r="DX285" s="49"/>
      <c r="DY285" s="19"/>
      <c r="DZ285" s="274"/>
      <c r="EA285" s="48"/>
      <c r="EB285" s="81">
        <v>0</v>
      </c>
      <c r="EC285" s="49"/>
      <c r="ED285" s="19"/>
      <c r="EE285" s="274"/>
      <c r="EF285" s="48"/>
      <c r="EG285" s="81">
        <v>89569</v>
      </c>
      <c r="EH285" s="49"/>
      <c r="EI285" s="19"/>
      <c r="EJ285" s="274"/>
      <c r="EK285" s="48"/>
      <c r="EL285" s="81">
        <f>SUM(CD285:EG285)</f>
        <v>89569</v>
      </c>
      <c r="EM285" s="49"/>
      <c r="EN285" s="19"/>
      <c r="EO285" s="244"/>
      <c r="ER285" s="451"/>
      <c r="ES285" s="451"/>
    </row>
    <row r="286" spans="4:149" x14ac:dyDescent="0.2">
      <c r="D286" s="244"/>
      <c r="G286" s="19"/>
      <c r="H286" s="19"/>
      <c r="I286" s="19"/>
      <c r="J286" s="274"/>
      <c r="K286" s="19"/>
      <c r="L286" s="19"/>
      <c r="M286" s="19"/>
      <c r="N286" s="19"/>
      <c r="O286" s="274"/>
      <c r="P286" s="19"/>
      <c r="Q286" s="19"/>
      <c r="R286" s="19"/>
      <c r="S286" s="19"/>
      <c r="T286" s="274"/>
      <c r="U286" s="19"/>
      <c r="V286" s="19"/>
      <c r="W286" s="19"/>
      <c r="X286" s="19"/>
      <c r="Y286" s="274"/>
      <c r="Z286" s="19"/>
      <c r="AA286" s="19"/>
      <c r="AB286" s="19"/>
      <c r="AC286" s="19"/>
      <c r="AD286" s="274"/>
      <c r="AE286" s="19"/>
      <c r="AF286" s="19"/>
      <c r="AG286" s="19"/>
      <c r="AH286" s="19"/>
      <c r="AI286" s="274"/>
      <c r="AJ286" s="19"/>
      <c r="AK286" s="19"/>
      <c r="AL286" s="19"/>
      <c r="AM286" s="19"/>
      <c r="AN286" s="274"/>
      <c r="AO286" s="19"/>
      <c r="AP286" s="19"/>
      <c r="AQ286" s="19"/>
      <c r="AR286" s="19"/>
      <c r="AS286" s="274"/>
      <c r="AT286" s="19"/>
      <c r="AU286" s="19"/>
      <c r="AV286" s="19"/>
      <c r="AW286" s="19"/>
      <c r="AX286" s="274"/>
      <c r="AY286" s="19"/>
      <c r="AZ286" s="19"/>
      <c r="BA286" s="19"/>
      <c r="BB286" s="19"/>
      <c r="BC286" s="274"/>
      <c r="BD286" s="19"/>
      <c r="BE286" s="19"/>
      <c r="BF286" s="19"/>
      <c r="BG286" s="19"/>
      <c r="BH286" s="274"/>
      <c r="BI286" s="19"/>
      <c r="BJ286" s="19"/>
      <c r="BK286" s="19"/>
      <c r="BL286" s="19"/>
      <c r="BM286" s="274"/>
      <c r="BN286" s="19"/>
      <c r="BO286" s="19"/>
      <c r="BP286" s="19"/>
      <c r="BQ286" s="19"/>
      <c r="BR286" s="274"/>
      <c r="BS286" s="19"/>
      <c r="BT286" s="19"/>
      <c r="BU286" s="19"/>
      <c r="BV286" s="19"/>
      <c r="BW286" s="274"/>
      <c r="BX286" s="19"/>
      <c r="BY286" s="19"/>
      <c r="BZ286" s="19"/>
      <c r="CA286" s="19"/>
      <c r="CB286" s="274"/>
      <c r="CC286" s="19"/>
      <c r="CD286" s="19"/>
      <c r="CE286" s="19"/>
      <c r="CF286" s="19"/>
      <c r="CG286" s="274"/>
      <c r="CH286" s="19"/>
      <c r="CI286" s="19"/>
      <c r="CJ286" s="19"/>
      <c r="CK286" s="19"/>
      <c r="CL286" s="274"/>
      <c r="CM286" s="19"/>
      <c r="CN286" s="19"/>
      <c r="CO286" s="19"/>
      <c r="CP286" s="19"/>
      <c r="CQ286" s="274"/>
      <c r="CR286" s="19"/>
      <c r="CS286" s="19"/>
      <c r="CT286" s="19"/>
      <c r="CU286" s="19"/>
      <c r="CV286" s="274"/>
      <c r="CW286" s="19"/>
      <c r="CX286" s="19"/>
      <c r="CY286" s="19"/>
      <c r="CZ286" s="19"/>
      <c r="DA286" s="274"/>
      <c r="DB286" s="19"/>
      <c r="DC286" s="19"/>
      <c r="DD286" s="19"/>
      <c r="DE286" s="19"/>
      <c r="DF286" s="274"/>
      <c r="DG286" s="19"/>
      <c r="DH286" s="19"/>
      <c r="DI286" s="19"/>
      <c r="DJ286" s="19"/>
      <c r="DK286" s="274"/>
      <c r="DL286" s="19"/>
      <c r="DM286" s="19"/>
      <c r="DN286" s="19"/>
      <c r="DO286" s="19"/>
      <c r="DP286" s="274"/>
      <c r="DQ286" s="19"/>
      <c r="DR286" s="19"/>
      <c r="DS286" s="19"/>
      <c r="DT286" s="19"/>
      <c r="DU286" s="274"/>
      <c r="DV286" s="19"/>
      <c r="DW286" s="19"/>
      <c r="DX286" s="19"/>
      <c r="DY286" s="19"/>
      <c r="DZ286" s="274"/>
      <c r="EA286" s="19"/>
      <c r="EB286" s="19"/>
      <c r="EC286" s="19"/>
      <c r="ED286" s="19"/>
      <c r="EE286" s="274"/>
      <c r="EF286" s="19"/>
      <c r="EG286" s="19"/>
      <c r="EH286" s="19"/>
      <c r="EI286" s="19"/>
      <c r="EJ286" s="274"/>
      <c r="EK286" s="19"/>
      <c r="EL286" s="19"/>
      <c r="EM286" s="19"/>
      <c r="EN286" s="19"/>
      <c r="EO286" s="244"/>
      <c r="ER286" s="451"/>
      <c r="ES286" s="451"/>
    </row>
    <row r="287" spans="4:149" ht="12.75" customHeight="1" x14ac:dyDescent="0.2">
      <c r="D287" s="244" t="s">
        <v>405</v>
      </c>
      <c r="G287" s="19">
        <f>SUM(G288:G288)</f>
        <v>77049</v>
      </c>
      <c r="H287" s="19"/>
      <c r="I287" s="19"/>
      <c r="J287" s="274"/>
      <c r="K287" s="19"/>
      <c r="L287" s="19">
        <f>SUM(L288:L288)</f>
        <v>0</v>
      </c>
      <c r="M287" s="19"/>
      <c r="N287" s="19"/>
      <c r="O287" s="274"/>
      <c r="P287" s="19"/>
      <c r="Q287" s="19">
        <f>SUM(Q288:Q288)</f>
        <v>0</v>
      </c>
      <c r="R287" s="19"/>
      <c r="S287" s="19"/>
      <c r="T287" s="274"/>
      <c r="U287" s="19"/>
      <c r="V287" s="19">
        <f>SUM(V288:V288)</f>
        <v>0</v>
      </c>
      <c r="W287" s="19"/>
      <c r="X287" s="19"/>
      <c r="Y287" s="274"/>
      <c r="Z287" s="19"/>
      <c r="AA287" s="19">
        <f>SUM(AA288:AA288)</f>
        <v>0</v>
      </c>
      <c r="AB287" s="19"/>
      <c r="AC287" s="19"/>
      <c r="AD287" s="274"/>
      <c r="AE287" s="19"/>
      <c r="AF287" s="19">
        <f>SUM(AF288:AF288)</f>
        <v>0</v>
      </c>
      <c r="AG287" s="19"/>
      <c r="AH287" s="19"/>
      <c r="AI287" s="274"/>
      <c r="AJ287" s="19"/>
      <c r="AK287" s="19">
        <f>SUM(AK288:AK288)</f>
        <v>0</v>
      </c>
      <c r="AL287" s="19"/>
      <c r="AM287" s="19"/>
      <c r="AN287" s="274"/>
      <c r="AO287" s="19"/>
      <c r="AP287" s="19">
        <f>SUM(AP288:AP288)</f>
        <v>0</v>
      </c>
      <c r="AQ287" s="19"/>
      <c r="AR287" s="19"/>
      <c r="AS287" s="274"/>
      <c r="AT287" s="19"/>
      <c r="AU287" s="19">
        <f>SUM(AU288:AU288)</f>
        <v>0</v>
      </c>
      <c r="AV287" s="19"/>
      <c r="AW287" s="19"/>
      <c r="AX287" s="274"/>
      <c r="AY287" s="19"/>
      <c r="AZ287" s="19">
        <f>SUM(AZ288:AZ288)</f>
        <v>77049</v>
      </c>
      <c r="BA287" s="19"/>
      <c r="BB287" s="19"/>
      <c r="BC287" s="274"/>
      <c r="BD287" s="19"/>
      <c r="BE287" s="19">
        <f>SUM(BE288:BE288)</f>
        <v>0</v>
      </c>
      <c r="BF287" s="19"/>
      <c r="BG287" s="19"/>
      <c r="BH287" s="274"/>
      <c r="BI287" s="19"/>
      <c r="BJ287" s="19">
        <f>SUM(BJ288:BJ288)</f>
        <v>0</v>
      </c>
      <c r="BK287" s="19"/>
      <c r="BL287" s="19"/>
      <c r="BM287" s="274"/>
      <c r="BN287" s="19"/>
      <c r="BO287" s="19">
        <f>SUM(BO288:BO288)</f>
        <v>0</v>
      </c>
      <c r="BP287" s="19"/>
      <c r="BQ287" s="19"/>
      <c r="BR287" s="274"/>
      <c r="BS287" s="19"/>
      <c r="BT287" s="19">
        <f>SUM(BT288:BT288)</f>
        <v>77049</v>
      </c>
      <c r="BU287" s="19"/>
      <c r="BV287" s="19"/>
      <c r="BW287" s="274"/>
      <c r="BX287" s="19"/>
      <c r="BY287" s="19">
        <f>SUM(BY288:BY288)</f>
        <v>0</v>
      </c>
      <c r="BZ287" s="19"/>
      <c r="CA287" s="19"/>
      <c r="CB287" s="274"/>
      <c r="CC287" s="19"/>
      <c r="CD287" s="19">
        <f>SUM(CD288:CD288)</f>
        <v>0</v>
      </c>
      <c r="CE287" s="19"/>
      <c r="CF287" s="19"/>
      <c r="CG287" s="274"/>
      <c r="CH287" s="19"/>
      <c r="CI287" s="19">
        <f>SUM(CI288:CI288)</f>
        <v>0</v>
      </c>
      <c r="CJ287" s="19"/>
      <c r="CK287" s="19"/>
      <c r="CL287" s="274"/>
      <c r="CM287" s="19"/>
      <c r="CN287" s="19">
        <f>SUM(CN288:CN288)</f>
        <v>0</v>
      </c>
      <c r="CO287" s="19"/>
      <c r="CP287" s="19"/>
      <c r="CQ287" s="274"/>
      <c r="CR287" s="19"/>
      <c r="CS287" s="19">
        <f>SUM(CS288:CS288)</f>
        <v>0</v>
      </c>
      <c r="CT287" s="19"/>
      <c r="CU287" s="19"/>
      <c r="CV287" s="274"/>
      <c r="CW287" s="19"/>
      <c r="CX287" s="19">
        <f>SUM(CX288:CX288)</f>
        <v>0</v>
      </c>
      <c r="CY287" s="19"/>
      <c r="CZ287" s="19"/>
      <c r="DA287" s="274"/>
      <c r="DB287" s="19"/>
      <c r="DC287" s="19">
        <f>SUM(DC288:DC288)</f>
        <v>0</v>
      </c>
      <c r="DD287" s="19"/>
      <c r="DE287" s="19"/>
      <c r="DF287" s="274"/>
      <c r="DG287" s="19"/>
      <c r="DH287" s="19">
        <f>SUM(DH288:DH288)</f>
        <v>0</v>
      </c>
      <c r="DI287" s="19"/>
      <c r="DJ287" s="19"/>
      <c r="DK287" s="274"/>
      <c r="DL287" s="19"/>
      <c r="DM287" s="19">
        <f>SUM(DM288:DM288)</f>
        <v>0</v>
      </c>
      <c r="DN287" s="19"/>
      <c r="DO287" s="19"/>
      <c r="DP287" s="274"/>
      <c r="DQ287" s="19"/>
      <c r="DR287" s="19">
        <f>SUM(DR288:DR288)</f>
        <v>0</v>
      </c>
      <c r="DS287" s="19"/>
      <c r="DT287" s="19"/>
      <c r="DU287" s="274"/>
      <c r="DV287" s="19"/>
      <c r="DW287" s="19">
        <f>SUM(DW288:DW288)</f>
        <v>0</v>
      </c>
      <c r="DX287" s="19"/>
      <c r="DY287" s="19"/>
      <c r="DZ287" s="274"/>
      <c r="EA287" s="19"/>
      <c r="EB287" s="19">
        <f>SUM(EB288:EB288)</f>
        <v>0</v>
      </c>
      <c r="EC287" s="19"/>
      <c r="ED287" s="19"/>
      <c r="EE287" s="274"/>
      <c r="EF287" s="19"/>
      <c r="EG287" s="19">
        <f>SUM(EG288:EG288)</f>
        <v>0</v>
      </c>
      <c r="EH287" s="19"/>
      <c r="EI287" s="19"/>
      <c r="EJ287" s="274"/>
      <c r="EK287" s="19"/>
      <c r="EL287" s="19">
        <f>SUM(EL288:EL288)</f>
        <v>0</v>
      </c>
      <c r="EM287" s="19"/>
      <c r="EN287" s="19"/>
      <c r="EO287" s="244"/>
      <c r="ER287" s="451"/>
      <c r="ES287" s="451"/>
    </row>
    <row r="288" spans="4:149" ht="12.75" customHeight="1" x14ac:dyDescent="0.2">
      <c r="D288" s="244" t="s">
        <v>344</v>
      </c>
      <c r="F288" s="91"/>
      <c r="G288" s="81">
        <v>77049</v>
      </c>
      <c r="H288" s="49"/>
      <c r="I288" s="19"/>
      <c r="J288" s="274"/>
      <c r="K288" s="48"/>
      <c r="L288" s="81">
        <v>0</v>
      </c>
      <c r="M288" s="49"/>
      <c r="N288" s="19"/>
      <c r="O288" s="274"/>
      <c r="P288" s="48"/>
      <c r="Q288" s="81">
        <v>0</v>
      </c>
      <c r="R288" s="49"/>
      <c r="S288" s="19"/>
      <c r="T288" s="274"/>
      <c r="U288" s="48"/>
      <c r="V288" s="81">
        <v>0</v>
      </c>
      <c r="W288" s="49"/>
      <c r="X288" s="19"/>
      <c r="Y288" s="274"/>
      <c r="Z288" s="48"/>
      <c r="AA288" s="81">
        <v>0</v>
      </c>
      <c r="AB288" s="49"/>
      <c r="AC288" s="19"/>
      <c r="AD288" s="274"/>
      <c r="AE288" s="48"/>
      <c r="AF288" s="81">
        <v>0</v>
      </c>
      <c r="AG288" s="49"/>
      <c r="AH288" s="19"/>
      <c r="AI288" s="274"/>
      <c r="AJ288" s="48"/>
      <c r="AK288" s="81">
        <v>0</v>
      </c>
      <c r="AL288" s="49"/>
      <c r="AM288" s="19"/>
      <c r="AN288" s="274"/>
      <c r="AO288" s="48"/>
      <c r="AP288" s="81">
        <v>0</v>
      </c>
      <c r="AQ288" s="49"/>
      <c r="AR288" s="19"/>
      <c r="AS288" s="274"/>
      <c r="AT288" s="48"/>
      <c r="AU288" s="81">
        <v>0</v>
      </c>
      <c r="AV288" s="49"/>
      <c r="AW288" s="19"/>
      <c r="AX288" s="274"/>
      <c r="AY288" s="48"/>
      <c r="AZ288" s="81">
        <v>77049</v>
      </c>
      <c r="BA288" s="49"/>
      <c r="BB288" s="19"/>
      <c r="BC288" s="274"/>
      <c r="BD288" s="48"/>
      <c r="BE288" s="81">
        <v>0</v>
      </c>
      <c r="BF288" s="49"/>
      <c r="BG288" s="19"/>
      <c r="BH288" s="274"/>
      <c r="BI288" s="48"/>
      <c r="BJ288" s="81">
        <v>0</v>
      </c>
      <c r="BK288" s="49"/>
      <c r="BL288" s="19"/>
      <c r="BM288" s="274"/>
      <c r="BN288" s="48"/>
      <c r="BO288" s="81">
        <v>0</v>
      </c>
      <c r="BP288" s="49"/>
      <c r="BQ288" s="19"/>
      <c r="BR288" s="274"/>
      <c r="BS288" s="48"/>
      <c r="BT288" s="81">
        <f>SUM(L288:BO288)</f>
        <v>77049</v>
      </c>
      <c r="BU288" s="49"/>
      <c r="BV288" s="19"/>
      <c r="BW288" s="274"/>
      <c r="BX288" s="48"/>
      <c r="BY288" s="81">
        <v>0</v>
      </c>
      <c r="BZ288" s="49"/>
      <c r="CA288" s="19"/>
      <c r="CB288" s="274"/>
      <c r="CC288" s="48"/>
      <c r="CD288" s="81">
        <v>0</v>
      </c>
      <c r="CE288" s="49"/>
      <c r="CF288" s="19"/>
      <c r="CG288" s="274"/>
      <c r="CH288" s="48"/>
      <c r="CI288" s="81">
        <v>0</v>
      </c>
      <c r="CJ288" s="49"/>
      <c r="CK288" s="19"/>
      <c r="CL288" s="274"/>
      <c r="CM288" s="48"/>
      <c r="CN288" s="81">
        <v>0</v>
      </c>
      <c r="CO288" s="49"/>
      <c r="CP288" s="19"/>
      <c r="CQ288" s="274"/>
      <c r="CR288" s="48"/>
      <c r="CS288" s="81">
        <v>0</v>
      </c>
      <c r="CT288" s="49"/>
      <c r="CU288" s="19"/>
      <c r="CV288" s="274"/>
      <c r="CW288" s="48"/>
      <c r="CX288" s="81">
        <v>0</v>
      </c>
      <c r="CY288" s="49"/>
      <c r="CZ288" s="19"/>
      <c r="DA288" s="274"/>
      <c r="DB288" s="48"/>
      <c r="DC288" s="81">
        <v>0</v>
      </c>
      <c r="DD288" s="49"/>
      <c r="DE288" s="19"/>
      <c r="DF288" s="274"/>
      <c r="DG288" s="48"/>
      <c r="DH288" s="81">
        <v>0</v>
      </c>
      <c r="DI288" s="49"/>
      <c r="DJ288" s="19"/>
      <c r="DK288" s="274"/>
      <c r="DL288" s="48"/>
      <c r="DM288" s="81">
        <v>0</v>
      </c>
      <c r="DN288" s="49"/>
      <c r="DO288" s="19"/>
      <c r="DP288" s="274"/>
      <c r="DQ288" s="48"/>
      <c r="DR288" s="81">
        <v>0</v>
      </c>
      <c r="DS288" s="49"/>
      <c r="DT288" s="19"/>
      <c r="DU288" s="274"/>
      <c r="DV288" s="48"/>
      <c r="DW288" s="81">
        <v>0</v>
      </c>
      <c r="DX288" s="49"/>
      <c r="DY288" s="19"/>
      <c r="DZ288" s="274"/>
      <c r="EA288" s="48"/>
      <c r="EB288" s="81">
        <v>0</v>
      </c>
      <c r="EC288" s="49"/>
      <c r="ED288" s="19"/>
      <c r="EE288" s="274"/>
      <c r="EF288" s="48"/>
      <c r="EG288" s="81">
        <v>0</v>
      </c>
      <c r="EH288" s="49"/>
      <c r="EI288" s="19"/>
      <c r="EJ288" s="274"/>
      <c r="EK288" s="48"/>
      <c r="EL288" s="81">
        <f>SUM(CD288:EG288)</f>
        <v>0</v>
      </c>
      <c r="EM288" s="49"/>
      <c r="EN288" s="19"/>
      <c r="EO288" s="244"/>
      <c r="ER288" s="451"/>
      <c r="ES288" s="451"/>
    </row>
    <row r="289" spans="4:149" ht="12.75" customHeight="1" x14ac:dyDescent="0.2">
      <c r="D289" s="244"/>
      <c r="G289" s="19"/>
      <c r="H289" s="19"/>
      <c r="I289" s="19"/>
      <c r="J289" s="274"/>
      <c r="K289" s="19"/>
      <c r="L289" s="19"/>
      <c r="M289" s="19"/>
      <c r="N289" s="19"/>
      <c r="O289" s="274"/>
      <c r="P289" s="19"/>
      <c r="Q289" s="19"/>
      <c r="R289" s="19"/>
      <c r="S289" s="19"/>
      <c r="T289" s="274"/>
      <c r="U289" s="19"/>
      <c r="V289" s="19"/>
      <c r="W289" s="19"/>
      <c r="X289" s="19"/>
      <c r="Y289" s="274"/>
      <c r="Z289" s="19"/>
      <c r="AA289" s="19"/>
      <c r="AB289" s="19"/>
      <c r="AC289" s="19"/>
      <c r="AD289" s="274"/>
      <c r="AE289" s="19"/>
      <c r="AF289" s="19"/>
      <c r="AG289" s="19"/>
      <c r="AH289" s="19"/>
      <c r="AI289" s="274"/>
      <c r="AJ289" s="19"/>
      <c r="AK289" s="19"/>
      <c r="AL289" s="19"/>
      <c r="AM289" s="19"/>
      <c r="AN289" s="274"/>
      <c r="AO289" s="19"/>
      <c r="AP289" s="19"/>
      <c r="AQ289" s="19"/>
      <c r="AR289" s="19"/>
      <c r="AS289" s="274"/>
      <c r="AT289" s="19"/>
      <c r="AU289" s="19"/>
      <c r="AV289" s="19"/>
      <c r="AW289" s="19"/>
      <c r="AX289" s="274"/>
      <c r="AY289" s="19"/>
      <c r="AZ289" s="19"/>
      <c r="BA289" s="19"/>
      <c r="BB289" s="19"/>
      <c r="BC289" s="274"/>
      <c r="BD289" s="19"/>
      <c r="BE289" s="19"/>
      <c r="BF289" s="19"/>
      <c r="BG289" s="19"/>
      <c r="BH289" s="274"/>
      <c r="BI289" s="19"/>
      <c r="BJ289" s="19"/>
      <c r="BK289" s="19"/>
      <c r="BL289" s="19"/>
      <c r="BM289" s="274"/>
      <c r="BN289" s="19"/>
      <c r="BO289" s="19"/>
      <c r="BP289" s="19"/>
      <c r="BQ289" s="19"/>
      <c r="BR289" s="274"/>
      <c r="BS289" s="19"/>
      <c r="BT289" s="19"/>
      <c r="BU289" s="19"/>
      <c r="BV289" s="19"/>
      <c r="BW289" s="274"/>
      <c r="BX289" s="19"/>
      <c r="BY289" s="19"/>
      <c r="BZ289" s="19"/>
      <c r="CA289" s="19"/>
      <c r="CB289" s="274"/>
      <c r="CC289" s="19"/>
      <c r="CD289" s="19"/>
      <c r="CE289" s="19"/>
      <c r="CF289" s="19"/>
      <c r="CG289" s="274"/>
      <c r="CH289" s="19"/>
      <c r="CI289" s="19"/>
      <c r="CJ289" s="19"/>
      <c r="CK289" s="19"/>
      <c r="CL289" s="274"/>
      <c r="CM289" s="19"/>
      <c r="CN289" s="19"/>
      <c r="CO289" s="19"/>
      <c r="CP289" s="19"/>
      <c r="CQ289" s="274"/>
      <c r="CR289" s="19"/>
      <c r="CS289" s="19"/>
      <c r="CT289" s="19"/>
      <c r="CU289" s="19"/>
      <c r="CV289" s="274"/>
      <c r="CW289" s="19"/>
      <c r="CX289" s="19"/>
      <c r="CY289" s="19"/>
      <c r="CZ289" s="19"/>
      <c r="DA289" s="274"/>
      <c r="DB289" s="19"/>
      <c r="DC289" s="19"/>
      <c r="DD289" s="19"/>
      <c r="DE289" s="19"/>
      <c r="DF289" s="274"/>
      <c r="DG289" s="19"/>
      <c r="DH289" s="19"/>
      <c r="DI289" s="19"/>
      <c r="DJ289" s="19"/>
      <c r="DK289" s="274"/>
      <c r="DL289" s="19"/>
      <c r="DM289" s="19"/>
      <c r="DN289" s="19"/>
      <c r="DO289" s="19"/>
      <c r="DP289" s="274"/>
      <c r="DQ289" s="19"/>
      <c r="DR289" s="19"/>
      <c r="DS289" s="19"/>
      <c r="DT289" s="19"/>
      <c r="DU289" s="274"/>
      <c r="DV289" s="19"/>
      <c r="DW289" s="19"/>
      <c r="DX289" s="19"/>
      <c r="DY289" s="19"/>
      <c r="DZ289" s="274"/>
      <c r="EA289" s="19"/>
      <c r="EB289" s="19"/>
      <c r="EC289" s="19"/>
      <c r="ED289" s="19"/>
      <c r="EE289" s="274"/>
      <c r="EF289" s="19"/>
      <c r="EG289" s="19"/>
      <c r="EH289" s="19"/>
      <c r="EI289" s="19"/>
      <c r="EJ289" s="274"/>
      <c r="EK289" s="19"/>
      <c r="EL289" s="19"/>
      <c r="EM289" s="19"/>
      <c r="EN289" s="19"/>
      <c r="EO289" s="244"/>
      <c r="ER289" s="451"/>
      <c r="ES289" s="451"/>
    </row>
    <row r="290" spans="4:149" x14ac:dyDescent="0.2">
      <c r="D290" s="244" t="s">
        <v>355</v>
      </c>
      <c r="G290" s="19">
        <f>SUM(G291:G291)</f>
        <v>117363</v>
      </c>
      <c r="H290" s="19"/>
      <c r="I290" s="19"/>
      <c r="J290" s="274"/>
      <c r="K290" s="19"/>
      <c r="L290" s="19">
        <f>SUM(L291:L291)</f>
        <v>0</v>
      </c>
      <c r="M290" s="19"/>
      <c r="N290" s="19"/>
      <c r="O290" s="274"/>
      <c r="P290" s="19"/>
      <c r="Q290" s="19">
        <f>SUM(Q291:Q291)</f>
        <v>29682</v>
      </c>
      <c r="R290" s="19"/>
      <c r="S290" s="19"/>
      <c r="T290" s="274"/>
      <c r="U290" s="19"/>
      <c r="V290" s="19">
        <f>SUM(V291:V291)</f>
        <v>28489</v>
      </c>
      <c r="W290" s="19"/>
      <c r="X290" s="19"/>
      <c r="Y290" s="274"/>
      <c r="Z290" s="19"/>
      <c r="AA290" s="19">
        <f>SUM(AA291:AA291)</f>
        <v>0</v>
      </c>
      <c r="AB290" s="19"/>
      <c r="AC290" s="19"/>
      <c r="AD290" s="274"/>
      <c r="AE290" s="19"/>
      <c r="AF290" s="19">
        <f>SUM(AF291:AF291)</f>
        <v>0</v>
      </c>
      <c r="AG290" s="19"/>
      <c r="AH290" s="19"/>
      <c r="AI290" s="274"/>
      <c r="AJ290" s="19"/>
      <c r="AK290" s="19">
        <f>SUM(AK291:AK291)</f>
        <v>0</v>
      </c>
      <c r="AL290" s="19"/>
      <c r="AM290" s="19"/>
      <c r="AN290" s="274"/>
      <c r="AO290" s="19"/>
      <c r="AP290" s="19">
        <f>SUM(AP291:AP291)</f>
        <v>0</v>
      </c>
      <c r="AQ290" s="19"/>
      <c r="AR290" s="19"/>
      <c r="AS290" s="274"/>
      <c r="AT290" s="19"/>
      <c r="AU290" s="19">
        <f>SUM(AU291:AU291)</f>
        <v>0</v>
      </c>
      <c r="AV290" s="19"/>
      <c r="AW290" s="19"/>
      <c r="AX290" s="274"/>
      <c r="AY290" s="19"/>
      <c r="AZ290" s="19">
        <f>SUM(AZ291:AZ291)</f>
        <v>59192</v>
      </c>
      <c r="BA290" s="19"/>
      <c r="BB290" s="19"/>
      <c r="BC290" s="274"/>
      <c r="BD290" s="19"/>
      <c r="BE290" s="19">
        <f>SUM(BE291:BE291)</f>
        <v>0</v>
      </c>
      <c r="BF290" s="19"/>
      <c r="BG290" s="19"/>
      <c r="BH290" s="274"/>
      <c r="BI290" s="19"/>
      <c r="BJ290" s="19">
        <f>SUM(BJ291:BJ291)</f>
        <v>783477</v>
      </c>
      <c r="BK290" s="19"/>
      <c r="BL290" s="19"/>
      <c r="BM290" s="274"/>
      <c r="BN290" s="19"/>
      <c r="BO290" s="19">
        <f>SUM(BO291:BO291)</f>
        <v>1374648</v>
      </c>
      <c r="BP290" s="19"/>
      <c r="BQ290" s="19"/>
      <c r="BR290" s="274"/>
      <c r="BS290" s="19"/>
      <c r="BT290" s="19">
        <f>SUM(BT291:BT291)</f>
        <v>2275488</v>
      </c>
      <c r="BU290" s="19"/>
      <c r="BV290" s="19"/>
      <c r="BW290" s="274"/>
      <c r="BX290" s="19"/>
      <c r="BY290" s="19">
        <f>SUM(BY291:BY291)</f>
        <v>3225244</v>
      </c>
      <c r="BZ290" s="19"/>
      <c r="CA290" s="19"/>
      <c r="CB290" s="274"/>
      <c r="CC290" s="19"/>
      <c r="CD290" s="19">
        <f>SUM(CD291:CD291)</f>
        <v>3109689</v>
      </c>
      <c r="CE290" s="19"/>
      <c r="CF290" s="19"/>
      <c r="CG290" s="274"/>
      <c r="CH290" s="19"/>
      <c r="CI290" s="19">
        <f>SUM(CI291:CI291)</f>
        <v>0</v>
      </c>
      <c r="CJ290" s="19"/>
      <c r="CK290" s="19"/>
      <c r="CL290" s="274"/>
      <c r="CM290" s="19"/>
      <c r="CN290" s="19">
        <f>SUM(CN291:CN291)</f>
        <v>0</v>
      </c>
      <c r="CO290" s="19"/>
      <c r="CP290" s="19"/>
      <c r="CQ290" s="274"/>
      <c r="CR290" s="19"/>
      <c r="CS290" s="19">
        <f>SUM(CS291:CS291)</f>
        <v>0</v>
      </c>
      <c r="CT290" s="19"/>
      <c r="CU290" s="19"/>
      <c r="CV290" s="274"/>
      <c r="CW290" s="19"/>
      <c r="CX290" s="19">
        <f>SUM(CX291:CX291)</f>
        <v>0</v>
      </c>
      <c r="CY290" s="19"/>
      <c r="CZ290" s="19"/>
      <c r="DA290" s="274"/>
      <c r="DB290" s="19"/>
      <c r="DC290" s="19">
        <f>SUM(DC291:DC291)</f>
        <v>115555</v>
      </c>
      <c r="DD290" s="19"/>
      <c r="DE290" s="19"/>
      <c r="DF290" s="274"/>
      <c r="DG290" s="19"/>
      <c r="DH290" s="19">
        <f>SUM(DH291:DH291)</f>
        <v>0</v>
      </c>
      <c r="DI290" s="19"/>
      <c r="DJ290" s="19"/>
      <c r="DK290" s="274"/>
      <c r="DL290" s="19"/>
      <c r="DM290" s="19">
        <f>SUM(DM291:DM291)</f>
        <v>0</v>
      </c>
      <c r="DN290" s="19"/>
      <c r="DO290" s="19"/>
      <c r="DP290" s="274"/>
      <c r="DQ290" s="19"/>
      <c r="DR290" s="19">
        <f>SUM(DR291:DR291)</f>
        <v>0</v>
      </c>
      <c r="DS290" s="19"/>
      <c r="DT290" s="19"/>
      <c r="DU290" s="274"/>
      <c r="DV290" s="19"/>
      <c r="DW290" s="19">
        <f>SUM(DW291:DW291)</f>
        <v>0</v>
      </c>
      <c r="DX290" s="19"/>
      <c r="DY290" s="19"/>
      <c r="DZ290" s="274"/>
      <c r="EA290" s="19"/>
      <c r="EB290" s="19">
        <f>SUM(EB291:EB291)</f>
        <v>0</v>
      </c>
      <c r="EC290" s="19"/>
      <c r="ED290" s="19"/>
      <c r="EE290" s="274"/>
      <c r="EF290" s="19"/>
      <c r="EG290" s="19">
        <f>SUM(EG291:EG291)</f>
        <v>0</v>
      </c>
      <c r="EH290" s="19"/>
      <c r="EI290" s="19"/>
      <c r="EJ290" s="274"/>
      <c r="EK290" s="19"/>
      <c r="EL290" s="19">
        <f>SUM(EL291:EL291)</f>
        <v>3225244</v>
      </c>
      <c r="EM290" s="19"/>
      <c r="EN290" s="19"/>
      <c r="EO290" s="244"/>
      <c r="ER290" s="451"/>
      <c r="ES290" s="451"/>
    </row>
    <row r="291" spans="4:149" x14ac:dyDescent="0.2">
      <c r="D291" s="244" t="s">
        <v>344</v>
      </c>
      <c r="F291" s="91"/>
      <c r="G291" s="81">
        <v>117363</v>
      </c>
      <c r="H291" s="49"/>
      <c r="I291" s="19"/>
      <c r="J291" s="274"/>
      <c r="K291" s="48"/>
      <c r="L291" s="81">
        <v>0</v>
      </c>
      <c r="M291" s="49"/>
      <c r="N291" s="19"/>
      <c r="O291" s="274"/>
      <c r="P291" s="48"/>
      <c r="Q291" s="81">
        <v>29682</v>
      </c>
      <c r="R291" s="49"/>
      <c r="S291" s="19"/>
      <c r="T291" s="274"/>
      <c r="U291" s="48"/>
      <c r="V291" s="81">
        <v>28489</v>
      </c>
      <c r="W291" s="49"/>
      <c r="X291" s="19"/>
      <c r="Y291" s="274"/>
      <c r="Z291" s="48"/>
      <c r="AA291" s="81">
        <v>0</v>
      </c>
      <c r="AB291" s="49"/>
      <c r="AC291" s="19"/>
      <c r="AD291" s="274"/>
      <c r="AE291" s="48"/>
      <c r="AF291" s="81">
        <v>0</v>
      </c>
      <c r="AG291" s="49"/>
      <c r="AH291" s="19"/>
      <c r="AI291" s="274"/>
      <c r="AJ291" s="48"/>
      <c r="AK291" s="81">
        <v>0</v>
      </c>
      <c r="AL291" s="49"/>
      <c r="AM291" s="19"/>
      <c r="AN291" s="274"/>
      <c r="AO291" s="48"/>
      <c r="AP291" s="81">
        <v>0</v>
      </c>
      <c r="AQ291" s="49"/>
      <c r="AR291" s="19"/>
      <c r="AS291" s="274"/>
      <c r="AT291" s="48"/>
      <c r="AU291" s="81">
        <v>0</v>
      </c>
      <c r="AV291" s="49"/>
      <c r="AW291" s="19"/>
      <c r="AX291" s="274"/>
      <c r="AY291" s="48"/>
      <c r="AZ291" s="81">
        <v>59192</v>
      </c>
      <c r="BA291" s="49"/>
      <c r="BB291" s="19"/>
      <c r="BC291" s="274"/>
      <c r="BD291" s="48"/>
      <c r="BE291" s="81">
        <v>0</v>
      </c>
      <c r="BF291" s="49"/>
      <c r="BG291" s="19"/>
      <c r="BH291" s="274"/>
      <c r="BI291" s="48"/>
      <c r="BJ291" s="81">
        <v>783477</v>
      </c>
      <c r="BK291" s="49"/>
      <c r="BL291" s="19"/>
      <c r="BM291" s="274"/>
      <c r="BN291" s="48"/>
      <c r="BO291" s="81">
        <v>1374648</v>
      </c>
      <c r="BP291" s="49"/>
      <c r="BQ291" s="19"/>
      <c r="BR291" s="274"/>
      <c r="BS291" s="48"/>
      <c r="BT291" s="81">
        <f>SUM(L291:BO291)</f>
        <v>2275488</v>
      </c>
      <c r="BU291" s="49"/>
      <c r="BV291" s="19"/>
      <c r="BW291" s="274"/>
      <c r="BX291" s="48"/>
      <c r="BY291" s="81">
        <v>3225244</v>
      </c>
      <c r="BZ291" s="49"/>
      <c r="CA291" s="19"/>
      <c r="CB291" s="274"/>
      <c r="CC291" s="48"/>
      <c r="CD291" s="81">
        <v>3109689</v>
      </c>
      <c r="CE291" s="49"/>
      <c r="CF291" s="19"/>
      <c r="CG291" s="274"/>
      <c r="CH291" s="48"/>
      <c r="CI291" s="81">
        <v>0</v>
      </c>
      <c r="CJ291" s="49"/>
      <c r="CK291" s="19"/>
      <c r="CL291" s="274"/>
      <c r="CM291" s="48"/>
      <c r="CN291" s="81">
        <v>0</v>
      </c>
      <c r="CO291" s="49"/>
      <c r="CP291" s="19"/>
      <c r="CQ291" s="274"/>
      <c r="CR291" s="48"/>
      <c r="CS291" s="81">
        <v>0</v>
      </c>
      <c r="CT291" s="49"/>
      <c r="CU291" s="19"/>
      <c r="CV291" s="274"/>
      <c r="CW291" s="48"/>
      <c r="CX291" s="81">
        <v>0</v>
      </c>
      <c r="CY291" s="49"/>
      <c r="CZ291" s="19"/>
      <c r="DA291" s="274"/>
      <c r="DB291" s="48"/>
      <c r="DC291" s="81">
        <v>115555</v>
      </c>
      <c r="DD291" s="49"/>
      <c r="DE291" s="19"/>
      <c r="DF291" s="274"/>
      <c r="DG291" s="48"/>
      <c r="DH291" s="81">
        <v>0</v>
      </c>
      <c r="DI291" s="49"/>
      <c r="DJ291" s="19"/>
      <c r="DK291" s="274"/>
      <c r="DL291" s="48"/>
      <c r="DM291" s="81">
        <v>0</v>
      </c>
      <c r="DN291" s="49"/>
      <c r="DO291" s="19"/>
      <c r="DP291" s="274"/>
      <c r="DQ291" s="48"/>
      <c r="DR291" s="81">
        <v>0</v>
      </c>
      <c r="DS291" s="49"/>
      <c r="DT291" s="19"/>
      <c r="DU291" s="274"/>
      <c r="DV291" s="48"/>
      <c r="DW291" s="81">
        <v>0</v>
      </c>
      <c r="DX291" s="49"/>
      <c r="DY291" s="19"/>
      <c r="DZ291" s="274"/>
      <c r="EA291" s="48"/>
      <c r="EB291" s="81">
        <v>0</v>
      </c>
      <c r="EC291" s="49"/>
      <c r="ED291" s="19"/>
      <c r="EE291" s="274"/>
      <c r="EF291" s="48"/>
      <c r="EG291" s="81">
        <v>0</v>
      </c>
      <c r="EH291" s="49"/>
      <c r="EI291" s="19"/>
      <c r="EJ291" s="274"/>
      <c r="EK291" s="48"/>
      <c r="EL291" s="81">
        <f>SUM(CD291:EG291)</f>
        <v>3225244</v>
      </c>
      <c r="EM291" s="49"/>
      <c r="EN291" s="19"/>
      <c r="EO291" s="244"/>
      <c r="ER291" s="451"/>
      <c r="ES291" s="451"/>
    </row>
    <row r="292" spans="4:149" x14ac:dyDescent="0.2">
      <c r="D292" s="244"/>
      <c r="G292" s="19"/>
      <c r="H292" s="19"/>
      <c r="I292" s="19"/>
      <c r="J292" s="274"/>
      <c r="K292" s="19"/>
      <c r="L292" s="19"/>
      <c r="M292" s="19"/>
      <c r="N292" s="19"/>
      <c r="O292" s="274"/>
      <c r="P292" s="19"/>
      <c r="Q292" s="19"/>
      <c r="R292" s="19"/>
      <c r="S292" s="19"/>
      <c r="T292" s="274"/>
      <c r="U292" s="19"/>
      <c r="V292" s="19"/>
      <c r="W292" s="19"/>
      <c r="X292" s="19"/>
      <c r="Y292" s="274"/>
      <c r="Z292" s="19"/>
      <c r="AA292" s="19"/>
      <c r="AB292" s="19"/>
      <c r="AC292" s="19"/>
      <c r="AD292" s="274"/>
      <c r="AE292" s="19"/>
      <c r="AF292" s="19"/>
      <c r="AG292" s="19"/>
      <c r="AH292" s="19"/>
      <c r="AI292" s="274"/>
      <c r="AJ292" s="19"/>
      <c r="AK292" s="19"/>
      <c r="AL292" s="19"/>
      <c r="AM292" s="19"/>
      <c r="AN292" s="274"/>
      <c r="AO292" s="19"/>
      <c r="AP292" s="19"/>
      <c r="AQ292" s="19"/>
      <c r="AR292" s="19"/>
      <c r="AS292" s="274"/>
      <c r="AT292" s="19"/>
      <c r="AU292" s="19"/>
      <c r="AV292" s="19"/>
      <c r="AW292" s="19"/>
      <c r="AX292" s="274"/>
      <c r="AY292" s="19"/>
      <c r="AZ292" s="19"/>
      <c r="BA292" s="19"/>
      <c r="BB292" s="19"/>
      <c r="BC292" s="274"/>
      <c r="BD292" s="19"/>
      <c r="BE292" s="19"/>
      <c r="BF292" s="19"/>
      <c r="BG292" s="19"/>
      <c r="BH292" s="274"/>
      <c r="BI292" s="19"/>
      <c r="BJ292" s="19"/>
      <c r="BK292" s="19"/>
      <c r="BL292" s="19"/>
      <c r="BM292" s="274"/>
      <c r="BN292" s="19"/>
      <c r="BO292" s="19"/>
      <c r="BP292" s="19"/>
      <c r="BQ292" s="19"/>
      <c r="BR292" s="274"/>
      <c r="BS292" s="19"/>
      <c r="BT292" s="19"/>
      <c r="BU292" s="19"/>
      <c r="BV292" s="19"/>
      <c r="BW292" s="274"/>
      <c r="BX292" s="19"/>
      <c r="BY292" s="19"/>
      <c r="BZ292" s="19"/>
      <c r="CA292" s="19"/>
      <c r="CB292" s="274"/>
      <c r="CC292" s="19"/>
      <c r="CD292" s="19"/>
      <c r="CE292" s="19"/>
      <c r="CF292" s="19"/>
      <c r="CG292" s="274"/>
      <c r="CH292" s="19"/>
      <c r="CI292" s="19"/>
      <c r="CJ292" s="19"/>
      <c r="CK292" s="19"/>
      <c r="CL292" s="274"/>
      <c r="CM292" s="19"/>
      <c r="CN292" s="19"/>
      <c r="CO292" s="19"/>
      <c r="CP292" s="19"/>
      <c r="CQ292" s="274"/>
      <c r="CR292" s="19"/>
      <c r="CS292" s="19"/>
      <c r="CT292" s="19"/>
      <c r="CU292" s="19"/>
      <c r="CV292" s="274"/>
      <c r="CW292" s="19"/>
      <c r="CX292" s="19"/>
      <c r="CY292" s="19"/>
      <c r="CZ292" s="19"/>
      <c r="DA292" s="274"/>
      <c r="DB292" s="19"/>
      <c r="DC292" s="19"/>
      <c r="DD292" s="19"/>
      <c r="DE292" s="19"/>
      <c r="DF292" s="274"/>
      <c r="DG292" s="19"/>
      <c r="DH292" s="19"/>
      <c r="DI292" s="19"/>
      <c r="DJ292" s="19"/>
      <c r="DK292" s="274"/>
      <c r="DL292" s="19"/>
      <c r="DM292" s="19"/>
      <c r="DN292" s="19"/>
      <c r="DO292" s="19"/>
      <c r="DP292" s="274"/>
      <c r="DQ292" s="19"/>
      <c r="DR292" s="19"/>
      <c r="DS292" s="19"/>
      <c r="DT292" s="19"/>
      <c r="DU292" s="274"/>
      <c r="DV292" s="19"/>
      <c r="DW292" s="19"/>
      <c r="DX292" s="19"/>
      <c r="DY292" s="19"/>
      <c r="DZ292" s="274"/>
      <c r="EA292" s="19"/>
      <c r="EB292" s="19"/>
      <c r="EC292" s="19"/>
      <c r="ED292" s="19"/>
      <c r="EE292" s="274"/>
      <c r="EF292" s="19"/>
      <c r="EG292" s="19"/>
      <c r="EH292" s="19"/>
      <c r="EI292" s="19"/>
      <c r="EJ292" s="274"/>
      <c r="EK292" s="19"/>
      <c r="EL292" s="19"/>
      <c r="EM292" s="19"/>
      <c r="EN292" s="19"/>
      <c r="EO292" s="244"/>
      <c r="ER292" s="451"/>
      <c r="ES292" s="451"/>
    </row>
    <row r="293" spans="4:149" ht="12.75" customHeight="1" x14ac:dyDescent="0.2">
      <c r="D293" s="244" t="s">
        <v>370</v>
      </c>
      <c r="G293" s="19">
        <f>SUM(G294:G294)</f>
        <v>218557</v>
      </c>
      <c r="H293" s="19"/>
      <c r="I293" s="19"/>
      <c r="J293" s="274"/>
      <c r="K293" s="19"/>
      <c r="L293" s="19">
        <f>SUM(L294:L294)</f>
        <v>0</v>
      </c>
      <c r="M293" s="19"/>
      <c r="N293" s="19"/>
      <c r="O293" s="274"/>
      <c r="P293" s="19"/>
      <c r="Q293" s="19">
        <f>SUM(Q294:Q294)</f>
        <v>0</v>
      </c>
      <c r="R293" s="19"/>
      <c r="S293" s="19"/>
      <c r="T293" s="274"/>
      <c r="U293" s="19"/>
      <c r="V293" s="19"/>
      <c r="W293" s="19"/>
      <c r="X293" s="19"/>
      <c r="Y293" s="274"/>
      <c r="Z293" s="19"/>
      <c r="AA293" s="19">
        <f>+AA294</f>
        <v>0</v>
      </c>
      <c r="AB293" s="19"/>
      <c r="AC293" s="19"/>
      <c r="AD293" s="274"/>
      <c r="AE293" s="19"/>
      <c r="AF293" s="19"/>
      <c r="AG293" s="19"/>
      <c r="AH293" s="19"/>
      <c r="AI293" s="274"/>
      <c r="AJ293" s="19"/>
      <c r="AK293" s="19">
        <f>SUM(AK294:AK294)</f>
        <v>0</v>
      </c>
      <c r="AL293" s="19"/>
      <c r="AM293" s="19"/>
      <c r="AN293" s="274"/>
      <c r="AO293" s="19"/>
      <c r="AP293" s="19"/>
      <c r="AQ293" s="19"/>
      <c r="AR293" s="19"/>
      <c r="AS293" s="274"/>
      <c r="AT293" s="19"/>
      <c r="AU293" s="19">
        <f>SUM(AU294)</f>
        <v>85877</v>
      </c>
      <c r="AV293" s="19"/>
      <c r="AW293" s="19"/>
      <c r="AX293" s="274"/>
      <c r="AY293" s="19"/>
      <c r="AZ293" s="19"/>
      <c r="BA293" s="19"/>
      <c r="BB293" s="19"/>
      <c r="BC293" s="274"/>
      <c r="BD293" s="19"/>
      <c r="BE293" s="19">
        <f>SUM(BE294:BE294)</f>
        <v>132680</v>
      </c>
      <c r="BF293" s="19"/>
      <c r="BG293" s="19"/>
      <c r="BH293" s="274"/>
      <c r="BI293" s="19"/>
      <c r="BJ293" s="19">
        <f>SUM(BJ294:BJ294)</f>
        <v>0</v>
      </c>
      <c r="BK293" s="19"/>
      <c r="BL293" s="19"/>
      <c r="BM293" s="274"/>
      <c r="BN293" s="19"/>
      <c r="BO293" s="19">
        <f>SUM(BO294:BO294)</f>
        <v>0</v>
      </c>
      <c r="BP293" s="19"/>
      <c r="BQ293" s="19"/>
      <c r="BR293" s="274"/>
      <c r="BS293" s="19"/>
      <c r="BT293" s="19">
        <f>SUM(BT294:BT294)</f>
        <v>218557</v>
      </c>
      <c r="BU293" s="19"/>
      <c r="BV293" s="19"/>
      <c r="BW293" s="274"/>
      <c r="BX293" s="19"/>
      <c r="BY293" s="19">
        <f>SUM(BY294:BY294)</f>
        <v>0</v>
      </c>
      <c r="BZ293" s="19"/>
      <c r="CA293" s="19"/>
      <c r="CB293" s="274"/>
      <c r="CC293" s="19"/>
      <c r="CD293" s="19">
        <f>SUM(CD294:CD294)</f>
        <v>0</v>
      </c>
      <c r="CE293" s="19"/>
      <c r="CF293" s="19"/>
      <c r="CG293" s="274"/>
      <c r="CH293" s="19"/>
      <c r="CI293" s="19">
        <f>SUM(CI294:CI294)</f>
        <v>0</v>
      </c>
      <c r="CJ293" s="19"/>
      <c r="CK293" s="19"/>
      <c r="CL293" s="274"/>
      <c r="CM293" s="19"/>
      <c r="CN293" s="19"/>
      <c r="CO293" s="19"/>
      <c r="CP293" s="19"/>
      <c r="CQ293" s="274"/>
      <c r="CR293" s="19"/>
      <c r="CS293" s="19">
        <f>+CS294</f>
        <v>0</v>
      </c>
      <c r="CT293" s="19"/>
      <c r="CU293" s="19"/>
      <c r="CV293" s="274"/>
      <c r="CW293" s="19"/>
      <c r="CX293" s="19"/>
      <c r="CY293" s="19"/>
      <c r="CZ293" s="19"/>
      <c r="DA293" s="274"/>
      <c r="DB293" s="19"/>
      <c r="DC293" s="19">
        <f>SUM(DC294:DC294)</f>
        <v>0</v>
      </c>
      <c r="DD293" s="19"/>
      <c r="DE293" s="19"/>
      <c r="DF293" s="274"/>
      <c r="DG293" s="19"/>
      <c r="DH293" s="19"/>
      <c r="DI293" s="19"/>
      <c r="DJ293" s="19"/>
      <c r="DK293" s="274"/>
      <c r="DL293" s="19"/>
      <c r="DM293" s="19">
        <f>SUM(DM294)</f>
        <v>0</v>
      </c>
      <c r="DN293" s="19"/>
      <c r="DO293" s="19"/>
      <c r="DP293" s="274"/>
      <c r="DQ293" s="19"/>
      <c r="DR293" s="19"/>
      <c r="DS293" s="19"/>
      <c r="DT293" s="19"/>
      <c r="DU293" s="274"/>
      <c r="DV293" s="19"/>
      <c r="DW293" s="19">
        <f>SUM(DW294:DW294)</f>
        <v>0</v>
      </c>
      <c r="DX293" s="19"/>
      <c r="DY293" s="19"/>
      <c r="DZ293" s="274"/>
      <c r="EA293" s="19"/>
      <c r="EB293" s="19">
        <f>SUM(EB294:EB294)</f>
        <v>0</v>
      </c>
      <c r="EC293" s="19"/>
      <c r="ED293" s="19"/>
      <c r="EE293" s="274"/>
      <c r="EF293" s="19"/>
      <c r="EG293" s="19">
        <f>SUM(EG294:EG294)</f>
        <v>0</v>
      </c>
      <c r="EH293" s="19"/>
      <c r="EI293" s="19"/>
      <c r="EJ293" s="274"/>
      <c r="EK293" s="19"/>
      <c r="EL293" s="19">
        <f>SUM(EL294:EL294)</f>
        <v>0</v>
      </c>
      <c r="EM293" s="19"/>
      <c r="EN293" s="19"/>
      <c r="EO293" s="244"/>
      <c r="ER293" s="451"/>
      <c r="ES293" s="451"/>
    </row>
    <row r="294" spans="4:149" ht="12.75" customHeight="1" x14ac:dyDescent="0.2">
      <c r="D294" s="244" t="s">
        <v>344</v>
      </c>
      <c r="F294" s="91"/>
      <c r="G294" s="81">
        <v>218557</v>
      </c>
      <c r="H294" s="49"/>
      <c r="I294" s="19"/>
      <c r="J294" s="274"/>
      <c r="K294" s="48"/>
      <c r="L294" s="383">
        <v>0</v>
      </c>
      <c r="M294" s="49"/>
      <c r="N294" s="19"/>
      <c r="O294" s="274"/>
      <c r="P294" s="48"/>
      <c r="Q294" s="383">
        <v>0</v>
      </c>
      <c r="R294" s="49"/>
      <c r="S294" s="19"/>
      <c r="T294" s="274"/>
      <c r="U294" s="48"/>
      <c r="V294" s="383">
        <v>0</v>
      </c>
      <c r="W294" s="49"/>
      <c r="X294" s="18"/>
      <c r="Y294" s="274"/>
      <c r="Z294" s="48"/>
      <c r="AA294" s="383">
        <v>0</v>
      </c>
      <c r="AB294" s="49"/>
      <c r="AC294" s="17"/>
      <c r="AD294" s="274"/>
      <c r="AE294" s="48"/>
      <c r="AF294" s="383">
        <v>0</v>
      </c>
      <c r="AG294" s="49"/>
      <c r="AH294" s="19"/>
      <c r="AI294" s="274"/>
      <c r="AJ294" s="48"/>
      <c r="AK294" s="383">
        <v>0</v>
      </c>
      <c r="AL294" s="49"/>
      <c r="AM294" s="19"/>
      <c r="AN294" s="274"/>
      <c r="AO294" s="48"/>
      <c r="AP294" s="383">
        <v>0</v>
      </c>
      <c r="AQ294" s="49"/>
      <c r="AR294" s="19"/>
      <c r="AS294" s="274"/>
      <c r="AT294" s="48"/>
      <c r="AU294" s="383">
        <v>85877</v>
      </c>
      <c r="AV294" s="49"/>
      <c r="AW294" s="19"/>
      <c r="AX294" s="274"/>
      <c r="AY294" s="48"/>
      <c r="AZ294" s="383">
        <v>0</v>
      </c>
      <c r="BA294" s="49"/>
      <c r="BB294" s="19"/>
      <c r="BC294" s="274"/>
      <c r="BD294" s="48"/>
      <c r="BE294" s="383">
        <v>132680</v>
      </c>
      <c r="BF294" s="49"/>
      <c r="BG294" s="19"/>
      <c r="BH294" s="274"/>
      <c r="BI294" s="48"/>
      <c r="BJ294" s="383">
        <v>0</v>
      </c>
      <c r="BK294" s="49"/>
      <c r="BL294" s="19"/>
      <c r="BM294" s="274"/>
      <c r="BN294" s="48"/>
      <c r="BO294" s="383">
        <v>0</v>
      </c>
      <c r="BP294" s="49"/>
      <c r="BQ294" s="19"/>
      <c r="BR294" s="274"/>
      <c r="BS294" s="91"/>
      <c r="BT294" s="383">
        <f>SUM(L294:BO294)</f>
        <v>218557</v>
      </c>
      <c r="BU294" s="49"/>
      <c r="BV294" s="19"/>
      <c r="BW294" s="17"/>
      <c r="BX294" s="91"/>
      <c r="BY294" s="383">
        <v>0</v>
      </c>
      <c r="BZ294" s="49"/>
      <c r="CA294" s="19"/>
      <c r="CB294" s="274"/>
      <c r="CC294" s="48"/>
      <c r="CD294" s="383">
        <v>0</v>
      </c>
      <c r="CE294" s="49"/>
      <c r="CF294" s="19"/>
      <c r="CG294" s="274"/>
      <c r="CH294" s="48"/>
      <c r="CI294" s="383">
        <v>0</v>
      </c>
      <c r="CJ294" s="49"/>
      <c r="CK294" s="19"/>
      <c r="CL294" s="274"/>
      <c r="CM294" s="48"/>
      <c r="CN294" s="383">
        <v>0</v>
      </c>
      <c r="CO294" s="49"/>
      <c r="CP294" s="18"/>
      <c r="CQ294" s="274"/>
      <c r="CR294" s="48"/>
      <c r="CS294" s="383">
        <v>0</v>
      </c>
      <c r="CT294" s="49"/>
      <c r="CU294" s="17"/>
      <c r="CV294" s="274"/>
      <c r="CW294" s="48"/>
      <c r="CX294" s="383">
        <v>0</v>
      </c>
      <c r="CY294" s="49"/>
      <c r="CZ294" s="19"/>
      <c r="DA294" s="274"/>
      <c r="DB294" s="48"/>
      <c r="DC294" s="383">
        <v>0</v>
      </c>
      <c r="DD294" s="49"/>
      <c r="DE294" s="19"/>
      <c r="DF294" s="274"/>
      <c r="DG294" s="48"/>
      <c r="DH294" s="383">
        <v>0</v>
      </c>
      <c r="DI294" s="49"/>
      <c r="DJ294" s="19"/>
      <c r="DK294" s="274"/>
      <c r="DL294" s="48"/>
      <c r="DM294" s="383">
        <v>0</v>
      </c>
      <c r="DN294" s="49"/>
      <c r="DO294" s="19"/>
      <c r="DP294" s="274"/>
      <c r="DQ294" s="48"/>
      <c r="DR294" s="383">
        <v>0</v>
      </c>
      <c r="DS294" s="49"/>
      <c r="DT294" s="19"/>
      <c r="DU294" s="274"/>
      <c r="DV294" s="48"/>
      <c r="DW294" s="383">
        <v>0</v>
      </c>
      <c r="DX294" s="49"/>
      <c r="DY294" s="19"/>
      <c r="DZ294" s="274"/>
      <c r="EA294" s="48"/>
      <c r="EB294" s="383">
        <v>0</v>
      </c>
      <c r="EC294" s="49"/>
      <c r="ED294" s="19"/>
      <c r="EE294" s="274"/>
      <c r="EF294" s="48"/>
      <c r="EG294" s="383">
        <v>0</v>
      </c>
      <c r="EH294" s="49"/>
      <c r="EI294" s="19"/>
      <c r="EJ294" s="274"/>
      <c r="EK294" s="48"/>
      <c r="EL294" s="383">
        <f>SUM(CD294:EG294)</f>
        <v>0</v>
      </c>
      <c r="EM294" s="49"/>
      <c r="EN294" s="485"/>
      <c r="EO294" s="244"/>
      <c r="ER294" s="451"/>
      <c r="ES294" s="451"/>
    </row>
    <row r="295" spans="4:149" ht="12.75" customHeight="1" x14ac:dyDescent="0.2">
      <c r="D295" s="244"/>
      <c r="G295" s="19"/>
      <c r="H295" s="19"/>
      <c r="I295" s="19"/>
      <c r="J295" s="274"/>
      <c r="K295" s="19"/>
      <c r="L295" s="19"/>
      <c r="M295" s="19"/>
      <c r="N295" s="19"/>
      <c r="O295" s="274"/>
      <c r="P295" s="19"/>
      <c r="Q295" s="19"/>
      <c r="R295" s="19"/>
      <c r="S295" s="19"/>
      <c r="T295" s="274"/>
      <c r="U295" s="19"/>
      <c r="V295" s="19"/>
      <c r="W295" s="19"/>
      <c r="X295" s="19"/>
      <c r="Y295" s="274"/>
      <c r="Z295" s="19"/>
      <c r="AA295" s="19"/>
      <c r="AB295" s="19"/>
      <c r="AC295" s="19"/>
      <c r="AD295" s="274"/>
      <c r="AE295" s="19"/>
      <c r="AF295" s="19"/>
      <c r="AG295" s="19"/>
      <c r="AH295" s="19"/>
      <c r="AI295" s="274"/>
      <c r="AJ295" s="19"/>
      <c r="AK295" s="19"/>
      <c r="AL295" s="19"/>
      <c r="AM295" s="19"/>
      <c r="AN295" s="274"/>
      <c r="AO295" s="19"/>
      <c r="AP295" s="19"/>
      <c r="AQ295" s="19"/>
      <c r="AR295" s="19"/>
      <c r="AS295" s="274"/>
      <c r="AT295" s="19"/>
      <c r="AU295" s="19"/>
      <c r="AV295" s="19"/>
      <c r="AW295" s="19"/>
      <c r="AX295" s="274"/>
      <c r="AY295" s="19"/>
      <c r="AZ295" s="19"/>
      <c r="BA295" s="19"/>
      <c r="BB295" s="19"/>
      <c r="BC295" s="274"/>
      <c r="BD295" s="19"/>
      <c r="BE295" s="19"/>
      <c r="BF295" s="19"/>
      <c r="BG295" s="19"/>
      <c r="BH295" s="274"/>
      <c r="BI295" s="19"/>
      <c r="BJ295" s="19"/>
      <c r="BK295" s="19"/>
      <c r="BL295" s="19"/>
      <c r="BM295" s="274"/>
      <c r="BN295" s="19"/>
      <c r="BO295" s="19"/>
      <c r="BP295" s="19"/>
      <c r="BQ295" s="19"/>
      <c r="BR295" s="274"/>
      <c r="BS295" s="19"/>
      <c r="BT295" s="19"/>
      <c r="BU295" s="19"/>
      <c r="BV295" s="19"/>
      <c r="BW295" s="274"/>
      <c r="BX295" s="19"/>
      <c r="BY295" s="19"/>
      <c r="BZ295" s="19"/>
      <c r="CA295" s="19"/>
      <c r="CB295" s="274"/>
      <c r="CC295" s="19"/>
      <c r="CD295" s="19"/>
      <c r="CE295" s="19"/>
      <c r="CF295" s="19"/>
      <c r="CG295" s="274"/>
      <c r="CH295" s="19"/>
      <c r="CI295" s="19"/>
      <c r="CJ295" s="19"/>
      <c r="CK295" s="19"/>
      <c r="CL295" s="274"/>
      <c r="CM295" s="19"/>
      <c r="CN295" s="19"/>
      <c r="CO295" s="19"/>
      <c r="CP295" s="19"/>
      <c r="CQ295" s="274"/>
      <c r="CR295" s="19"/>
      <c r="CS295" s="19"/>
      <c r="CT295" s="19"/>
      <c r="CU295" s="19"/>
      <c r="CV295" s="274"/>
      <c r="CW295" s="19"/>
      <c r="CX295" s="19"/>
      <c r="CY295" s="19"/>
      <c r="CZ295" s="19"/>
      <c r="DA295" s="274"/>
      <c r="DB295" s="19"/>
      <c r="DC295" s="19"/>
      <c r="DD295" s="19"/>
      <c r="DE295" s="19"/>
      <c r="DF295" s="274"/>
      <c r="DG295" s="19"/>
      <c r="DH295" s="19"/>
      <c r="DI295" s="19"/>
      <c r="DJ295" s="19"/>
      <c r="DK295" s="274"/>
      <c r="DL295" s="19"/>
      <c r="DM295" s="19"/>
      <c r="DN295" s="19"/>
      <c r="DO295" s="19"/>
      <c r="DP295" s="274"/>
      <c r="DQ295" s="19"/>
      <c r="DR295" s="19"/>
      <c r="DS295" s="19"/>
      <c r="DT295" s="19"/>
      <c r="DU295" s="274"/>
      <c r="DV295" s="19"/>
      <c r="DW295" s="19"/>
      <c r="DX295" s="19"/>
      <c r="DY295" s="19"/>
      <c r="DZ295" s="274"/>
      <c r="EA295" s="19"/>
      <c r="EB295" s="19"/>
      <c r="EC295" s="19"/>
      <c r="ED295" s="19"/>
      <c r="EE295" s="274"/>
      <c r="EF295" s="19"/>
      <c r="EG295" s="19"/>
      <c r="EH295" s="19"/>
      <c r="EI295" s="19"/>
      <c r="EJ295" s="274"/>
      <c r="EK295" s="19"/>
      <c r="EL295" s="19"/>
      <c r="EM295" s="19"/>
      <c r="EN295" s="19"/>
      <c r="EO295" s="244"/>
      <c r="ER295" s="451"/>
      <c r="ES295" s="451"/>
    </row>
    <row r="296" spans="4:149" x14ac:dyDescent="0.2">
      <c r="D296" s="244" t="s">
        <v>377</v>
      </c>
      <c r="G296" s="19">
        <f>SUM(G297:G297)</f>
        <v>0</v>
      </c>
      <c r="H296" s="19"/>
      <c r="I296" s="19"/>
      <c r="J296" s="274"/>
      <c r="K296" s="19"/>
      <c r="L296" s="19">
        <f>SUM(L297:L297)</f>
        <v>0</v>
      </c>
      <c r="M296" s="19"/>
      <c r="N296" s="19"/>
      <c r="O296" s="274"/>
      <c r="P296" s="19"/>
      <c r="Q296" s="19">
        <f>SUM(Q297:Q297)</f>
        <v>0</v>
      </c>
      <c r="R296" s="19"/>
      <c r="S296" s="19"/>
      <c r="T296" s="274"/>
      <c r="U296" s="19"/>
      <c r="V296" s="19">
        <f>SUM(V297:V297)</f>
        <v>0</v>
      </c>
      <c r="W296" s="19"/>
      <c r="X296" s="19"/>
      <c r="Y296" s="274"/>
      <c r="Z296" s="19"/>
      <c r="AA296" s="19">
        <f>SUM(AA297:AA297)</f>
        <v>0</v>
      </c>
      <c r="AB296" s="19"/>
      <c r="AC296" s="19"/>
      <c r="AD296" s="274"/>
      <c r="AE296" s="19"/>
      <c r="AF296" s="19">
        <f>SUM(AF297:AF297)</f>
        <v>0</v>
      </c>
      <c r="AG296" s="19"/>
      <c r="AH296" s="19"/>
      <c r="AI296" s="274"/>
      <c r="AJ296" s="19"/>
      <c r="AK296" s="19">
        <f>SUM(AK297:AK297)</f>
        <v>0</v>
      </c>
      <c r="AL296" s="19"/>
      <c r="AM296" s="19"/>
      <c r="AN296" s="274"/>
      <c r="AO296" s="19"/>
      <c r="AP296" s="19">
        <f>SUM(AP297:AP297)</f>
        <v>0</v>
      </c>
      <c r="AQ296" s="19"/>
      <c r="AR296" s="19"/>
      <c r="AS296" s="274"/>
      <c r="AT296" s="19"/>
      <c r="AU296" s="19">
        <f>SUM(AU297:AU297)</f>
        <v>0</v>
      </c>
      <c r="AV296" s="19"/>
      <c r="AW296" s="19"/>
      <c r="AX296" s="274"/>
      <c r="AY296" s="19"/>
      <c r="AZ296" s="19">
        <f>SUM(AZ297:AZ297)</f>
        <v>0</v>
      </c>
      <c r="BA296" s="19"/>
      <c r="BB296" s="19"/>
      <c r="BC296" s="274"/>
      <c r="BD296" s="19"/>
      <c r="BE296" s="19">
        <f>SUM(BE297:BE297)</f>
        <v>0</v>
      </c>
      <c r="BF296" s="19"/>
      <c r="BG296" s="19"/>
      <c r="BH296" s="274"/>
      <c r="BI296" s="19"/>
      <c r="BJ296" s="19">
        <f>SUM(BJ297:BJ297)</f>
        <v>0</v>
      </c>
      <c r="BK296" s="19"/>
      <c r="BL296" s="19"/>
      <c r="BM296" s="274"/>
      <c r="BN296" s="19"/>
      <c r="BO296" s="19">
        <f>SUM(BO297:BO297)</f>
        <v>40151</v>
      </c>
      <c r="BP296" s="19"/>
      <c r="BQ296" s="19"/>
      <c r="BR296" s="274"/>
      <c r="BS296" s="19"/>
      <c r="BT296" s="19">
        <f>SUM(BT297:BT297)</f>
        <v>40151</v>
      </c>
      <c r="BU296" s="19"/>
      <c r="BV296" s="19"/>
      <c r="BW296" s="274"/>
      <c r="BX296" s="19"/>
      <c r="BY296" s="19">
        <f>SUM(BY297:BY297)</f>
        <v>54098</v>
      </c>
      <c r="BZ296" s="19"/>
      <c r="CA296" s="19"/>
      <c r="CB296" s="274"/>
      <c r="CC296" s="19"/>
      <c r="CD296" s="19">
        <f>SUM(CD297:CD297)</f>
        <v>0</v>
      </c>
      <c r="CE296" s="19"/>
      <c r="CF296" s="19"/>
      <c r="CG296" s="274"/>
      <c r="CH296" s="19"/>
      <c r="CI296" s="19">
        <f>SUM(CI297:CI297)</f>
        <v>0</v>
      </c>
      <c r="CJ296" s="19"/>
      <c r="CK296" s="19"/>
      <c r="CL296" s="274"/>
      <c r="CM296" s="19"/>
      <c r="CN296" s="19">
        <f>SUM(CN297:CN297)</f>
        <v>0</v>
      </c>
      <c r="CO296" s="19"/>
      <c r="CP296" s="19"/>
      <c r="CQ296" s="274"/>
      <c r="CR296" s="19"/>
      <c r="CS296" s="19">
        <f>SUM(CS297:CS297)</f>
        <v>0</v>
      </c>
      <c r="CT296" s="19"/>
      <c r="CU296" s="19"/>
      <c r="CV296" s="274"/>
      <c r="CW296" s="19"/>
      <c r="CX296" s="19">
        <f>SUM(CX297:CX297)</f>
        <v>0</v>
      </c>
      <c r="CY296" s="19"/>
      <c r="CZ296" s="19"/>
      <c r="DA296" s="274"/>
      <c r="DB296" s="19"/>
      <c r="DC296" s="19">
        <f>SUM(DC297:DC297)</f>
        <v>0</v>
      </c>
      <c r="DD296" s="19"/>
      <c r="DE296" s="19"/>
      <c r="DF296" s="274"/>
      <c r="DG296" s="19"/>
      <c r="DH296" s="19">
        <f>SUM(DH297:DH297)</f>
        <v>0</v>
      </c>
      <c r="DI296" s="19"/>
      <c r="DJ296" s="19"/>
      <c r="DK296" s="274"/>
      <c r="DL296" s="19"/>
      <c r="DM296" s="19">
        <f>SUM(DM297:DM297)</f>
        <v>0</v>
      </c>
      <c r="DN296" s="19"/>
      <c r="DO296" s="19"/>
      <c r="DP296" s="274"/>
      <c r="DQ296" s="19"/>
      <c r="DR296" s="19">
        <f>SUM(DR297:DR297)</f>
        <v>0</v>
      </c>
      <c r="DS296" s="19"/>
      <c r="DT296" s="19"/>
      <c r="DU296" s="274"/>
      <c r="DV296" s="19"/>
      <c r="DW296" s="19">
        <f>SUM(DW297:DW297)</f>
        <v>0</v>
      </c>
      <c r="DX296" s="19"/>
      <c r="DY296" s="19"/>
      <c r="DZ296" s="274"/>
      <c r="EA296" s="19"/>
      <c r="EB296" s="19">
        <f>SUM(EB297:EB297)</f>
        <v>0</v>
      </c>
      <c r="EC296" s="19"/>
      <c r="ED296" s="19"/>
      <c r="EE296" s="274"/>
      <c r="EF296" s="19"/>
      <c r="EG296" s="19">
        <f>SUM(EG297:EG297)</f>
        <v>54098</v>
      </c>
      <c r="EH296" s="19"/>
      <c r="EI296" s="19"/>
      <c r="EJ296" s="274"/>
      <c r="EK296" s="19"/>
      <c r="EL296" s="19">
        <f>SUM(EL297:EL297)</f>
        <v>54098</v>
      </c>
      <c r="EM296" s="19"/>
      <c r="EN296" s="19"/>
      <c r="EO296" s="244"/>
      <c r="ER296" s="451"/>
      <c r="ES296" s="451"/>
    </row>
    <row r="297" spans="4:149" x14ac:dyDescent="0.2">
      <c r="D297" s="244" t="s">
        <v>344</v>
      </c>
      <c r="F297" s="91"/>
      <c r="G297" s="81">
        <v>0</v>
      </c>
      <c r="H297" s="49"/>
      <c r="I297" s="19"/>
      <c r="J297" s="274"/>
      <c r="K297" s="48"/>
      <c r="L297" s="383">
        <v>0</v>
      </c>
      <c r="M297" s="49"/>
      <c r="N297" s="19"/>
      <c r="O297" s="274"/>
      <c r="P297" s="48"/>
      <c r="Q297" s="383">
        <v>0</v>
      </c>
      <c r="R297" s="49"/>
      <c r="S297" s="19"/>
      <c r="T297" s="274"/>
      <c r="U297" s="48"/>
      <c r="V297" s="383">
        <v>0</v>
      </c>
      <c r="W297" s="49"/>
      <c r="X297" s="18"/>
      <c r="Y297" s="274"/>
      <c r="Z297" s="48"/>
      <c r="AA297" s="383">
        <v>0</v>
      </c>
      <c r="AB297" s="49"/>
      <c r="AC297" s="17"/>
      <c r="AD297" s="274"/>
      <c r="AE297" s="48"/>
      <c r="AF297" s="383">
        <v>0</v>
      </c>
      <c r="AG297" s="49"/>
      <c r="AH297" s="19"/>
      <c r="AI297" s="274"/>
      <c r="AJ297" s="48"/>
      <c r="AK297" s="383">
        <v>0</v>
      </c>
      <c r="AL297" s="49"/>
      <c r="AM297" s="19"/>
      <c r="AN297" s="274"/>
      <c r="AO297" s="48"/>
      <c r="AP297" s="383">
        <v>0</v>
      </c>
      <c r="AQ297" s="49"/>
      <c r="AR297" s="19"/>
      <c r="AS297" s="274"/>
      <c r="AT297" s="48"/>
      <c r="AU297" s="383">
        <v>0</v>
      </c>
      <c r="AV297" s="49"/>
      <c r="AW297" s="19"/>
      <c r="AX297" s="274"/>
      <c r="AY297" s="48"/>
      <c r="AZ297" s="383">
        <v>0</v>
      </c>
      <c r="BA297" s="49"/>
      <c r="BB297" s="19"/>
      <c r="BC297" s="274"/>
      <c r="BD297" s="48"/>
      <c r="BE297" s="383">
        <v>0</v>
      </c>
      <c r="BF297" s="49"/>
      <c r="BG297" s="19"/>
      <c r="BH297" s="274"/>
      <c r="BI297" s="48"/>
      <c r="BJ297" s="383">
        <v>0</v>
      </c>
      <c r="BK297" s="49"/>
      <c r="BL297" s="19"/>
      <c r="BM297" s="274"/>
      <c r="BN297" s="48"/>
      <c r="BO297" s="383">
        <v>40151</v>
      </c>
      <c r="BP297" s="49">
        <v>0</v>
      </c>
      <c r="BQ297" s="19"/>
      <c r="BR297" s="274"/>
      <c r="BS297" s="91">
        <v>54207</v>
      </c>
      <c r="BT297" s="383">
        <f>SUM(L297:BO297)</f>
        <v>40151</v>
      </c>
      <c r="BU297" s="49">
        <v>0</v>
      </c>
      <c r="BV297" s="19"/>
      <c r="BW297" s="17"/>
      <c r="BX297" s="91"/>
      <c r="BY297" s="383">
        <v>54098</v>
      </c>
      <c r="BZ297" s="49"/>
      <c r="CA297" s="19"/>
      <c r="CB297" s="274"/>
      <c r="CC297" s="48"/>
      <c r="CD297" s="383">
        <v>0</v>
      </c>
      <c r="CE297" s="49"/>
      <c r="CF297" s="19"/>
      <c r="CG297" s="274"/>
      <c r="CH297" s="48"/>
      <c r="CI297" s="383">
        <v>0</v>
      </c>
      <c r="CJ297" s="49"/>
      <c r="CK297" s="19"/>
      <c r="CL297" s="274"/>
      <c r="CM297" s="48"/>
      <c r="CN297" s="383">
        <v>0</v>
      </c>
      <c r="CO297" s="49"/>
      <c r="CP297" s="18"/>
      <c r="CQ297" s="274"/>
      <c r="CR297" s="48"/>
      <c r="CS297" s="383">
        <v>0</v>
      </c>
      <c r="CT297" s="49"/>
      <c r="CU297" s="17"/>
      <c r="CV297" s="274"/>
      <c r="CW297" s="48"/>
      <c r="CX297" s="383">
        <v>0</v>
      </c>
      <c r="CY297" s="49"/>
      <c r="CZ297" s="19"/>
      <c r="DA297" s="274"/>
      <c r="DB297" s="48"/>
      <c r="DC297" s="383">
        <v>0</v>
      </c>
      <c r="DD297" s="49"/>
      <c r="DE297" s="19"/>
      <c r="DF297" s="274"/>
      <c r="DG297" s="48"/>
      <c r="DH297" s="383">
        <v>0</v>
      </c>
      <c r="DI297" s="49"/>
      <c r="DJ297" s="19"/>
      <c r="DK297" s="274"/>
      <c r="DL297" s="48"/>
      <c r="DM297" s="383">
        <v>0</v>
      </c>
      <c r="DN297" s="49"/>
      <c r="DO297" s="19"/>
      <c r="DP297" s="274"/>
      <c r="DQ297" s="48"/>
      <c r="DR297" s="383">
        <v>0</v>
      </c>
      <c r="DS297" s="49"/>
      <c r="DT297" s="19"/>
      <c r="DU297" s="274"/>
      <c r="DV297" s="48"/>
      <c r="DW297" s="383">
        <v>0</v>
      </c>
      <c r="DX297" s="49"/>
      <c r="DY297" s="19"/>
      <c r="DZ297" s="274"/>
      <c r="EA297" s="48"/>
      <c r="EB297" s="383">
        <v>0</v>
      </c>
      <c r="EC297" s="49"/>
      <c r="ED297" s="19"/>
      <c r="EE297" s="274"/>
      <c r="EF297" s="48"/>
      <c r="EG297" s="383">
        <v>54098</v>
      </c>
      <c r="EH297" s="49">
        <v>0</v>
      </c>
      <c r="EI297" s="19"/>
      <c r="EJ297" s="274"/>
      <c r="EK297" s="48">
        <v>54207</v>
      </c>
      <c r="EL297" s="383">
        <f>SUM(CD297:EG297)</f>
        <v>54098</v>
      </c>
      <c r="EM297" s="49">
        <v>0</v>
      </c>
      <c r="EN297" s="485"/>
      <c r="EO297" s="244"/>
      <c r="ER297" s="451"/>
      <c r="ES297" s="451"/>
    </row>
    <row r="298" spans="4:149" x14ac:dyDescent="0.2">
      <c r="D298" s="244"/>
      <c r="G298" s="19"/>
      <c r="H298" s="19"/>
      <c r="I298" s="19"/>
      <c r="J298" s="274"/>
      <c r="K298" s="19"/>
      <c r="L298" s="19"/>
      <c r="M298" s="19"/>
      <c r="N298" s="19"/>
      <c r="O298" s="274"/>
      <c r="P298" s="19"/>
      <c r="Q298" s="19"/>
      <c r="R298" s="19"/>
      <c r="S298" s="19"/>
      <c r="T298" s="274"/>
      <c r="U298" s="19"/>
      <c r="V298" s="19"/>
      <c r="W298" s="19"/>
      <c r="X298" s="19"/>
      <c r="Y298" s="274"/>
      <c r="Z298" s="19"/>
      <c r="AA298" s="19"/>
      <c r="AB298" s="19"/>
      <c r="AC298" s="19"/>
      <c r="AD298" s="274"/>
      <c r="AE298" s="19"/>
      <c r="AF298" s="19"/>
      <c r="AG298" s="19"/>
      <c r="AH298" s="19"/>
      <c r="AI298" s="274"/>
      <c r="AJ298" s="19"/>
      <c r="AK298" s="19"/>
      <c r="AL298" s="19"/>
      <c r="AM298" s="19"/>
      <c r="AN298" s="274"/>
      <c r="AO298" s="19"/>
      <c r="AP298" s="19"/>
      <c r="AQ298" s="19"/>
      <c r="AR298" s="19"/>
      <c r="AS298" s="274"/>
      <c r="AT298" s="19"/>
      <c r="AU298" s="19"/>
      <c r="AV298" s="19"/>
      <c r="AW298" s="19"/>
      <c r="AX298" s="274"/>
      <c r="AY298" s="19"/>
      <c r="AZ298" s="19"/>
      <c r="BA298" s="19"/>
      <c r="BB298" s="19"/>
      <c r="BC298" s="274"/>
      <c r="BD298" s="19"/>
      <c r="BE298" s="19"/>
      <c r="BF298" s="19"/>
      <c r="BG298" s="19"/>
      <c r="BH298" s="274"/>
      <c r="BI298" s="19"/>
      <c r="BJ298" s="19"/>
      <c r="BK298" s="19"/>
      <c r="BL298" s="19"/>
      <c r="BM298" s="274"/>
      <c r="BN298" s="19"/>
      <c r="BO298" s="19"/>
      <c r="BP298" s="19"/>
      <c r="BQ298" s="19"/>
      <c r="BR298" s="274"/>
      <c r="BS298" s="19"/>
      <c r="BT298" s="19"/>
      <c r="BU298" s="19"/>
      <c r="BV298" s="19"/>
      <c r="BW298" s="274"/>
      <c r="BX298" s="19"/>
      <c r="BY298" s="19"/>
      <c r="BZ298" s="19"/>
      <c r="CA298" s="19"/>
      <c r="CB298" s="274"/>
      <c r="CC298" s="19"/>
      <c r="CD298" s="19"/>
      <c r="CE298" s="19"/>
      <c r="CF298" s="19"/>
      <c r="CG298" s="274"/>
      <c r="CH298" s="19"/>
      <c r="CI298" s="19"/>
      <c r="CJ298" s="19"/>
      <c r="CK298" s="19"/>
      <c r="CL298" s="274"/>
      <c r="CM298" s="19"/>
      <c r="CN298" s="19"/>
      <c r="CO298" s="19"/>
      <c r="CP298" s="19"/>
      <c r="CQ298" s="274"/>
      <c r="CR298" s="19"/>
      <c r="CS298" s="19"/>
      <c r="CT298" s="19"/>
      <c r="CU298" s="19"/>
      <c r="CV298" s="274"/>
      <c r="CW298" s="19"/>
      <c r="CX298" s="19"/>
      <c r="CY298" s="19"/>
      <c r="CZ298" s="19"/>
      <c r="DA298" s="274"/>
      <c r="DB298" s="19"/>
      <c r="DC298" s="19"/>
      <c r="DD298" s="19"/>
      <c r="DE298" s="19"/>
      <c r="DF298" s="274"/>
      <c r="DG298" s="19"/>
      <c r="DH298" s="19"/>
      <c r="DI298" s="19"/>
      <c r="DJ298" s="19"/>
      <c r="DK298" s="274"/>
      <c r="DL298" s="19"/>
      <c r="DM298" s="19"/>
      <c r="DN298" s="19"/>
      <c r="DO298" s="19"/>
      <c r="DP298" s="274"/>
      <c r="DQ298" s="19"/>
      <c r="DR298" s="19"/>
      <c r="DS298" s="19"/>
      <c r="DT298" s="19"/>
      <c r="DU298" s="274"/>
      <c r="DV298" s="19"/>
      <c r="DW298" s="19"/>
      <c r="DX298" s="19"/>
      <c r="DY298" s="19"/>
      <c r="DZ298" s="274"/>
      <c r="EA298" s="19"/>
      <c r="EB298" s="19"/>
      <c r="EC298" s="19"/>
      <c r="ED298" s="19"/>
      <c r="EE298" s="274"/>
      <c r="EF298" s="19"/>
      <c r="EG298" s="19"/>
      <c r="EH298" s="19"/>
      <c r="EI298" s="19"/>
      <c r="EJ298" s="274"/>
      <c r="EK298" s="19"/>
      <c r="EL298" s="19"/>
      <c r="EM298" s="19"/>
      <c r="EN298" s="19"/>
      <c r="EO298" s="244"/>
      <c r="ER298" s="451"/>
      <c r="ES298" s="451"/>
    </row>
    <row r="299" spans="4:149" ht="12.75" customHeight="1" x14ac:dyDescent="0.2">
      <c r="D299" s="244" t="s">
        <v>357</v>
      </c>
      <c r="G299" s="19">
        <f>SUM(G300)</f>
        <v>0</v>
      </c>
      <c r="H299" s="19"/>
      <c r="I299" s="19"/>
      <c r="J299" s="274"/>
      <c r="K299" s="19"/>
      <c r="L299" s="19">
        <f>SUM(L300:L300)</f>
        <v>0</v>
      </c>
      <c r="M299" s="19"/>
      <c r="N299" s="19"/>
      <c r="O299" s="274"/>
      <c r="P299" s="19"/>
      <c r="Q299" s="19">
        <f>SUM(Q300:Q300)</f>
        <v>0</v>
      </c>
      <c r="R299" s="19"/>
      <c r="S299" s="19"/>
      <c r="T299" s="274"/>
      <c r="U299" s="19"/>
      <c r="V299" s="19">
        <f>SUM(V300:V300)</f>
        <v>0</v>
      </c>
      <c r="W299" s="19"/>
      <c r="X299" s="19"/>
      <c r="Y299" s="274"/>
      <c r="Z299" s="19"/>
      <c r="AA299" s="19">
        <f>SUM(AA300:AA300)</f>
        <v>0</v>
      </c>
      <c r="AB299" s="19"/>
      <c r="AC299" s="19"/>
      <c r="AD299" s="274"/>
      <c r="AE299" s="19"/>
      <c r="AF299" s="19">
        <f>SUM(AF300:AF300)</f>
        <v>0</v>
      </c>
      <c r="AG299" s="19"/>
      <c r="AH299" s="19"/>
      <c r="AI299" s="274"/>
      <c r="AJ299" s="19"/>
      <c r="AK299" s="19">
        <f>SUM(AK300:AK300)</f>
        <v>0</v>
      </c>
      <c r="AL299" s="19"/>
      <c r="AM299" s="19"/>
      <c r="AN299" s="274"/>
      <c r="AO299" s="19"/>
      <c r="AP299" s="19">
        <f>SUM(AP300:AP300)</f>
        <v>0</v>
      </c>
      <c r="AQ299" s="19"/>
      <c r="AR299" s="19"/>
      <c r="AS299" s="274"/>
      <c r="AT299" s="19"/>
      <c r="AU299" s="19">
        <f>SUM(AU300:AU300)</f>
        <v>0</v>
      </c>
      <c r="AV299" s="19"/>
      <c r="AW299" s="19"/>
      <c r="AX299" s="274"/>
      <c r="AY299" s="19"/>
      <c r="AZ299" s="19">
        <f>SUM(AZ300:AZ300)</f>
        <v>0</v>
      </c>
      <c r="BA299" s="19"/>
      <c r="BB299" s="19"/>
      <c r="BC299" s="274"/>
      <c r="BD299" s="19"/>
      <c r="BE299" s="19">
        <f>SUM(BE300:BE300)</f>
        <v>0</v>
      </c>
      <c r="BF299" s="19"/>
      <c r="BG299" s="19"/>
      <c r="BH299" s="274"/>
      <c r="BI299" s="19"/>
      <c r="BJ299" s="19">
        <f>SUM(BJ300:BJ300)</f>
        <v>53426</v>
      </c>
      <c r="BK299" s="19"/>
      <c r="BL299" s="19"/>
      <c r="BM299" s="274"/>
      <c r="BN299" s="19"/>
      <c r="BO299" s="19">
        <f>SUM(BO300:BO300)</f>
        <v>119111</v>
      </c>
      <c r="BP299" s="19"/>
      <c r="BQ299" s="19"/>
      <c r="BR299" s="274"/>
      <c r="BS299" s="19"/>
      <c r="BT299" s="19">
        <f>SUM(BT300:BT300)</f>
        <v>172537</v>
      </c>
      <c r="BU299" s="19"/>
      <c r="BV299" s="19"/>
      <c r="BW299" s="274"/>
      <c r="BX299" s="19"/>
      <c r="BY299" s="19">
        <f>SUM(BY300:BY300)</f>
        <v>183582</v>
      </c>
      <c r="BZ299" s="19"/>
      <c r="CA299" s="19"/>
      <c r="CB299" s="274"/>
      <c r="CC299" s="19"/>
      <c r="CD299" s="19">
        <f>SUM(CD300:CD300)</f>
        <v>0</v>
      </c>
      <c r="CE299" s="19"/>
      <c r="CF299" s="19"/>
      <c r="CG299" s="274"/>
      <c r="CH299" s="19"/>
      <c r="CI299" s="19">
        <f>SUM(CI300:CI300)</f>
        <v>0</v>
      </c>
      <c r="CJ299" s="19"/>
      <c r="CK299" s="19"/>
      <c r="CL299" s="274"/>
      <c r="CM299" s="19"/>
      <c r="CN299" s="19">
        <f>SUM(CN300:CN300)</f>
        <v>0</v>
      </c>
      <c r="CO299" s="19"/>
      <c r="CP299" s="19"/>
      <c r="CQ299" s="274"/>
      <c r="CR299" s="19"/>
      <c r="CS299" s="19">
        <f>SUM(CS300:CS300)</f>
        <v>0</v>
      </c>
      <c r="CT299" s="19"/>
      <c r="CU299" s="19"/>
      <c r="CV299" s="274"/>
      <c r="CW299" s="19"/>
      <c r="CX299" s="19">
        <f>SUM(CX300:CX300)</f>
        <v>0</v>
      </c>
      <c r="CY299" s="19"/>
      <c r="CZ299" s="19"/>
      <c r="DA299" s="274"/>
      <c r="DB299" s="19"/>
      <c r="DC299" s="19">
        <f>SUM(DC300:DC300)</f>
        <v>119455</v>
      </c>
      <c r="DD299" s="19"/>
      <c r="DE299" s="19"/>
      <c r="DF299" s="274"/>
      <c r="DG299" s="19"/>
      <c r="DH299" s="19">
        <f>SUM(DH300:DH300)</f>
        <v>0</v>
      </c>
      <c r="DI299" s="19"/>
      <c r="DJ299" s="19"/>
      <c r="DK299" s="274"/>
      <c r="DL299" s="19"/>
      <c r="DM299" s="19">
        <f>SUM(DM300:DM300)</f>
        <v>64127</v>
      </c>
      <c r="DN299" s="19"/>
      <c r="DO299" s="19"/>
      <c r="DP299" s="274"/>
      <c r="DQ299" s="19"/>
      <c r="DR299" s="19">
        <f>SUM(DR300:DR300)</f>
        <v>0</v>
      </c>
      <c r="DS299" s="19"/>
      <c r="DT299" s="19"/>
      <c r="DU299" s="274"/>
      <c r="DV299" s="19"/>
      <c r="DW299" s="19">
        <f>SUM(DW300:DW300)</f>
        <v>0</v>
      </c>
      <c r="DX299" s="19"/>
      <c r="DY299" s="19"/>
      <c r="DZ299" s="274"/>
      <c r="EA299" s="19"/>
      <c r="EB299" s="19">
        <f>SUM(EB300:EB300)</f>
        <v>0</v>
      </c>
      <c r="EC299" s="19"/>
      <c r="ED299" s="19"/>
      <c r="EE299" s="274"/>
      <c r="EF299" s="19"/>
      <c r="EG299" s="19">
        <f>SUM(EG300:EG300)</f>
        <v>0</v>
      </c>
      <c r="EH299" s="19"/>
      <c r="EI299" s="19"/>
      <c r="EJ299" s="274"/>
      <c r="EK299" s="19"/>
      <c r="EL299" s="19">
        <f>SUM(EL300:EL300)</f>
        <v>183582</v>
      </c>
      <c r="EM299" s="19"/>
      <c r="EN299" s="19"/>
      <c r="EO299" s="244"/>
      <c r="ER299" s="451"/>
      <c r="ES299" s="451"/>
    </row>
    <row r="300" spans="4:149" ht="12.75" customHeight="1" x14ac:dyDescent="0.2">
      <c r="D300" s="244" t="s">
        <v>344</v>
      </c>
      <c r="F300" s="91"/>
      <c r="G300" s="81">
        <v>0</v>
      </c>
      <c r="H300" s="49"/>
      <c r="I300" s="19"/>
      <c r="J300" s="274"/>
      <c r="K300" s="48"/>
      <c r="L300" s="81">
        <v>0</v>
      </c>
      <c r="M300" s="49"/>
      <c r="N300" s="19"/>
      <c r="O300" s="274"/>
      <c r="P300" s="48"/>
      <c r="Q300" s="81">
        <v>0</v>
      </c>
      <c r="R300" s="49"/>
      <c r="S300" s="19"/>
      <c r="T300" s="274"/>
      <c r="U300" s="48"/>
      <c r="V300" s="81">
        <v>0</v>
      </c>
      <c r="W300" s="49"/>
      <c r="X300" s="19"/>
      <c r="Y300" s="274"/>
      <c r="Z300" s="48"/>
      <c r="AA300" s="81">
        <v>0</v>
      </c>
      <c r="AB300" s="49"/>
      <c r="AC300" s="19"/>
      <c r="AD300" s="274"/>
      <c r="AE300" s="48"/>
      <c r="AF300" s="81">
        <v>0</v>
      </c>
      <c r="AG300" s="49"/>
      <c r="AH300" s="19"/>
      <c r="AI300" s="274"/>
      <c r="AJ300" s="48"/>
      <c r="AK300" s="81">
        <v>0</v>
      </c>
      <c r="AL300" s="49"/>
      <c r="AM300" s="19"/>
      <c r="AN300" s="274"/>
      <c r="AO300" s="48"/>
      <c r="AP300" s="81">
        <v>0</v>
      </c>
      <c r="AQ300" s="49"/>
      <c r="AR300" s="19"/>
      <c r="AS300" s="274"/>
      <c r="AT300" s="48"/>
      <c r="AU300" s="81">
        <v>0</v>
      </c>
      <c r="AV300" s="49"/>
      <c r="AW300" s="19"/>
      <c r="AX300" s="274"/>
      <c r="AY300" s="48"/>
      <c r="AZ300" s="81">
        <v>0</v>
      </c>
      <c r="BA300" s="49"/>
      <c r="BB300" s="19"/>
      <c r="BC300" s="274"/>
      <c r="BD300" s="48"/>
      <c r="BE300" s="81">
        <v>0</v>
      </c>
      <c r="BF300" s="49"/>
      <c r="BG300" s="19"/>
      <c r="BH300" s="274"/>
      <c r="BI300" s="48"/>
      <c r="BJ300" s="81">
        <v>53426</v>
      </c>
      <c r="BK300" s="49"/>
      <c r="BL300" s="19"/>
      <c r="BM300" s="274"/>
      <c r="BN300" s="48"/>
      <c r="BO300" s="81">
        <v>119111</v>
      </c>
      <c r="BP300" s="49"/>
      <c r="BQ300" s="19"/>
      <c r="BR300" s="274"/>
      <c r="BS300" s="48"/>
      <c r="BT300" s="81">
        <f>SUM(L300:BO300)</f>
        <v>172537</v>
      </c>
      <c r="BU300" s="49"/>
      <c r="BV300" s="19"/>
      <c r="BW300" s="274"/>
      <c r="BX300" s="48"/>
      <c r="BY300" s="81">
        <v>183582</v>
      </c>
      <c r="BZ300" s="49"/>
      <c r="CA300" s="19"/>
      <c r="CB300" s="274"/>
      <c r="CC300" s="48"/>
      <c r="CD300" s="81">
        <v>0</v>
      </c>
      <c r="CE300" s="49"/>
      <c r="CF300" s="19"/>
      <c r="CG300" s="274"/>
      <c r="CH300" s="48"/>
      <c r="CI300" s="81">
        <v>0</v>
      </c>
      <c r="CJ300" s="49"/>
      <c r="CK300" s="19"/>
      <c r="CL300" s="274"/>
      <c r="CM300" s="48"/>
      <c r="CN300" s="81">
        <v>0</v>
      </c>
      <c r="CO300" s="49"/>
      <c r="CP300" s="19"/>
      <c r="CQ300" s="274"/>
      <c r="CR300" s="48"/>
      <c r="CS300" s="81">
        <v>0</v>
      </c>
      <c r="CT300" s="49"/>
      <c r="CU300" s="19"/>
      <c r="CV300" s="274"/>
      <c r="CW300" s="48"/>
      <c r="CX300" s="81">
        <v>0</v>
      </c>
      <c r="CY300" s="49"/>
      <c r="CZ300" s="19"/>
      <c r="DA300" s="274"/>
      <c r="DB300" s="48"/>
      <c r="DC300" s="81">
        <v>119455</v>
      </c>
      <c r="DD300" s="49"/>
      <c r="DE300" s="19"/>
      <c r="DF300" s="274"/>
      <c r="DG300" s="48"/>
      <c r="DH300" s="81">
        <v>0</v>
      </c>
      <c r="DI300" s="49"/>
      <c r="DJ300" s="19"/>
      <c r="DK300" s="274"/>
      <c r="DL300" s="48"/>
      <c r="DM300" s="81">
        <v>64127</v>
      </c>
      <c r="DN300" s="49"/>
      <c r="DO300" s="19"/>
      <c r="DP300" s="274"/>
      <c r="DQ300" s="48"/>
      <c r="DR300" s="81">
        <v>0</v>
      </c>
      <c r="DS300" s="49"/>
      <c r="DT300" s="19"/>
      <c r="DU300" s="274"/>
      <c r="DV300" s="48"/>
      <c r="DW300" s="81">
        <v>0</v>
      </c>
      <c r="DX300" s="49"/>
      <c r="DY300" s="19"/>
      <c r="DZ300" s="274"/>
      <c r="EA300" s="48"/>
      <c r="EB300" s="81">
        <v>0</v>
      </c>
      <c r="EC300" s="49"/>
      <c r="ED300" s="19"/>
      <c r="EE300" s="274"/>
      <c r="EF300" s="48"/>
      <c r="EG300" s="81">
        <v>0</v>
      </c>
      <c r="EH300" s="49"/>
      <c r="EI300" s="19"/>
      <c r="EJ300" s="274"/>
      <c r="EK300" s="48"/>
      <c r="EL300" s="81">
        <f>SUM(CD300:EG300)</f>
        <v>183582</v>
      </c>
      <c r="EM300" s="49"/>
      <c r="EN300" s="19"/>
      <c r="EO300" s="244"/>
      <c r="ER300" s="451"/>
      <c r="ES300" s="451"/>
    </row>
    <row r="301" spans="4:149" ht="12.75" customHeight="1" x14ac:dyDescent="0.2">
      <c r="D301" s="244"/>
      <c r="G301" s="19"/>
      <c r="H301" s="19"/>
      <c r="I301" s="19"/>
      <c r="J301" s="274"/>
      <c r="K301" s="19"/>
      <c r="L301" s="19"/>
      <c r="M301" s="19"/>
      <c r="N301" s="19"/>
      <c r="O301" s="274"/>
      <c r="P301" s="19"/>
      <c r="Q301" s="19"/>
      <c r="R301" s="19"/>
      <c r="S301" s="19"/>
      <c r="T301" s="274"/>
      <c r="U301" s="19"/>
      <c r="V301" s="19"/>
      <c r="W301" s="19"/>
      <c r="X301" s="19"/>
      <c r="Y301" s="274"/>
      <c r="Z301" s="19"/>
      <c r="AA301" s="19"/>
      <c r="AB301" s="19"/>
      <c r="AC301" s="19"/>
      <c r="AD301" s="274"/>
      <c r="AE301" s="19"/>
      <c r="AF301" s="19"/>
      <c r="AG301" s="19"/>
      <c r="AH301" s="19"/>
      <c r="AI301" s="274"/>
      <c r="AJ301" s="19"/>
      <c r="AK301" s="19"/>
      <c r="AL301" s="19"/>
      <c r="AM301" s="19"/>
      <c r="AN301" s="274"/>
      <c r="AO301" s="19"/>
      <c r="AP301" s="19"/>
      <c r="AQ301" s="19"/>
      <c r="AR301" s="19"/>
      <c r="AS301" s="274"/>
      <c r="AT301" s="19"/>
      <c r="AU301" s="19"/>
      <c r="AV301" s="19"/>
      <c r="AW301" s="19"/>
      <c r="AX301" s="274"/>
      <c r="AY301" s="19"/>
      <c r="AZ301" s="19"/>
      <c r="BA301" s="19"/>
      <c r="BB301" s="19"/>
      <c r="BC301" s="274"/>
      <c r="BD301" s="19"/>
      <c r="BE301" s="19"/>
      <c r="BF301" s="19"/>
      <c r="BG301" s="19"/>
      <c r="BH301" s="274"/>
      <c r="BI301" s="19"/>
      <c r="BJ301" s="19"/>
      <c r="BK301" s="19"/>
      <c r="BL301" s="19"/>
      <c r="BM301" s="274"/>
      <c r="BN301" s="19"/>
      <c r="BO301" s="19"/>
      <c r="BP301" s="19"/>
      <c r="BQ301" s="19"/>
      <c r="BR301" s="274"/>
      <c r="BS301" s="19"/>
      <c r="BT301" s="19"/>
      <c r="BU301" s="19"/>
      <c r="BV301" s="19"/>
      <c r="BW301" s="274"/>
      <c r="BX301" s="19"/>
      <c r="BY301" s="19"/>
      <c r="BZ301" s="19"/>
      <c r="CA301" s="19"/>
      <c r="CB301" s="274"/>
      <c r="CC301" s="19"/>
      <c r="CD301" s="19"/>
      <c r="CE301" s="19"/>
      <c r="CF301" s="19"/>
      <c r="CG301" s="274"/>
      <c r="CH301" s="19"/>
      <c r="CI301" s="19"/>
      <c r="CJ301" s="19"/>
      <c r="CK301" s="19"/>
      <c r="CL301" s="274"/>
      <c r="CM301" s="19"/>
      <c r="CN301" s="19"/>
      <c r="CO301" s="19"/>
      <c r="CP301" s="19"/>
      <c r="CQ301" s="274"/>
      <c r="CR301" s="19"/>
      <c r="CS301" s="19"/>
      <c r="CT301" s="19"/>
      <c r="CU301" s="19"/>
      <c r="CV301" s="274"/>
      <c r="CW301" s="19"/>
      <c r="CX301" s="19"/>
      <c r="CY301" s="19"/>
      <c r="CZ301" s="19"/>
      <c r="DA301" s="274"/>
      <c r="DB301" s="19"/>
      <c r="DC301" s="19"/>
      <c r="DD301" s="19"/>
      <c r="DE301" s="19"/>
      <c r="DF301" s="274"/>
      <c r="DG301" s="19"/>
      <c r="DH301" s="19"/>
      <c r="DI301" s="19"/>
      <c r="DJ301" s="19"/>
      <c r="DK301" s="274"/>
      <c r="DL301" s="19"/>
      <c r="DM301" s="19"/>
      <c r="DN301" s="19"/>
      <c r="DO301" s="19"/>
      <c r="DP301" s="274"/>
      <c r="DQ301" s="19"/>
      <c r="DR301" s="19"/>
      <c r="DS301" s="19"/>
      <c r="DT301" s="19"/>
      <c r="DU301" s="274"/>
      <c r="DV301" s="19"/>
      <c r="DW301" s="19"/>
      <c r="DX301" s="19"/>
      <c r="DY301" s="19"/>
      <c r="DZ301" s="274"/>
      <c r="EA301" s="19"/>
      <c r="EB301" s="19"/>
      <c r="EC301" s="19"/>
      <c r="ED301" s="19"/>
      <c r="EE301" s="274"/>
      <c r="EF301" s="19"/>
      <c r="EG301" s="19"/>
      <c r="EH301" s="19"/>
      <c r="EI301" s="19"/>
      <c r="EJ301" s="274"/>
      <c r="EK301" s="19"/>
      <c r="EL301" s="19"/>
      <c r="EM301" s="19"/>
      <c r="EN301" s="19"/>
      <c r="EO301" s="244"/>
      <c r="ER301" s="451"/>
      <c r="ES301" s="451"/>
    </row>
    <row r="302" spans="4:149" x14ac:dyDescent="0.2">
      <c r="D302" s="244" t="s">
        <v>406</v>
      </c>
      <c r="G302" s="19">
        <f>SUM(G303:G303)</f>
        <v>0</v>
      </c>
      <c r="H302" s="19"/>
      <c r="I302" s="19"/>
      <c r="J302" s="274"/>
      <c r="L302" s="19">
        <f>SUM(L303)</f>
        <v>0</v>
      </c>
      <c r="M302" s="19"/>
      <c r="N302" s="19"/>
      <c r="O302" s="274"/>
      <c r="Q302" s="19">
        <f>SUM(Q303)</f>
        <v>0</v>
      </c>
      <c r="R302" s="19"/>
      <c r="S302" s="19"/>
      <c r="T302" s="274"/>
      <c r="V302" s="19">
        <f>SUM(V303)</f>
        <v>0</v>
      </c>
      <c r="W302" s="19"/>
      <c r="X302" s="19"/>
      <c r="Y302" s="274"/>
      <c r="AA302" s="19">
        <f>SUM(AA303)</f>
        <v>0</v>
      </c>
      <c r="AB302" s="19"/>
      <c r="AC302" s="19"/>
      <c r="AD302" s="274"/>
      <c r="AF302" s="19">
        <f>SUM(AF303)</f>
        <v>0</v>
      </c>
      <c r="AG302" s="19"/>
      <c r="AH302" s="19"/>
      <c r="AI302" s="274"/>
      <c r="AK302" s="19">
        <f>SUM(AK303)</f>
        <v>0</v>
      </c>
      <c r="AL302" s="19"/>
      <c r="AM302" s="19"/>
      <c r="AN302" s="274"/>
      <c r="AP302" s="19">
        <f>SUM(AP303)</f>
        <v>0</v>
      </c>
      <c r="AQ302" s="19"/>
      <c r="AR302" s="19"/>
      <c r="AS302" s="274"/>
      <c r="AU302" s="19">
        <f>SUM(AU303)</f>
        <v>0</v>
      </c>
      <c r="AV302" s="19"/>
      <c r="AW302" s="19"/>
      <c r="AX302" s="274"/>
      <c r="AZ302" s="19">
        <f>SUM(AZ303)</f>
        <v>0</v>
      </c>
      <c r="BA302" s="19"/>
      <c r="BB302" s="19"/>
      <c r="BC302" s="274"/>
      <c r="BE302" s="19">
        <f>SUM(BE303)</f>
        <v>0</v>
      </c>
      <c r="BF302" s="19"/>
      <c r="BG302" s="19"/>
      <c r="BH302" s="274"/>
      <c r="BJ302" s="19">
        <f>SUM(BJ303)</f>
        <v>0</v>
      </c>
      <c r="BK302" s="19"/>
      <c r="BL302" s="19"/>
      <c r="BM302" s="274"/>
      <c r="BO302" s="19">
        <f>SUM(BO303)</f>
        <v>1018643</v>
      </c>
      <c r="BP302" s="19"/>
      <c r="BQ302" s="19"/>
      <c r="BR302" s="274"/>
      <c r="BT302" s="19">
        <f>SUM(BT303:BT303)</f>
        <v>1018643</v>
      </c>
      <c r="BU302" s="19"/>
      <c r="BV302" s="19"/>
      <c r="BW302" s="274"/>
      <c r="BY302" s="19">
        <f>SUM(BY303:BY303)</f>
        <v>0</v>
      </c>
      <c r="BZ302" s="19"/>
      <c r="CA302" s="19"/>
      <c r="CB302" s="274"/>
      <c r="CD302" s="19">
        <f>SUM(CD303)</f>
        <v>0</v>
      </c>
      <c r="CE302" s="19"/>
      <c r="CF302" s="19"/>
      <c r="CG302" s="274"/>
      <c r="CI302" s="19">
        <f>SUM(CI303)</f>
        <v>0</v>
      </c>
      <c r="CJ302" s="19"/>
      <c r="CK302" s="19"/>
      <c r="CL302" s="274"/>
      <c r="CN302" s="19">
        <f>SUM(CN303)</f>
        <v>0</v>
      </c>
      <c r="CO302" s="19"/>
      <c r="CP302" s="19"/>
      <c r="CQ302" s="274"/>
      <c r="CS302" s="19">
        <f>SUM(CS303)</f>
        <v>0</v>
      </c>
      <c r="CT302" s="19"/>
      <c r="CU302" s="19"/>
      <c r="CV302" s="274"/>
      <c r="CX302" s="19">
        <f>SUM(CX303)</f>
        <v>0</v>
      </c>
      <c r="CY302" s="19"/>
      <c r="CZ302" s="19"/>
      <c r="DA302" s="274"/>
      <c r="DC302" s="19">
        <f>SUM(DC303)</f>
        <v>0</v>
      </c>
      <c r="DD302" s="19"/>
      <c r="DE302" s="19"/>
      <c r="DF302" s="274"/>
      <c r="DH302" s="19">
        <f>SUM(DH303)</f>
        <v>0</v>
      </c>
      <c r="DI302" s="19"/>
      <c r="DJ302" s="19"/>
      <c r="DK302" s="274"/>
      <c r="DM302" s="19">
        <f>SUM(DM303)</f>
        <v>0</v>
      </c>
      <c r="DN302" s="19"/>
      <c r="DO302" s="19"/>
      <c r="DP302" s="274"/>
      <c r="DR302" s="19">
        <f>SUM(DR303)</f>
        <v>0</v>
      </c>
      <c r="DS302" s="19"/>
      <c r="DT302" s="19"/>
      <c r="DU302" s="274"/>
      <c r="DW302" s="19">
        <f>SUM(DW303)</f>
        <v>0</v>
      </c>
      <c r="DX302" s="19"/>
      <c r="DY302" s="19"/>
      <c r="DZ302" s="274"/>
      <c r="EB302" s="19">
        <f>SUM(EB303)</f>
        <v>0</v>
      </c>
      <c r="EC302" s="19"/>
      <c r="ED302" s="19"/>
      <c r="EE302" s="274"/>
      <c r="EG302" s="19">
        <f>SUM(EG303)</f>
        <v>0</v>
      </c>
      <c r="EH302" s="19"/>
      <c r="EI302" s="19"/>
      <c r="EJ302" s="274"/>
      <c r="EL302" s="19">
        <f>SUM(EL303:EL303)</f>
        <v>0</v>
      </c>
      <c r="EM302" s="19"/>
      <c r="EN302" s="19"/>
      <c r="EO302" s="244"/>
      <c r="ER302" s="451"/>
      <c r="ES302" s="451"/>
    </row>
    <row r="303" spans="4:149" x14ac:dyDescent="0.2">
      <c r="D303" s="244" t="s">
        <v>344</v>
      </c>
      <c r="F303" s="91"/>
      <c r="G303" s="81">
        <v>0</v>
      </c>
      <c r="H303" s="49"/>
      <c r="I303" s="19"/>
      <c r="J303" s="274"/>
      <c r="K303" s="91"/>
      <c r="L303" s="81">
        <v>0</v>
      </c>
      <c r="M303" s="49"/>
      <c r="N303" s="19"/>
      <c r="O303" s="274"/>
      <c r="P303" s="91"/>
      <c r="Q303" s="81">
        <v>0</v>
      </c>
      <c r="R303" s="49"/>
      <c r="S303" s="19"/>
      <c r="T303" s="274"/>
      <c r="U303" s="91"/>
      <c r="V303" s="81">
        <v>0</v>
      </c>
      <c r="W303" s="49"/>
      <c r="X303" s="19"/>
      <c r="Y303" s="274"/>
      <c r="Z303" s="91"/>
      <c r="AA303" s="81">
        <v>0</v>
      </c>
      <c r="AB303" s="49"/>
      <c r="AC303" s="19"/>
      <c r="AD303" s="274"/>
      <c r="AE303" s="91"/>
      <c r="AF303" s="81">
        <v>0</v>
      </c>
      <c r="AG303" s="49"/>
      <c r="AH303" s="19"/>
      <c r="AI303" s="274"/>
      <c r="AJ303" s="91"/>
      <c r="AK303" s="81">
        <v>0</v>
      </c>
      <c r="AL303" s="49"/>
      <c r="AM303" s="19"/>
      <c r="AN303" s="274"/>
      <c r="AO303" s="91"/>
      <c r="AP303" s="81">
        <v>0</v>
      </c>
      <c r="AQ303" s="49"/>
      <c r="AR303" s="19"/>
      <c r="AS303" s="274"/>
      <c r="AT303" s="91"/>
      <c r="AU303" s="81">
        <v>0</v>
      </c>
      <c r="AV303" s="49"/>
      <c r="AW303" s="19"/>
      <c r="AX303" s="274"/>
      <c r="AY303" s="91"/>
      <c r="AZ303" s="81">
        <v>0</v>
      </c>
      <c r="BA303" s="49"/>
      <c r="BB303" s="19"/>
      <c r="BC303" s="274"/>
      <c r="BD303" s="91"/>
      <c r="BE303" s="81">
        <v>0</v>
      </c>
      <c r="BF303" s="49"/>
      <c r="BG303" s="19"/>
      <c r="BH303" s="274"/>
      <c r="BI303" s="91"/>
      <c r="BJ303" s="81">
        <v>0</v>
      </c>
      <c r="BK303" s="49"/>
      <c r="BL303" s="19"/>
      <c r="BM303" s="274"/>
      <c r="BN303" s="91"/>
      <c r="BO303" s="81">
        <v>1018643</v>
      </c>
      <c r="BP303" s="49"/>
      <c r="BQ303" s="19"/>
      <c r="BR303" s="274"/>
      <c r="BS303" s="91"/>
      <c r="BT303" s="81">
        <f>SUM(L303:BO303)</f>
        <v>1018643</v>
      </c>
      <c r="BU303" s="49"/>
      <c r="BV303" s="19"/>
      <c r="BW303" s="274"/>
      <c r="BX303" s="91"/>
      <c r="BY303" s="81">
        <v>0</v>
      </c>
      <c r="BZ303" s="49"/>
      <c r="CA303" s="19"/>
      <c r="CB303" s="274"/>
      <c r="CC303" s="91"/>
      <c r="CD303" s="81">
        <v>0</v>
      </c>
      <c r="CE303" s="49"/>
      <c r="CF303" s="19"/>
      <c r="CG303" s="274"/>
      <c r="CH303" s="91"/>
      <c r="CI303" s="81">
        <v>0</v>
      </c>
      <c r="CJ303" s="49"/>
      <c r="CK303" s="19"/>
      <c r="CL303" s="274"/>
      <c r="CM303" s="91"/>
      <c r="CN303" s="81">
        <v>0</v>
      </c>
      <c r="CO303" s="49"/>
      <c r="CP303" s="19"/>
      <c r="CQ303" s="274"/>
      <c r="CR303" s="91"/>
      <c r="CS303" s="81">
        <v>0</v>
      </c>
      <c r="CT303" s="49"/>
      <c r="CU303" s="19"/>
      <c r="CV303" s="274"/>
      <c r="CW303" s="91"/>
      <c r="CX303" s="81">
        <v>0</v>
      </c>
      <c r="CY303" s="49"/>
      <c r="CZ303" s="19"/>
      <c r="DA303" s="274"/>
      <c r="DB303" s="91"/>
      <c r="DC303" s="81">
        <v>0</v>
      </c>
      <c r="DD303" s="49"/>
      <c r="DE303" s="19"/>
      <c r="DF303" s="274"/>
      <c r="DG303" s="91"/>
      <c r="DH303" s="81">
        <v>0</v>
      </c>
      <c r="DI303" s="49"/>
      <c r="DJ303" s="19"/>
      <c r="DK303" s="274"/>
      <c r="DL303" s="91"/>
      <c r="DM303" s="81">
        <v>0</v>
      </c>
      <c r="DN303" s="49"/>
      <c r="DO303" s="19"/>
      <c r="DP303" s="274"/>
      <c r="DQ303" s="91"/>
      <c r="DR303" s="81">
        <v>0</v>
      </c>
      <c r="DS303" s="49"/>
      <c r="DT303" s="19"/>
      <c r="DU303" s="274"/>
      <c r="DV303" s="91"/>
      <c r="DW303" s="81">
        <v>0</v>
      </c>
      <c r="DX303" s="49"/>
      <c r="DY303" s="19"/>
      <c r="DZ303" s="274"/>
      <c r="EA303" s="91"/>
      <c r="EB303" s="81">
        <v>0</v>
      </c>
      <c r="EC303" s="49"/>
      <c r="ED303" s="19"/>
      <c r="EE303" s="274"/>
      <c r="EF303" s="91"/>
      <c r="EG303" s="81">
        <v>0</v>
      </c>
      <c r="EH303" s="49"/>
      <c r="EI303" s="19"/>
      <c r="EJ303" s="274"/>
      <c r="EK303" s="91"/>
      <c r="EL303" s="81">
        <f>SUM(CD303:EG303)</f>
        <v>0</v>
      </c>
      <c r="EM303" s="49"/>
      <c r="EN303" s="19"/>
      <c r="EO303" s="244"/>
      <c r="ER303" s="451"/>
      <c r="ES303" s="451"/>
    </row>
    <row r="304" spans="4:149" hidden="1" x14ac:dyDescent="0.2">
      <c r="D304" s="244"/>
      <c r="G304" s="19"/>
      <c r="H304" s="19"/>
      <c r="I304" s="19"/>
      <c r="J304" s="274"/>
      <c r="K304" s="19"/>
      <c r="L304" s="19"/>
      <c r="M304" s="19"/>
      <c r="N304" s="19"/>
      <c r="O304" s="274"/>
      <c r="P304" s="19"/>
      <c r="Q304" s="19"/>
      <c r="R304" s="19"/>
      <c r="S304" s="19"/>
      <c r="T304" s="274"/>
      <c r="U304" s="19"/>
      <c r="V304" s="19"/>
      <c r="W304" s="19"/>
      <c r="X304" s="19"/>
      <c r="Y304" s="274"/>
      <c r="Z304" s="19"/>
      <c r="AA304" s="19"/>
      <c r="AB304" s="19"/>
      <c r="AC304" s="19"/>
      <c r="AD304" s="274"/>
      <c r="AE304" s="19"/>
      <c r="AF304" s="19"/>
      <c r="AG304" s="19"/>
      <c r="AH304" s="19"/>
      <c r="AI304" s="274"/>
      <c r="AJ304" s="19"/>
      <c r="AK304" s="19"/>
      <c r="AL304" s="19"/>
      <c r="AM304" s="19"/>
      <c r="AN304" s="274"/>
      <c r="AO304" s="19"/>
      <c r="AP304" s="19"/>
      <c r="AQ304" s="19"/>
      <c r="AR304" s="19"/>
      <c r="AS304" s="274"/>
      <c r="AT304" s="19"/>
      <c r="AU304" s="19"/>
      <c r="AV304" s="19"/>
      <c r="AW304" s="19"/>
      <c r="AX304" s="274"/>
      <c r="AY304" s="19"/>
      <c r="AZ304" s="19"/>
      <c r="BA304" s="19"/>
      <c r="BB304" s="19"/>
      <c r="BC304" s="274"/>
      <c r="BD304" s="19"/>
      <c r="BE304" s="19"/>
      <c r="BF304" s="19"/>
      <c r="BG304" s="19"/>
      <c r="BH304" s="274"/>
      <c r="BI304" s="19"/>
      <c r="BJ304" s="19"/>
      <c r="BK304" s="19"/>
      <c r="BL304" s="19"/>
      <c r="BM304" s="274"/>
      <c r="BN304" s="19"/>
      <c r="BO304" s="19"/>
      <c r="BP304" s="19"/>
      <c r="BQ304" s="19"/>
      <c r="BR304" s="274"/>
      <c r="BS304" s="19"/>
      <c r="BT304" s="19"/>
      <c r="BU304" s="19"/>
      <c r="BV304" s="19"/>
      <c r="BW304" s="274"/>
      <c r="BX304" s="19"/>
      <c r="BY304" s="19"/>
      <c r="BZ304" s="19"/>
      <c r="CA304" s="19"/>
      <c r="CB304" s="274"/>
      <c r="CC304" s="19"/>
      <c r="CD304" s="19"/>
      <c r="CE304" s="19"/>
      <c r="CF304" s="19"/>
      <c r="CG304" s="274"/>
      <c r="CH304" s="19"/>
      <c r="CI304" s="19"/>
      <c r="CJ304" s="19"/>
      <c r="CK304" s="19"/>
      <c r="CL304" s="274"/>
      <c r="CM304" s="19"/>
      <c r="CN304" s="19"/>
      <c r="CO304" s="19"/>
      <c r="CP304" s="19"/>
      <c r="CQ304" s="274"/>
      <c r="CR304" s="19"/>
      <c r="CS304" s="19"/>
      <c r="CT304" s="19"/>
      <c r="CU304" s="19"/>
      <c r="CV304" s="274"/>
      <c r="CW304" s="19"/>
      <c r="CX304" s="19"/>
      <c r="CY304" s="19"/>
      <c r="CZ304" s="19"/>
      <c r="DA304" s="274"/>
      <c r="DB304" s="19"/>
      <c r="DC304" s="19"/>
      <c r="DD304" s="19"/>
      <c r="DE304" s="19"/>
      <c r="DF304" s="274"/>
      <c r="DG304" s="19"/>
      <c r="DH304" s="19"/>
      <c r="DI304" s="19"/>
      <c r="DJ304" s="19"/>
      <c r="DK304" s="274"/>
      <c r="DL304" s="19"/>
      <c r="DM304" s="19"/>
      <c r="DN304" s="19"/>
      <c r="DO304" s="19"/>
      <c r="DP304" s="274"/>
      <c r="DQ304" s="19"/>
      <c r="DR304" s="19"/>
      <c r="DS304" s="19"/>
      <c r="DT304" s="19"/>
      <c r="DU304" s="274"/>
      <c r="DV304" s="19"/>
      <c r="DW304" s="19"/>
      <c r="DX304" s="19"/>
      <c r="DY304" s="19"/>
      <c r="DZ304" s="274"/>
      <c r="EA304" s="19"/>
      <c r="EB304" s="19"/>
      <c r="EC304" s="19"/>
      <c r="ED304" s="19"/>
      <c r="EE304" s="274"/>
      <c r="EF304" s="19"/>
      <c r="EG304" s="19"/>
      <c r="EH304" s="19"/>
      <c r="EI304" s="19"/>
      <c r="EJ304" s="274"/>
      <c r="EK304" s="19"/>
      <c r="EL304" s="19"/>
      <c r="EM304" s="19"/>
      <c r="EN304" s="19"/>
      <c r="EO304" s="244"/>
      <c r="ER304" s="451"/>
      <c r="ES304" s="451"/>
    </row>
    <row r="305" spans="4:149" ht="12.75" hidden="1" customHeight="1" x14ac:dyDescent="0.2">
      <c r="D305" s="244" t="s">
        <v>407</v>
      </c>
      <c r="G305" s="19">
        <f>SUM(G306:G306)</f>
        <v>0</v>
      </c>
      <c r="H305" s="19"/>
      <c r="I305" s="19"/>
      <c r="J305" s="274"/>
      <c r="K305" s="19"/>
      <c r="L305" s="19">
        <f>SUM(L306:L306)</f>
        <v>0</v>
      </c>
      <c r="M305" s="19"/>
      <c r="N305" s="19"/>
      <c r="O305" s="274"/>
      <c r="P305" s="19"/>
      <c r="Q305" s="19">
        <f>SUM(Q306:Q306)</f>
        <v>0</v>
      </c>
      <c r="R305" s="19"/>
      <c r="S305" s="19"/>
      <c r="T305" s="274"/>
      <c r="U305" s="19"/>
      <c r="V305" s="19">
        <f>SUM(V306:V306)</f>
        <v>0</v>
      </c>
      <c r="W305" s="19"/>
      <c r="X305" s="19"/>
      <c r="Y305" s="274"/>
      <c r="Z305" s="19"/>
      <c r="AA305" s="19">
        <f>SUM(AA306:AA306)</f>
        <v>0</v>
      </c>
      <c r="AB305" s="19"/>
      <c r="AC305" s="19"/>
      <c r="AD305" s="274"/>
      <c r="AE305" s="19"/>
      <c r="AF305" s="19">
        <f>SUM(AF306:AF306)</f>
        <v>0</v>
      </c>
      <c r="AG305" s="19"/>
      <c r="AH305" s="19"/>
      <c r="AI305" s="274"/>
      <c r="AJ305" s="19"/>
      <c r="AK305" s="19">
        <f>SUM(AK306:AK306)</f>
        <v>0</v>
      </c>
      <c r="AL305" s="19"/>
      <c r="AM305" s="19"/>
      <c r="AN305" s="274"/>
      <c r="AO305" s="19"/>
      <c r="AP305" s="19">
        <f>SUM(AP306:AP306)</f>
        <v>0</v>
      </c>
      <c r="AQ305" s="19"/>
      <c r="AR305" s="19"/>
      <c r="AS305" s="274"/>
      <c r="AT305" s="19"/>
      <c r="AU305" s="19">
        <f>SUM(AU306:AU306)</f>
        <v>0</v>
      </c>
      <c r="AV305" s="19"/>
      <c r="AW305" s="19"/>
      <c r="AX305" s="274"/>
      <c r="AY305" s="19"/>
      <c r="AZ305" s="19">
        <f>SUM(AZ306:AZ306)</f>
        <v>0</v>
      </c>
      <c r="BA305" s="19"/>
      <c r="BB305" s="19"/>
      <c r="BC305" s="274"/>
      <c r="BD305" s="19"/>
      <c r="BE305" s="19">
        <f>SUM(BE306:BE306)</f>
        <v>0</v>
      </c>
      <c r="BF305" s="19"/>
      <c r="BG305" s="19"/>
      <c r="BH305" s="274"/>
      <c r="BI305" s="19"/>
      <c r="BJ305" s="19">
        <f>SUM(BJ306:BJ306)</f>
        <v>0</v>
      </c>
      <c r="BK305" s="19"/>
      <c r="BL305" s="19"/>
      <c r="BM305" s="274"/>
      <c r="BN305" s="19"/>
      <c r="BO305" s="19">
        <f>SUM(BO306:BO306)</f>
        <v>0</v>
      </c>
      <c r="BP305" s="19"/>
      <c r="BQ305" s="19"/>
      <c r="BR305" s="274"/>
      <c r="BS305" s="19"/>
      <c r="BT305" s="19">
        <f>SUM(BT306:BT306)</f>
        <v>0</v>
      </c>
      <c r="BU305" s="19"/>
      <c r="BV305" s="19"/>
      <c r="BW305" s="274"/>
      <c r="BX305" s="19"/>
      <c r="BY305" s="19">
        <f>SUM(BY306:BY306)</f>
        <v>0</v>
      </c>
      <c r="BZ305" s="19"/>
      <c r="CA305" s="19"/>
      <c r="CB305" s="274"/>
      <c r="CC305" s="19"/>
      <c r="CD305" s="19">
        <f>SUM(CD306:CD306)</f>
        <v>0</v>
      </c>
      <c r="CE305" s="19"/>
      <c r="CF305" s="19"/>
      <c r="CG305" s="274"/>
      <c r="CH305" s="19"/>
      <c r="CI305" s="19">
        <f>SUM(CI306:CI306)</f>
        <v>0</v>
      </c>
      <c r="CJ305" s="19"/>
      <c r="CK305" s="19"/>
      <c r="CL305" s="274"/>
      <c r="CM305" s="19"/>
      <c r="CN305" s="19">
        <f>SUM(CN306:CN306)</f>
        <v>0</v>
      </c>
      <c r="CO305" s="19"/>
      <c r="CP305" s="19"/>
      <c r="CQ305" s="274"/>
      <c r="CR305" s="19"/>
      <c r="CS305" s="19">
        <f>SUM(CS306:CS306)</f>
        <v>0</v>
      </c>
      <c r="CT305" s="19"/>
      <c r="CU305" s="19"/>
      <c r="CV305" s="274"/>
      <c r="CW305" s="19"/>
      <c r="CX305" s="19">
        <f>SUM(CX306:CX306)</f>
        <v>0</v>
      </c>
      <c r="CY305" s="19"/>
      <c r="CZ305" s="19"/>
      <c r="DA305" s="274"/>
      <c r="DB305" s="19"/>
      <c r="DC305" s="19">
        <f>SUM(DC306:DC306)</f>
        <v>0</v>
      </c>
      <c r="DD305" s="19"/>
      <c r="DE305" s="19"/>
      <c r="DF305" s="274"/>
      <c r="DG305" s="19"/>
      <c r="DH305" s="19">
        <f>SUM(DH306:DH306)</f>
        <v>0</v>
      </c>
      <c r="DI305" s="19"/>
      <c r="DJ305" s="19"/>
      <c r="DK305" s="274"/>
      <c r="DL305" s="19"/>
      <c r="DM305" s="19">
        <f>SUM(DM306:DM306)</f>
        <v>0</v>
      </c>
      <c r="DN305" s="19"/>
      <c r="DO305" s="19"/>
      <c r="DP305" s="274"/>
      <c r="DQ305" s="19"/>
      <c r="DR305" s="19">
        <f>SUM(DR306:DR306)</f>
        <v>0</v>
      </c>
      <c r="DS305" s="19"/>
      <c r="DT305" s="19"/>
      <c r="DU305" s="274"/>
      <c r="DV305" s="19"/>
      <c r="DW305" s="19">
        <f>SUM(DW306:DW306)</f>
        <v>0</v>
      </c>
      <c r="DX305" s="19"/>
      <c r="DY305" s="19"/>
      <c r="DZ305" s="274"/>
      <c r="EA305" s="19"/>
      <c r="EB305" s="19">
        <f>SUM(EB306:EB306)</f>
        <v>0</v>
      </c>
      <c r="EC305" s="19"/>
      <c r="ED305" s="19"/>
      <c r="EE305" s="274"/>
      <c r="EF305" s="19"/>
      <c r="EG305" s="19">
        <f>SUM(EG306:EG306)</f>
        <v>0</v>
      </c>
      <c r="EH305" s="19"/>
      <c r="EI305" s="19"/>
      <c r="EJ305" s="274"/>
      <c r="EK305" s="19"/>
      <c r="EL305" s="19">
        <f>SUM(EL306:EL306)</f>
        <v>0</v>
      </c>
      <c r="EM305" s="19"/>
      <c r="EN305" s="19"/>
      <c r="EO305" s="244"/>
      <c r="ER305" s="451"/>
      <c r="ES305" s="451"/>
    </row>
    <row r="306" spans="4:149" ht="12.75" hidden="1" customHeight="1" x14ac:dyDescent="0.2">
      <c r="D306" s="244" t="s">
        <v>344</v>
      </c>
      <c r="F306" s="91"/>
      <c r="G306" s="81">
        <v>0</v>
      </c>
      <c r="H306" s="49"/>
      <c r="I306" s="19"/>
      <c r="J306" s="274"/>
      <c r="K306" s="48"/>
      <c r="L306" s="81">
        <v>0</v>
      </c>
      <c r="M306" s="49"/>
      <c r="N306" s="19"/>
      <c r="O306" s="274"/>
      <c r="P306" s="48"/>
      <c r="Q306" s="81">
        <v>0</v>
      </c>
      <c r="R306" s="49"/>
      <c r="S306" s="19"/>
      <c r="T306" s="274"/>
      <c r="U306" s="48"/>
      <c r="V306" s="81">
        <v>0</v>
      </c>
      <c r="W306" s="49"/>
      <c r="X306" s="19"/>
      <c r="Y306" s="274"/>
      <c r="Z306" s="48"/>
      <c r="AA306" s="81">
        <v>0</v>
      </c>
      <c r="AB306" s="49"/>
      <c r="AC306" s="19"/>
      <c r="AD306" s="274"/>
      <c r="AE306" s="48"/>
      <c r="AF306" s="81">
        <v>0</v>
      </c>
      <c r="AG306" s="49"/>
      <c r="AH306" s="19"/>
      <c r="AI306" s="274"/>
      <c r="AJ306" s="48"/>
      <c r="AK306" s="81">
        <v>0</v>
      </c>
      <c r="AL306" s="49"/>
      <c r="AM306" s="19"/>
      <c r="AN306" s="274"/>
      <c r="AO306" s="48"/>
      <c r="AP306" s="81">
        <v>0</v>
      </c>
      <c r="AQ306" s="49"/>
      <c r="AR306" s="19"/>
      <c r="AS306" s="274"/>
      <c r="AT306" s="48"/>
      <c r="AU306" s="81">
        <v>0</v>
      </c>
      <c r="AV306" s="49"/>
      <c r="AW306" s="19"/>
      <c r="AX306" s="274"/>
      <c r="AY306" s="48"/>
      <c r="AZ306" s="81">
        <v>0</v>
      </c>
      <c r="BA306" s="49"/>
      <c r="BB306" s="19"/>
      <c r="BC306" s="274"/>
      <c r="BD306" s="48"/>
      <c r="BE306" s="81">
        <v>0</v>
      </c>
      <c r="BF306" s="49"/>
      <c r="BG306" s="19"/>
      <c r="BH306" s="274"/>
      <c r="BI306" s="48"/>
      <c r="BJ306" s="81">
        <v>0</v>
      </c>
      <c r="BK306" s="49"/>
      <c r="BL306" s="19"/>
      <c r="BM306" s="274"/>
      <c r="BN306" s="48"/>
      <c r="BO306" s="81">
        <v>0</v>
      </c>
      <c r="BP306" s="49"/>
      <c r="BQ306" s="19"/>
      <c r="BR306" s="274"/>
      <c r="BS306" s="48"/>
      <c r="BT306" s="81">
        <f>SUM(L306:BO306)</f>
        <v>0</v>
      </c>
      <c r="BU306" s="49"/>
      <c r="BV306" s="19"/>
      <c r="BW306" s="274"/>
      <c r="BX306" s="48"/>
      <c r="BY306" s="81">
        <v>0</v>
      </c>
      <c r="BZ306" s="49"/>
      <c r="CA306" s="19"/>
      <c r="CB306" s="274"/>
      <c r="CC306" s="48"/>
      <c r="CD306" s="81">
        <v>0</v>
      </c>
      <c r="CE306" s="49"/>
      <c r="CF306" s="19"/>
      <c r="CG306" s="274"/>
      <c r="CH306" s="48"/>
      <c r="CI306" s="81">
        <v>0</v>
      </c>
      <c r="CJ306" s="49"/>
      <c r="CK306" s="19"/>
      <c r="CL306" s="274"/>
      <c r="CM306" s="48"/>
      <c r="CN306" s="81">
        <v>0</v>
      </c>
      <c r="CO306" s="49"/>
      <c r="CP306" s="19"/>
      <c r="CQ306" s="274"/>
      <c r="CR306" s="48"/>
      <c r="CS306" s="81">
        <v>0</v>
      </c>
      <c r="CT306" s="49"/>
      <c r="CU306" s="19"/>
      <c r="CV306" s="274"/>
      <c r="CW306" s="48"/>
      <c r="CX306" s="81">
        <v>0</v>
      </c>
      <c r="CY306" s="49"/>
      <c r="CZ306" s="19"/>
      <c r="DA306" s="274"/>
      <c r="DB306" s="48"/>
      <c r="DC306" s="81">
        <v>0</v>
      </c>
      <c r="DD306" s="49"/>
      <c r="DE306" s="19"/>
      <c r="DF306" s="274"/>
      <c r="DG306" s="48"/>
      <c r="DH306" s="81">
        <v>0</v>
      </c>
      <c r="DI306" s="49"/>
      <c r="DJ306" s="19"/>
      <c r="DK306" s="274"/>
      <c r="DL306" s="48"/>
      <c r="DM306" s="81">
        <v>0</v>
      </c>
      <c r="DN306" s="49"/>
      <c r="DO306" s="19"/>
      <c r="DP306" s="274"/>
      <c r="DQ306" s="48"/>
      <c r="DR306" s="81">
        <v>0</v>
      </c>
      <c r="DS306" s="49"/>
      <c r="DT306" s="19"/>
      <c r="DU306" s="274"/>
      <c r="DV306" s="48"/>
      <c r="DW306" s="81">
        <v>0</v>
      </c>
      <c r="DX306" s="49"/>
      <c r="DY306" s="19"/>
      <c r="DZ306" s="274"/>
      <c r="EA306" s="48"/>
      <c r="EB306" s="81">
        <v>0</v>
      </c>
      <c r="EC306" s="49"/>
      <c r="ED306" s="19"/>
      <c r="EE306" s="274"/>
      <c r="EF306" s="48"/>
      <c r="EG306" s="81">
        <v>0</v>
      </c>
      <c r="EH306" s="49"/>
      <c r="EI306" s="19"/>
      <c r="EJ306" s="274"/>
      <c r="EK306" s="91"/>
      <c r="EL306" s="81">
        <f>SUM(CD306:EG306)</f>
        <v>0</v>
      </c>
      <c r="EM306" s="49"/>
      <c r="EN306" s="19"/>
      <c r="EO306" s="244"/>
      <c r="ER306" s="451"/>
      <c r="ES306" s="451"/>
    </row>
    <row r="307" spans="4:149" ht="12.75" hidden="1" customHeight="1" x14ac:dyDescent="0.2">
      <c r="D307" s="244"/>
      <c r="G307" s="19"/>
      <c r="H307" s="19"/>
      <c r="I307" s="19"/>
      <c r="J307" s="274"/>
      <c r="K307" s="19"/>
      <c r="L307" s="19"/>
      <c r="M307" s="19"/>
      <c r="N307" s="19"/>
      <c r="O307" s="274"/>
      <c r="P307" s="19"/>
      <c r="Q307" s="19"/>
      <c r="R307" s="19"/>
      <c r="S307" s="19"/>
      <c r="T307" s="274"/>
      <c r="U307" s="19"/>
      <c r="V307" s="19"/>
      <c r="W307" s="19"/>
      <c r="X307" s="19"/>
      <c r="Y307" s="274"/>
      <c r="Z307" s="19"/>
      <c r="AA307" s="19"/>
      <c r="AB307" s="19"/>
      <c r="AC307" s="19"/>
      <c r="AD307" s="274"/>
      <c r="AE307" s="19"/>
      <c r="AF307" s="19"/>
      <c r="AG307" s="19"/>
      <c r="AH307" s="19"/>
      <c r="AI307" s="274"/>
      <c r="AJ307" s="19"/>
      <c r="AK307" s="19"/>
      <c r="AL307" s="19"/>
      <c r="AM307" s="19"/>
      <c r="AN307" s="274"/>
      <c r="AO307" s="19"/>
      <c r="AP307" s="19"/>
      <c r="AQ307" s="19"/>
      <c r="AR307" s="19"/>
      <c r="AS307" s="274"/>
      <c r="AT307" s="19"/>
      <c r="AU307" s="19"/>
      <c r="AV307" s="19"/>
      <c r="AW307" s="19"/>
      <c r="AX307" s="274"/>
      <c r="AY307" s="19"/>
      <c r="AZ307" s="19"/>
      <c r="BA307" s="19"/>
      <c r="BB307" s="19"/>
      <c r="BC307" s="274"/>
      <c r="BD307" s="19"/>
      <c r="BE307" s="19"/>
      <c r="BF307" s="19"/>
      <c r="BG307" s="19"/>
      <c r="BH307" s="274"/>
      <c r="BI307" s="19"/>
      <c r="BJ307" s="19"/>
      <c r="BK307" s="19"/>
      <c r="BL307" s="19"/>
      <c r="BM307" s="274"/>
      <c r="BN307" s="19"/>
      <c r="BO307" s="19"/>
      <c r="BP307" s="19"/>
      <c r="BQ307" s="19"/>
      <c r="BR307" s="274"/>
      <c r="BS307" s="19"/>
      <c r="BT307" s="19"/>
      <c r="BU307" s="19"/>
      <c r="BV307" s="19"/>
      <c r="BW307" s="274"/>
      <c r="BX307" s="19"/>
      <c r="BY307" s="19"/>
      <c r="BZ307" s="19"/>
      <c r="CA307" s="19"/>
      <c r="CB307" s="274"/>
      <c r="CC307" s="19"/>
      <c r="CD307" s="19"/>
      <c r="CE307" s="19"/>
      <c r="CF307" s="19"/>
      <c r="CG307" s="274"/>
      <c r="CH307" s="19"/>
      <c r="CI307" s="19"/>
      <c r="CJ307" s="19"/>
      <c r="CK307" s="19"/>
      <c r="CL307" s="274"/>
      <c r="CM307" s="19"/>
      <c r="CN307" s="19"/>
      <c r="CO307" s="19"/>
      <c r="CP307" s="19"/>
      <c r="CQ307" s="274"/>
      <c r="CR307" s="19"/>
      <c r="CS307" s="19"/>
      <c r="CT307" s="19"/>
      <c r="CU307" s="19"/>
      <c r="CV307" s="274"/>
      <c r="CW307" s="19"/>
      <c r="CX307" s="19"/>
      <c r="CY307" s="19"/>
      <c r="CZ307" s="19"/>
      <c r="DA307" s="274"/>
      <c r="DB307" s="19"/>
      <c r="DC307" s="19"/>
      <c r="DD307" s="19"/>
      <c r="DE307" s="19"/>
      <c r="DF307" s="274"/>
      <c r="DG307" s="19"/>
      <c r="DH307" s="19"/>
      <c r="DI307" s="19"/>
      <c r="DJ307" s="19"/>
      <c r="DK307" s="274"/>
      <c r="DL307" s="19"/>
      <c r="DM307" s="19"/>
      <c r="DN307" s="19"/>
      <c r="DO307" s="19"/>
      <c r="DP307" s="274"/>
      <c r="DQ307" s="19"/>
      <c r="DR307" s="19"/>
      <c r="DS307" s="19"/>
      <c r="DT307" s="19"/>
      <c r="DU307" s="274"/>
      <c r="DV307" s="19"/>
      <c r="DW307" s="19"/>
      <c r="DX307" s="19"/>
      <c r="DY307" s="19"/>
      <c r="DZ307" s="274"/>
      <c r="EA307" s="19"/>
      <c r="EB307" s="19"/>
      <c r="EC307" s="19"/>
      <c r="ED307" s="19"/>
      <c r="EE307" s="274"/>
      <c r="EF307" s="19"/>
      <c r="EG307" s="19"/>
      <c r="EH307" s="19"/>
      <c r="EI307" s="19"/>
      <c r="EJ307" s="274"/>
      <c r="EK307" s="19"/>
      <c r="EL307" s="19"/>
      <c r="EM307" s="19"/>
      <c r="EN307" s="19"/>
      <c r="EO307" s="244"/>
      <c r="ER307" s="451"/>
      <c r="ES307" s="451"/>
    </row>
    <row r="308" spans="4:149" s="451" customFormat="1" ht="12.75" hidden="1" customHeight="1" x14ac:dyDescent="0.2">
      <c r="D308" s="393" t="s">
        <v>338</v>
      </c>
      <c r="E308" s="329"/>
      <c r="F308" s="340"/>
      <c r="G308" s="19">
        <f>SUM(G309)</f>
        <v>0</v>
      </c>
      <c r="H308" s="19"/>
      <c r="I308" s="19"/>
      <c r="J308" s="274"/>
      <c r="K308" s="19"/>
      <c r="L308" s="19">
        <f>SUM(L309:L309)</f>
        <v>0</v>
      </c>
      <c r="M308" s="19"/>
      <c r="N308" s="19"/>
      <c r="O308" s="274"/>
      <c r="P308" s="19"/>
      <c r="Q308" s="19">
        <f>SUM(Q309:Q309)</f>
        <v>0</v>
      </c>
      <c r="R308" s="19"/>
      <c r="S308" s="19"/>
      <c r="T308" s="274"/>
      <c r="U308" s="19"/>
      <c r="V308" s="19">
        <f>SUM(V309:V309)</f>
        <v>0</v>
      </c>
      <c r="W308" s="19"/>
      <c r="X308" s="19"/>
      <c r="Y308" s="274"/>
      <c r="Z308" s="19"/>
      <c r="AA308" s="19">
        <f>SUM(AA309:AA309)</f>
        <v>0</v>
      </c>
      <c r="AB308" s="19"/>
      <c r="AC308" s="19"/>
      <c r="AD308" s="274"/>
      <c r="AE308" s="19"/>
      <c r="AF308" s="19">
        <f>SUM(AF309:AF309)</f>
        <v>0</v>
      </c>
      <c r="AG308" s="19"/>
      <c r="AH308" s="19"/>
      <c r="AI308" s="274"/>
      <c r="AJ308" s="19"/>
      <c r="AK308" s="19">
        <f>SUM(AK309:AK309)</f>
        <v>0</v>
      </c>
      <c r="AL308" s="19"/>
      <c r="AM308" s="19"/>
      <c r="AN308" s="274"/>
      <c r="AO308" s="19"/>
      <c r="AP308" s="19">
        <f>SUM(AP309:AP309)</f>
        <v>0</v>
      </c>
      <c r="AQ308" s="19"/>
      <c r="AR308" s="19"/>
      <c r="AS308" s="274"/>
      <c r="AT308" s="19"/>
      <c r="AU308" s="19">
        <f>SUM(AU309:AU309)</f>
        <v>0</v>
      </c>
      <c r="AV308" s="19"/>
      <c r="AW308" s="19"/>
      <c r="AX308" s="274"/>
      <c r="AY308" s="19"/>
      <c r="AZ308" s="19">
        <f>SUM(AZ309:AZ309)</f>
        <v>0</v>
      </c>
      <c r="BA308" s="19"/>
      <c r="BB308" s="19"/>
      <c r="BC308" s="274"/>
      <c r="BD308" s="19"/>
      <c r="BE308" s="19">
        <f>SUM(BE309:BE309)</f>
        <v>0</v>
      </c>
      <c r="BF308" s="19"/>
      <c r="BG308" s="19"/>
      <c r="BH308" s="274"/>
      <c r="BI308" s="19"/>
      <c r="BJ308" s="19">
        <f>SUM(BJ309:BJ309)</f>
        <v>0</v>
      </c>
      <c r="BK308" s="19"/>
      <c r="BL308" s="19"/>
      <c r="BM308" s="274"/>
      <c r="BN308" s="19"/>
      <c r="BO308" s="19">
        <f>SUM(BO309:BO309)</f>
        <v>0</v>
      </c>
      <c r="BP308" s="19"/>
      <c r="BQ308" s="19"/>
      <c r="BR308" s="274"/>
      <c r="BS308" s="19"/>
      <c r="BT308" s="19">
        <f>SUM(BT309:BT309)</f>
        <v>0</v>
      </c>
      <c r="BU308" s="19"/>
      <c r="BV308" s="19"/>
      <c r="BW308" s="274"/>
      <c r="BX308" s="19"/>
      <c r="BY308" s="19">
        <f>SUM(BY309:BY309)</f>
        <v>0</v>
      </c>
      <c r="BZ308" s="19"/>
      <c r="CA308" s="19"/>
      <c r="CB308" s="274"/>
      <c r="CC308" s="19"/>
      <c r="CD308" s="19">
        <f>SUM(CD309:CD309)</f>
        <v>0</v>
      </c>
      <c r="CE308" s="19"/>
      <c r="CF308" s="19"/>
      <c r="CG308" s="274"/>
      <c r="CH308" s="19"/>
      <c r="CI308" s="19">
        <f>SUM(CI309:CI309)</f>
        <v>0</v>
      </c>
      <c r="CJ308" s="19"/>
      <c r="CK308" s="19"/>
      <c r="CL308" s="274"/>
      <c r="CM308" s="19"/>
      <c r="CN308" s="19">
        <f>SUM(CN309:CN309)</f>
        <v>0</v>
      </c>
      <c r="CO308" s="19"/>
      <c r="CP308" s="19"/>
      <c r="CQ308" s="274"/>
      <c r="CR308" s="19"/>
      <c r="CS308" s="19">
        <f>SUM(CS309:CS309)</f>
        <v>0</v>
      </c>
      <c r="CT308" s="19"/>
      <c r="CU308" s="19"/>
      <c r="CV308" s="274"/>
      <c r="CW308" s="19"/>
      <c r="CX308" s="19">
        <f>SUM(CX309:CX309)</f>
        <v>0</v>
      </c>
      <c r="CY308" s="19"/>
      <c r="CZ308" s="19"/>
      <c r="DA308" s="274"/>
      <c r="DB308" s="19"/>
      <c r="DC308" s="19">
        <f>SUM(DC309:DC309)</f>
        <v>0</v>
      </c>
      <c r="DD308" s="19"/>
      <c r="DE308" s="19"/>
      <c r="DF308" s="274"/>
      <c r="DG308" s="19"/>
      <c r="DH308" s="19">
        <f>SUM(DH309:DH309)</f>
        <v>0</v>
      </c>
      <c r="DI308" s="19"/>
      <c r="DJ308" s="19"/>
      <c r="DK308" s="274"/>
      <c r="DL308" s="19"/>
      <c r="DM308" s="19">
        <f>SUM(DM309:DM309)</f>
        <v>0</v>
      </c>
      <c r="DN308" s="19"/>
      <c r="DO308" s="19"/>
      <c r="DP308" s="274"/>
      <c r="DQ308" s="19"/>
      <c r="DR308" s="19">
        <f>SUM(DR309:DR309)</f>
        <v>0</v>
      </c>
      <c r="DS308" s="19"/>
      <c r="DT308" s="19"/>
      <c r="DU308" s="274"/>
      <c r="DV308" s="19"/>
      <c r="DW308" s="19">
        <f>SUM(DW309:DW309)</f>
        <v>0</v>
      </c>
      <c r="DX308" s="19"/>
      <c r="DY308" s="19"/>
      <c r="DZ308" s="274"/>
      <c r="EA308" s="19"/>
      <c r="EB308" s="19">
        <f>SUM(EB309:EB309)</f>
        <v>0</v>
      </c>
      <c r="EC308" s="19"/>
      <c r="ED308" s="19"/>
      <c r="EE308" s="274"/>
      <c r="EF308" s="19"/>
      <c r="EG308" s="19">
        <f>SUM(EG309:EG309)</f>
        <v>0</v>
      </c>
      <c r="EH308" s="19"/>
      <c r="EI308" s="19"/>
      <c r="EJ308" s="274"/>
      <c r="EK308" s="19"/>
      <c r="EL308" s="19">
        <f>SUM(EL309:EL309)</f>
        <v>0</v>
      </c>
      <c r="EM308" s="19"/>
      <c r="EN308" s="14"/>
      <c r="EO308" s="484"/>
      <c r="EQ308" s="12"/>
    </row>
    <row r="309" spans="4:149" ht="12.75" hidden="1" customHeight="1" x14ac:dyDescent="0.2">
      <c r="D309" s="244" t="s">
        <v>344</v>
      </c>
      <c r="E309" s="202"/>
      <c r="F309" s="431"/>
      <c r="G309" s="81">
        <v>0</v>
      </c>
      <c r="H309" s="49"/>
      <c r="I309" s="19"/>
      <c r="J309" s="274"/>
      <c r="K309" s="48"/>
      <c r="L309" s="81">
        <f>L313</f>
        <v>0</v>
      </c>
      <c r="M309" s="49"/>
      <c r="N309" s="19"/>
      <c r="O309" s="274"/>
      <c r="P309" s="48"/>
      <c r="Q309" s="81">
        <f>Q313</f>
        <v>0</v>
      </c>
      <c r="R309" s="49"/>
      <c r="S309" s="19"/>
      <c r="T309" s="274"/>
      <c r="U309" s="48"/>
      <c r="V309" s="81">
        <f>V313</f>
        <v>0</v>
      </c>
      <c r="W309" s="49"/>
      <c r="X309" s="19"/>
      <c r="Y309" s="274"/>
      <c r="Z309" s="48"/>
      <c r="AA309" s="81">
        <f>AA313</f>
        <v>0</v>
      </c>
      <c r="AB309" s="49"/>
      <c r="AC309" s="19"/>
      <c r="AD309" s="274"/>
      <c r="AE309" s="48"/>
      <c r="AF309" s="81">
        <v>0</v>
      </c>
      <c r="AG309" s="49"/>
      <c r="AH309" s="19"/>
      <c r="AI309" s="274"/>
      <c r="AJ309" s="48"/>
      <c r="AK309" s="81">
        <f>AK313</f>
        <v>0</v>
      </c>
      <c r="AL309" s="49"/>
      <c r="AM309" s="19"/>
      <c r="AN309" s="274"/>
      <c r="AO309" s="48"/>
      <c r="AP309" s="81">
        <f>AP313</f>
        <v>0</v>
      </c>
      <c r="AQ309" s="49"/>
      <c r="AR309" s="19"/>
      <c r="AS309" s="274"/>
      <c r="AT309" s="48"/>
      <c r="AU309" s="81">
        <f>AU313</f>
        <v>0</v>
      </c>
      <c r="AV309" s="49"/>
      <c r="AW309" s="19"/>
      <c r="AX309" s="274"/>
      <c r="AY309" s="48"/>
      <c r="AZ309" s="81">
        <f>AZ313</f>
        <v>0</v>
      </c>
      <c r="BA309" s="49"/>
      <c r="BB309" s="19"/>
      <c r="BC309" s="274"/>
      <c r="BD309" s="48"/>
      <c r="BE309" s="81">
        <f>BE313</f>
        <v>0</v>
      </c>
      <c r="BF309" s="49"/>
      <c r="BG309" s="19"/>
      <c r="BH309" s="274"/>
      <c r="BI309" s="48"/>
      <c r="BJ309" s="81">
        <f>BJ313</f>
        <v>0</v>
      </c>
      <c r="BK309" s="49"/>
      <c r="BL309" s="19"/>
      <c r="BM309" s="274"/>
      <c r="BN309" s="48"/>
      <c r="BO309" s="81">
        <f>BO313</f>
        <v>0</v>
      </c>
      <c r="BP309" s="49"/>
      <c r="BQ309" s="19"/>
      <c r="BR309" s="274"/>
      <c r="BS309" s="48"/>
      <c r="BT309" s="81">
        <f>SUM(L309:BO309)</f>
        <v>0</v>
      </c>
      <c r="BU309" s="49"/>
      <c r="BV309" s="19"/>
      <c r="BW309" s="274"/>
      <c r="BX309" s="48"/>
      <c r="BY309" s="81">
        <v>0</v>
      </c>
      <c r="BZ309" s="49"/>
      <c r="CA309" s="19"/>
      <c r="CB309" s="274"/>
      <c r="CC309" s="48"/>
      <c r="CD309" s="81">
        <f>CD313</f>
        <v>0</v>
      </c>
      <c r="CE309" s="49"/>
      <c r="CF309" s="19"/>
      <c r="CG309" s="274"/>
      <c r="CH309" s="48"/>
      <c r="CI309" s="81">
        <f>CI313</f>
        <v>0</v>
      </c>
      <c r="CJ309" s="49"/>
      <c r="CK309" s="19"/>
      <c r="CL309" s="274"/>
      <c r="CM309" s="48"/>
      <c r="CN309" s="81">
        <f>CN313</f>
        <v>0</v>
      </c>
      <c r="CO309" s="49"/>
      <c r="CP309" s="19"/>
      <c r="CQ309" s="274"/>
      <c r="CR309" s="48"/>
      <c r="CS309" s="81">
        <f>CS313</f>
        <v>0</v>
      </c>
      <c r="CT309" s="49"/>
      <c r="CU309" s="19"/>
      <c r="CV309" s="274"/>
      <c r="CW309" s="48"/>
      <c r="CX309" s="81">
        <v>0</v>
      </c>
      <c r="CY309" s="49"/>
      <c r="CZ309" s="19"/>
      <c r="DA309" s="274"/>
      <c r="DB309" s="48"/>
      <c r="DC309" s="81">
        <f>DC313</f>
        <v>0</v>
      </c>
      <c r="DD309" s="49"/>
      <c r="DE309" s="19"/>
      <c r="DF309" s="274"/>
      <c r="DG309" s="48"/>
      <c r="DH309" s="81">
        <f>DH313</f>
        <v>0</v>
      </c>
      <c r="DI309" s="49"/>
      <c r="DJ309" s="19"/>
      <c r="DK309" s="274"/>
      <c r="DL309" s="48"/>
      <c r="DM309" s="81">
        <f>DM313</f>
        <v>0</v>
      </c>
      <c r="DN309" s="49"/>
      <c r="DO309" s="19"/>
      <c r="DP309" s="274"/>
      <c r="DQ309" s="48"/>
      <c r="DR309" s="81">
        <f>DR313</f>
        <v>0</v>
      </c>
      <c r="DS309" s="49"/>
      <c r="DT309" s="19"/>
      <c r="DU309" s="274"/>
      <c r="DV309" s="48"/>
      <c r="DW309" s="81">
        <f>DW313</f>
        <v>0</v>
      </c>
      <c r="DX309" s="49"/>
      <c r="DY309" s="19"/>
      <c r="DZ309" s="274"/>
      <c r="EA309" s="48"/>
      <c r="EB309" s="81">
        <f>EB313</f>
        <v>0</v>
      </c>
      <c r="EC309" s="49"/>
      <c r="ED309" s="19"/>
      <c r="EE309" s="274"/>
      <c r="EF309" s="48"/>
      <c r="EG309" s="81">
        <f>EG313</f>
        <v>0</v>
      </c>
      <c r="EH309" s="49"/>
      <c r="EI309" s="19"/>
      <c r="EJ309" s="274"/>
      <c r="EK309" s="48"/>
      <c r="EL309" s="81">
        <f>SUM(CD309:EG309)</f>
        <v>0</v>
      </c>
      <c r="EM309" s="49"/>
      <c r="EN309" s="19"/>
      <c r="EO309" s="244"/>
      <c r="ER309" s="451"/>
      <c r="ES309" s="451"/>
    </row>
    <row r="310" spans="4:149" ht="12.75" hidden="1" customHeight="1" x14ac:dyDescent="0.2">
      <c r="D310" s="244"/>
      <c r="G310" s="19"/>
      <c r="H310" s="19"/>
      <c r="I310" s="19"/>
      <c r="J310" s="274"/>
      <c r="K310" s="19"/>
      <c r="O310" s="82"/>
      <c r="T310" s="82"/>
      <c r="Y310" s="82"/>
      <c r="AD310" s="82"/>
      <c r="AI310" s="82"/>
      <c r="AN310" s="82"/>
      <c r="AS310" s="82"/>
      <c r="AX310" s="82"/>
      <c r="BC310" s="82"/>
      <c r="BH310" s="82"/>
      <c r="BM310" s="82"/>
      <c r="BR310" s="82"/>
      <c r="BW310" s="82"/>
      <c r="BZ310" s="19"/>
      <c r="CA310" s="19"/>
      <c r="CB310" s="274"/>
      <c r="CC310" s="19"/>
      <c r="CG310" s="82"/>
      <c r="CL310" s="82"/>
      <c r="CQ310" s="82"/>
      <c r="CV310" s="82"/>
      <c r="DA310" s="82"/>
      <c r="DF310" s="82"/>
      <c r="DK310" s="82"/>
      <c r="DP310" s="82"/>
      <c r="DU310" s="82"/>
      <c r="DZ310" s="82"/>
      <c r="EE310" s="82"/>
      <c r="EJ310" s="82"/>
      <c r="EO310" s="244"/>
      <c r="ER310" s="451"/>
      <c r="ES310" s="451"/>
    </row>
    <row r="311" spans="4:149" ht="12.75" hidden="1" customHeight="1" x14ac:dyDescent="0.2">
      <c r="D311" s="244"/>
      <c r="G311" s="19"/>
      <c r="H311" s="19"/>
      <c r="I311" s="19"/>
      <c r="J311" s="274"/>
      <c r="K311" s="19"/>
      <c r="L311" s="19"/>
      <c r="M311" s="19"/>
      <c r="N311" s="19"/>
      <c r="O311" s="274"/>
      <c r="P311" s="19"/>
      <c r="Q311" s="19"/>
      <c r="R311" s="19"/>
      <c r="S311" s="19"/>
      <c r="T311" s="274"/>
      <c r="U311" s="19"/>
      <c r="V311" s="19"/>
      <c r="W311" s="19"/>
      <c r="X311" s="19"/>
      <c r="Y311" s="274"/>
      <c r="Z311" s="19"/>
      <c r="AA311" s="19"/>
      <c r="AB311" s="19"/>
      <c r="AC311" s="19"/>
      <c r="AD311" s="274"/>
      <c r="AE311" s="19"/>
      <c r="AF311" s="19"/>
      <c r="AG311" s="19"/>
      <c r="AH311" s="19"/>
      <c r="AI311" s="274"/>
      <c r="AJ311" s="19"/>
      <c r="AK311" s="19"/>
      <c r="AL311" s="19"/>
      <c r="AM311" s="19"/>
      <c r="AN311" s="274"/>
      <c r="AO311" s="19"/>
      <c r="AP311" s="19"/>
      <c r="AQ311" s="19"/>
      <c r="AR311" s="19"/>
      <c r="AS311" s="274"/>
      <c r="AT311" s="19"/>
      <c r="AU311" s="19"/>
      <c r="AV311" s="19"/>
      <c r="AW311" s="19"/>
      <c r="AX311" s="274"/>
      <c r="AY311" s="19"/>
      <c r="AZ311" s="19"/>
      <c r="BA311" s="19"/>
      <c r="BB311" s="19"/>
      <c r="BC311" s="274"/>
      <c r="BD311" s="19"/>
      <c r="BE311" s="19"/>
      <c r="BF311" s="19"/>
      <c r="BG311" s="19"/>
      <c r="BH311" s="274"/>
      <c r="BI311" s="19"/>
      <c r="BJ311" s="19"/>
      <c r="BK311" s="19"/>
      <c r="BL311" s="19"/>
      <c r="BM311" s="274"/>
      <c r="BN311" s="19"/>
      <c r="BO311" s="19"/>
      <c r="BP311" s="19"/>
      <c r="BQ311" s="19"/>
      <c r="BR311" s="274"/>
      <c r="BS311" s="19"/>
      <c r="BT311" s="19"/>
      <c r="BU311" s="19"/>
      <c r="BV311" s="19"/>
      <c r="BW311" s="274"/>
      <c r="BX311" s="19"/>
      <c r="BY311" s="19"/>
      <c r="BZ311" s="19"/>
      <c r="CA311" s="19"/>
      <c r="CB311" s="274"/>
      <c r="CC311" s="19"/>
      <c r="CD311" s="19"/>
      <c r="CE311" s="19"/>
      <c r="CF311" s="19"/>
      <c r="CG311" s="274"/>
      <c r="CH311" s="19"/>
      <c r="CI311" s="19"/>
      <c r="CJ311" s="19"/>
      <c r="CK311" s="19"/>
      <c r="CL311" s="274"/>
      <c r="CM311" s="19"/>
      <c r="CN311" s="19"/>
      <c r="CO311" s="19"/>
      <c r="CP311" s="19"/>
      <c r="CQ311" s="274"/>
      <c r="CR311" s="19"/>
      <c r="CS311" s="19"/>
      <c r="CT311" s="19"/>
      <c r="CU311" s="19"/>
      <c r="CV311" s="274"/>
      <c r="CW311" s="19"/>
      <c r="CX311" s="19"/>
      <c r="CY311" s="19"/>
      <c r="CZ311" s="19"/>
      <c r="DA311" s="274"/>
      <c r="DB311" s="19"/>
      <c r="DC311" s="19"/>
      <c r="DD311" s="19"/>
      <c r="DE311" s="19"/>
      <c r="DF311" s="274"/>
      <c r="DG311" s="19"/>
      <c r="DH311" s="19"/>
      <c r="DI311" s="19"/>
      <c r="DJ311" s="19"/>
      <c r="DK311" s="274"/>
      <c r="DL311" s="19"/>
      <c r="DM311" s="19"/>
      <c r="DN311" s="19"/>
      <c r="DO311" s="19"/>
      <c r="DP311" s="274"/>
      <c r="DQ311" s="19"/>
      <c r="DR311" s="19"/>
      <c r="DS311" s="19"/>
      <c r="DT311" s="19"/>
      <c r="DU311" s="274"/>
      <c r="DV311" s="19"/>
      <c r="DW311" s="19"/>
      <c r="DX311" s="19"/>
      <c r="DY311" s="19"/>
      <c r="DZ311" s="274"/>
      <c r="EA311" s="19"/>
      <c r="EB311" s="19"/>
      <c r="EC311" s="19"/>
      <c r="ED311" s="19"/>
      <c r="EE311" s="274"/>
      <c r="EF311" s="19"/>
      <c r="EG311" s="19"/>
      <c r="EH311" s="19"/>
      <c r="EI311" s="19"/>
      <c r="EJ311" s="274"/>
      <c r="EK311" s="19"/>
      <c r="EL311" s="19"/>
      <c r="EM311" s="19"/>
      <c r="EN311" s="19"/>
      <c r="EO311" s="244"/>
      <c r="ER311" s="451"/>
      <c r="ES311" s="451"/>
    </row>
    <row r="312" spans="4:149" ht="12.75" hidden="1" customHeight="1" x14ac:dyDescent="0.2">
      <c r="D312" s="244" t="str">
        <f>[51]domredemp!D86</f>
        <v xml:space="preserve">  I2029 (1.875%  2029/03/31)</v>
      </c>
      <c r="G312" s="19">
        <v>0</v>
      </c>
      <c r="H312" s="19"/>
      <c r="I312" s="19"/>
      <c r="J312" s="274"/>
      <c r="K312" s="19"/>
      <c r="L312" s="19">
        <f>SUM(L313:L313)</f>
        <v>0</v>
      </c>
      <c r="M312" s="19"/>
      <c r="N312" s="19"/>
      <c r="O312" s="274"/>
      <c r="P312" s="19"/>
      <c r="Q312" s="19">
        <f>SUM(Q313:Q313)</f>
        <v>0</v>
      </c>
      <c r="R312" s="19"/>
      <c r="S312" s="19"/>
      <c r="T312" s="274"/>
      <c r="U312" s="19"/>
      <c r="V312" s="19">
        <f>SUM(V313:V313)</f>
        <v>0</v>
      </c>
      <c r="W312" s="19"/>
      <c r="X312" s="19"/>
      <c r="Y312" s="274"/>
      <c r="Z312" s="19"/>
      <c r="AA312" s="19">
        <f>SUM(AA313:AA313)</f>
        <v>0</v>
      </c>
      <c r="AB312" s="19"/>
      <c r="AC312" s="19"/>
      <c r="AD312" s="274"/>
      <c r="AE312" s="19"/>
      <c r="AF312" s="19">
        <f>SUM(AF313:AF313)</f>
        <v>0</v>
      </c>
      <c r="AG312" s="19"/>
      <c r="AH312" s="19"/>
      <c r="AI312" s="274"/>
      <c r="AJ312" s="19"/>
      <c r="AK312" s="19">
        <f>SUM(AK313:AK313)</f>
        <v>0</v>
      </c>
      <c r="AL312" s="19"/>
      <c r="AM312" s="19"/>
      <c r="AN312" s="274"/>
      <c r="AO312" s="19"/>
      <c r="AP312" s="19">
        <f>SUM(AP313:AP313)</f>
        <v>0</v>
      </c>
      <c r="AQ312" s="19"/>
      <c r="AR312" s="19"/>
      <c r="AS312" s="274"/>
      <c r="AT312" s="19"/>
      <c r="AU312" s="19">
        <f>SUM(AU313:AU313)</f>
        <v>0</v>
      </c>
      <c r="AV312" s="19"/>
      <c r="AW312" s="19"/>
      <c r="AX312" s="274"/>
      <c r="AY312" s="19"/>
      <c r="AZ312" s="19">
        <f>SUM(AZ313:AZ313)</f>
        <v>0</v>
      </c>
      <c r="BA312" s="19"/>
      <c r="BB312" s="19"/>
      <c r="BC312" s="274"/>
      <c r="BD312" s="19"/>
      <c r="BE312" s="19">
        <f>SUM(BE313:BE313)</f>
        <v>0</v>
      </c>
      <c r="BF312" s="19"/>
      <c r="BG312" s="19"/>
      <c r="BH312" s="274"/>
      <c r="BI312" s="19"/>
      <c r="BJ312" s="19">
        <f>SUM(BJ313:BJ313)</f>
        <v>0</v>
      </c>
      <c r="BK312" s="19"/>
      <c r="BL312" s="19"/>
      <c r="BM312" s="274"/>
      <c r="BN312" s="19"/>
      <c r="BO312" s="19">
        <f>SUM(BO313:BO313)</f>
        <v>0</v>
      </c>
      <c r="BP312" s="19"/>
      <c r="BQ312" s="19"/>
      <c r="BR312" s="274"/>
      <c r="BS312" s="19"/>
      <c r="BT312" s="19">
        <f>SUM(BT313:BT313)</f>
        <v>0</v>
      </c>
      <c r="BU312" s="19"/>
      <c r="BV312" s="19"/>
      <c r="BW312" s="274"/>
      <c r="BX312" s="19"/>
      <c r="BY312" s="19">
        <f>SUM(BY313:BY313)</f>
        <v>0</v>
      </c>
      <c r="BZ312" s="19"/>
      <c r="CA312" s="19"/>
      <c r="CB312" s="274"/>
      <c r="CC312" s="19"/>
      <c r="CD312" s="19">
        <f>SUM(CD313:CD313)</f>
        <v>0</v>
      </c>
      <c r="CE312" s="19"/>
      <c r="CF312" s="19"/>
      <c r="CG312" s="274"/>
      <c r="CH312" s="19"/>
      <c r="CI312" s="19">
        <f>SUM(CI313:CI313)</f>
        <v>0</v>
      </c>
      <c r="CJ312" s="19"/>
      <c r="CK312" s="19"/>
      <c r="CL312" s="274"/>
      <c r="CM312" s="19"/>
      <c r="CN312" s="19">
        <f>SUM(CN313:CN313)</f>
        <v>0</v>
      </c>
      <c r="CO312" s="19"/>
      <c r="CP312" s="19"/>
      <c r="CQ312" s="274"/>
      <c r="CR312" s="19"/>
      <c r="CS312" s="19">
        <f>SUM(CS313:CS313)</f>
        <v>0</v>
      </c>
      <c r="CT312" s="19"/>
      <c r="CU312" s="19"/>
      <c r="CV312" s="274"/>
      <c r="CW312" s="19"/>
      <c r="CX312" s="19">
        <f>SUM(CX313:CX313)</f>
        <v>0</v>
      </c>
      <c r="CY312" s="19"/>
      <c r="CZ312" s="19"/>
      <c r="DA312" s="274"/>
      <c r="DB312" s="19"/>
      <c r="DC312" s="19">
        <f>SUM(DC313:DC313)</f>
        <v>0</v>
      </c>
      <c r="DD312" s="19"/>
      <c r="DE312" s="19"/>
      <c r="DF312" s="274"/>
      <c r="DG312" s="19"/>
      <c r="DH312" s="19">
        <f>SUM(DH313:DH313)</f>
        <v>0</v>
      </c>
      <c r="DI312" s="19"/>
      <c r="DJ312" s="19"/>
      <c r="DK312" s="274"/>
      <c r="DL312" s="19"/>
      <c r="DM312" s="19">
        <f>SUM(DM313:DM313)</f>
        <v>0</v>
      </c>
      <c r="DN312" s="19"/>
      <c r="DO312" s="19"/>
      <c r="DP312" s="274"/>
      <c r="DQ312" s="19"/>
      <c r="DR312" s="19">
        <f>SUM(DR313:DR313)</f>
        <v>0</v>
      </c>
      <c r="DS312" s="19"/>
      <c r="DT312" s="19"/>
      <c r="DU312" s="274"/>
      <c r="DV312" s="19"/>
      <c r="DW312" s="19">
        <f>SUM(DW313:DW313)</f>
        <v>0</v>
      </c>
      <c r="DX312" s="19"/>
      <c r="DY312" s="19"/>
      <c r="DZ312" s="274"/>
      <c r="EA312" s="19"/>
      <c r="EB312" s="19">
        <f>SUM(EB313:EB313)</f>
        <v>0</v>
      </c>
      <c r="EC312" s="19"/>
      <c r="ED312" s="19"/>
      <c r="EE312" s="274"/>
      <c r="EF312" s="19"/>
      <c r="EG312" s="19">
        <f>SUM(EG313:EG313)</f>
        <v>0</v>
      </c>
      <c r="EH312" s="19"/>
      <c r="EI312" s="19"/>
      <c r="EJ312" s="274"/>
      <c r="EK312" s="19"/>
      <c r="EL312" s="19">
        <f>SUM(EL313:EL313)</f>
        <v>0</v>
      </c>
      <c r="EM312" s="19"/>
      <c r="EN312" s="19"/>
      <c r="EO312" s="244"/>
      <c r="ER312" s="451"/>
      <c r="ES312" s="451"/>
    </row>
    <row r="313" spans="4:149" ht="12.75" hidden="1" customHeight="1" x14ac:dyDescent="0.2">
      <c r="D313" s="244" t="s">
        <v>344</v>
      </c>
      <c r="F313" s="91"/>
      <c r="G313" s="81">
        <v>0</v>
      </c>
      <c r="H313" s="49"/>
      <c r="I313" s="19"/>
      <c r="J313" s="274"/>
      <c r="K313" s="48"/>
      <c r="L313" s="81">
        <v>0</v>
      </c>
      <c r="M313" s="49"/>
      <c r="N313" s="19"/>
      <c r="O313" s="274"/>
      <c r="P313" s="48"/>
      <c r="Q313" s="81">
        <v>0</v>
      </c>
      <c r="R313" s="49"/>
      <c r="S313" s="19"/>
      <c r="T313" s="274"/>
      <c r="U313" s="48"/>
      <c r="V313" s="81">
        <v>0</v>
      </c>
      <c r="W313" s="49"/>
      <c r="X313" s="19"/>
      <c r="Y313" s="274"/>
      <c r="Z313" s="48"/>
      <c r="AA313" s="81">
        <v>0</v>
      </c>
      <c r="AB313" s="49"/>
      <c r="AC313" s="19"/>
      <c r="AD313" s="274"/>
      <c r="AE313" s="48"/>
      <c r="AF313" s="81">
        <v>0</v>
      </c>
      <c r="AG313" s="49"/>
      <c r="AH313" s="19"/>
      <c r="AI313" s="274"/>
      <c r="AJ313" s="48"/>
      <c r="AK313" s="81">
        <v>0</v>
      </c>
      <c r="AL313" s="49"/>
      <c r="AM313" s="19"/>
      <c r="AN313" s="274"/>
      <c r="AO313" s="48"/>
      <c r="AP313" s="81">
        <v>0</v>
      </c>
      <c r="AQ313" s="49"/>
      <c r="AR313" s="19"/>
      <c r="AS313" s="274"/>
      <c r="AT313" s="48"/>
      <c r="AU313" s="81">
        <v>0</v>
      </c>
      <c r="AV313" s="49"/>
      <c r="AW313" s="19"/>
      <c r="AX313" s="274"/>
      <c r="AY313" s="48"/>
      <c r="AZ313" s="81">
        <v>0</v>
      </c>
      <c r="BA313" s="49"/>
      <c r="BB313" s="19"/>
      <c r="BC313" s="274"/>
      <c r="BD313" s="48"/>
      <c r="BE313" s="81">
        <v>0</v>
      </c>
      <c r="BF313" s="49"/>
      <c r="BG313" s="19"/>
      <c r="BH313" s="274"/>
      <c r="BI313" s="48"/>
      <c r="BJ313" s="81">
        <v>0</v>
      </c>
      <c r="BK313" s="49"/>
      <c r="BL313" s="19"/>
      <c r="BM313" s="274"/>
      <c r="BN313" s="48"/>
      <c r="BO313" s="81">
        <v>0</v>
      </c>
      <c r="BP313" s="49"/>
      <c r="BQ313" s="19"/>
      <c r="BR313" s="274"/>
      <c r="BS313" s="48"/>
      <c r="BT313" s="81">
        <f>SUM(L313:BO313)</f>
        <v>0</v>
      </c>
      <c r="BU313" s="49"/>
      <c r="BV313" s="19"/>
      <c r="BW313" s="274"/>
      <c r="BX313" s="48"/>
      <c r="BY313" s="81">
        <v>0</v>
      </c>
      <c r="BZ313" s="49"/>
      <c r="CA313" s="19"/>
      <c r="CB313" s="274"/>
      <c r="CC313" s="48"/>
      <c r="CD313" s="81">
        <v>0</v>
      </c>
      <c r="CE313" s="49"/>
      <c r="CF313" s="19"/>
      <c r="CG313" s="274"/>
      <c r="CH313" s="48"/>
      <c r="CI313" s="81">
        <v>0</v>
      </c>
      <c r="CJ313" s="49"/>
      <c r="CK313" s="19"/>
      <c r="CL313" s="274"/>
      <c r="CM313" s="48"/>
      <c r="CN313" s="81">
        <v>0</v>
      </c>
      <c r="CO313" s="49"/>
      <c r="CP313" s="19"/>
      <c r="CQ313" s="274"/>
      <c r="CR313" s="48"/>
      <c r="CS313" s="81">
        <v>0</v>
      </c>
      <c r="CT313" s="49"/>
      <c r="CU313" s="19"/>
      <c r="CV313" s="274"/>
      <c r="CW313" s="48"/>
      <c r="CX313" s="81">
        <v>0</v>
      </c>
      <c r="CY313" s="49"/>
      <c r="CZ313" s="19"/>
      <c r="DA313" s="274"/>
      <c r="DB313" s="48"/>
      <c r="DC313" s="81">
        <v>0</v>
      </c>
      <c r="DD313" s="49"/>
      <c r="DE313" s="19"/>
      <c r="DF313" s="274"/>
      <c r="DG313" s="48"/>
      <c r="DH313" s="81">
        <v>0</v>
      </c>
      <c r="DI313" s="49"/>
      <c r="DJ313" s="19"/>
      <c r="DK313" s="274"/>
      <c r="DL313" s="48"/>
      <c r="DM313" s="81">
        <v>0</v>
      </c>
      <c r="DN313" s="49"/>
      <c r="DO313" s="19"/>
      <c r="DP313" s="274"/>
      <c r="DQ313" s="48"/>
      <c r="DR313" s="81">
        <v>0</v>
      </c>
      <c r="DS313" s="49"/>
      <c r="DT313" s="19"/>
      <c r="DU313" s="274"/>
      <c r="DV313" s="48"/>
      <c r="DW313" s="81">
        <v>0</v>
      </c>
      <c r="DX313" s="49"/>
      <c r="DY313" s="19"/>
      <c r="DZ313" s="274"/>
      <c r="EA313" s="48"/>
      <c r="EB313" s="81">
        <v>0</v>
      </c>
      <c r="EC313" s="49"/>
      <c r="ED313" s="19"/>
      <c r="EE313" s="274"/>
      <c r="EF313" s="48"/>
      <c r="EG313" s="81">
        <v>0</v>
      </c>
      <c r="EH313" s="49"/>
      <c r="EI313" s="19"/>
      <c r="EJ313" s="274"/>
      <c r="EK313" s="48"/>
      <c r="EL313" s="81">
        <f>SUM(CD313:CN313)</f>
        <v>0</v>
      </c>
      <c r="EM313" s="49"/>
      <c r="EN313" s="19"/>
      <c r="EO313" s="244"/>
      <c r="ER313" s="451"/>
      <c r="ES313" s="451"/>
    </row>
    <row r="314" spans="4:149" ht="12.75" hidden="1" customHeight="1" x14ac:dyDescent="0.2">
      <c r="D314" s="244"/>
      <c r="G314" s="19"/>
      <c r="H314" s="19"/>
      <c r="I314" s="19"/>
      <c r="J314" s="274"/>
      <c r="K314" s="19"/>
      <c r="L314" s="19"/>
      <c r="M314" s="19"/>
      <c r="N314" s="19"/>
      <c r="O314" s="274"/>
      <c r="P314" s="19"/>
      <c r="Q314" s="19"/>
      <c r="R314" s="19"/>
      <c r="S314" s="19"/>
      <c r="T314" s="274"/>
      <c r="U314" s="19"/>
      <c r="V314" s="19"/>
      <c r="W314" s="19"/>
      <c r="X314" s="19"/>
      <c r="Y314" s="274"/>
      <c r="Z314" s="19"/>
      <c r="AA314" s="19"/>
      <c r="AB314" s="19"/>
      <c r="AC314" s="19"/>
      <c r="AD314" s="274"/>
      <c r="AE314" s="19"/>
      <c r="AF314" s="19"/>
      <c r="AG314" s="19"/>
      <c r="AH314" s="19"/>
      <c r="AI314" s="274"/>
      <c r="AJ314" s="19"/>
      <c r="AK314" s="19"/>
      <c r="AL314" s="19"/>
      <c r="AM314" s="19"/>
      <c r="AN314" s="274"/>
      <c r="AO314" s="19"/>
      <c r="AP314" s="19"/>
      <c r="AQ314" s="19"/>
      <c r="AR314" s="19"/>
      <c r="AS314" s="274"/>
      <c r="AT314" s="19"/>
      <c r="AU314" s="19"/>
      <c r="AV314" s="19"/>
      <c r="AW314" s="19"/>
      <c r="AX314" s="274"/>
      <c r="AY314" s="19"/>
      <c r="AZ314" s="19"/>
      <c r="BA314" s="19"/>
      <c r="BB314" s="19"/>
      <c r="BC314" s="274"/>
      <c r="BD314" s="19"/>
      <c r="BE314" s="19"/>
      <c r="BF314" s="19"/>
      <c r="BG314" s="19"/>
      <c r="BH314" s="274"/>
      <c r="BI314" s="19"/>
      <c r="BJ314" s="19"/>
      <c r="BK314" s="19"/>
      <c r="BL314" s="19"/>
      <c r="BM314" s="274"/>
      <c r="BN314" s="19"/>
      <c r="BO314" s="19"/>
      <c r="BP314" s="19"/>
      <c r="BQ314" s="19"/>
      <c r="BR314" s="274"/>
      <c r="BS314" s="19"/>
      <c r="BT314" s="19"/>
      <c r="BU314" s="19"/>
      <c r="BV314" s="19"/>
      <c r="BW314" s="274"/>
      <c r="BX314" s="19"/>
      <c r="BY314" s="19"/>
      <c r="BZ314" s="19"/>
      <c r="CA314" s="19"/>
      <c r="CB314" s="274"/>
      <c r="CC314" s="19"/>
      <c r="CD314" s="19"/>
      <c r="CE314" s="19"/>
      <c r="CF314" s="19"/>
      <c r="CG314" s="274"/>
      <c r="CH314" s="19"/>
      <c r="CI314" s="19"/>
      <c r="CJ314" s="19"/>
      <c r="CK314" s="19"/>
      <c r="CL314" s="274"/>
      <c r="CM314" s="19"/>
      <c r="CN314" s="19"/>
      <c r="CO314" s="19"/>
      <c r="CP314" s="19"/>
      <c r="CQ314" s="274"/>
      <c r="CR314" s="19"/>
      <c r="CS314" s="19"/>
      <c r="CT314" s="19"/>
      <c r="CU314" s="19"/>
      <c r="CV314" s="274"/>
      <c r="CW314" s="19"/>
      <c r="CX314" s="19"/>
      <c r="CY314" s="19"/>
      <c r="CZ314" s="19"/>
      <c r="DA314" s="274"/>
      <c r="DB314" s="19"/>
      <c r="DC314" s="19"/>
      <c r="DD314" s="19"/>
      <c r="DE314" s="19"/>
      <c r="DF314" s="274"/>
      <c r="DG314" s="19"/>
      <c r="DH314" s="19"/>
      <c r="DI314" s="19"/>
      <c r="DJ314" s="19"/>
      <c r="DK314" s="274"/>
      <c r="DL314" s="19"/>
      <c r="DM314" s="19"/>
      <c r="DN314" s="19"/>
      <c r="DO314" s="19"/>
      <c r="DP314" s="274"/>
      <c r="DQ314" s="19"/>
      <c r="DR314" s="19"/>
      <c r="DS314" s="19"/>
      <c r="DT314" s="19"/>
      <c r="DU314" s="274"/>
      <c r="DV314" s="19"/>
      <c r="DW314" s="19"/>
      <c r="DX314" s="19"/>
      <c r="DY314" s="19"/>
      <c r="DZ314" s="274"/>
      <c r="EA314" s="19"/>
      <c r="EB314" s="19"/>
      <c r="EC314" s="19"/>
      <c r="ED314" s="19"/>
      <c r="EE314" s="274"/>
      <c r="EF314" s="19"/>
      <c r="EG314" s="19"/>
      <c r="EH314" s="19"/>
      <c r="EI314" s="19"/>
      <c r="EJ314" s="274"/>
      <c r="EK314" s="19"/>
      <c r="EL314" s="19"/>
      <c r="EM314" s="19"/>
      <c r="EN314" s="19"/>
      <c r="EO314" s="244"/>
      <c r="ER314" s="451"/>
      <c r="ES314" s="451"/>
    </row>
    <row r="315" spans="4:149" ht="12.75" customHeight="1" x14ac:dyDescent="0.2">
      <c r="D315" s="244"/>
      <c r="G315" s="19"/>
      <c r="H315" s="19"/>
      <c r="I315" s="19"/>
      <c r="J315" s="274"/>
      <c r="K315" s="19"/>
      <c r="L315" s="19"/>
      <c r="M315" s="19"/>
      <c r="N315" s="19"/>
      <c r="O315" s="274"/>
      <c r="P315" s="19"/>
      <c r="Q315" s="19"/>
      <c r="R315" s="19"/>
      <c r="S315" s="19"/>
      <c r="T315" s="274"/>
      <c r="U315" s="19"/>
      <c r="V315" s="19"/>
      <c r="W315" s="19"/>
      <c r="X315" s="19"/>
      <c r="Y315" s="274"/>
      <c r="Z315" s="19"/>
      <c r="AA315" s="19"/>
      <c r="AB315" s="19"/>
      <c r="AC315" s="19"/>
      <c r="AD315" s="274"/>
      <c r="AE315" s="19"/>
      <c r="AF315" s="19"/>
      <c r="AG315" s="19"/>
      <c r="AH315" s="19"/>
      <c r="AI315" s="274"/>
      <c r="AJ315" s="19"/>
      <c r="AK315" s="19"/>
      <c r="AL315" s="19"/>
      <c r="AM315" s="19"/>
      <c r="AN315" s="274"/>
      <c r="AO315" s="19"/>
      <c r="AP315" s="19"/>
      <c r="AQ315" s="19"/>
      <c r="AR315" s="19"/>
      <c r="AS315" s="274"/>
      <c r="AT315" s="19"/>
      <c r="AU315" s="19"/>
      <c r="AV315" s="19"/>
      <c r="AW315" s="19"/>
      <c r="AX315" s="274"/>
      <c r="AY315" s="19"/>
      <c r="AZ315" s="19"/>
      <c r="BA315" s="19"/>
      <c r="BB315" s="19"/>
      <c r="BC315" s="274"/>
      <c r="BD315" s="19"/>
      <c r="BE315" s="19"/>
      <c r="BF315" s="19"/>
      <c r="BG315" s="19"/>
      <c r="BH315" s="274"/>
      <c r="BI315" s="19"/>
      <c r="BJ315" s="19"/>
      <c r="BK315" s="19"/>
      <c r="BL315" s="19"/>
      <c r="BM315" s="274"/>
      <c r="BN315" s="19"/>
      <c r="BO315" s="19"/>
      <c r="BP315" s="19"/>
      <c r="BQ315" s="19"/>
      <c r="BR315" s="274"/>
      <c r="BS315" s="19"/>
      <c r="BT315" s="19"/>
      <c r="BU315" s="19"/>
      <c r="BV315" s="19"/>
      <c r="BW315" s="274"/>
      <c r="BX315" s="19"/>
      <c r="BY315" s="19"/>
      <c r="BZ315" s="19"/>
      <c r="CA315" s="19"/>
      <c r="CB315" s="274"/>
      <c r="CC315" s="19"/>
      <c r="CD315" s="19"/>
      <c r="CE315" s="19"/>
      <c r="CF315" s="19"/>
      <c r="CG315" s="274"/>
      <c r="CH315" s="19"/>
      <c r="CI315" s="19"/>
      <c r="CJ315" s="19"/>
      <c r="CK315" s="19"/>
      <c r="CL315" s="274"/>
      <c r="CM315" s="19"/>
      <c r="CN315" s="19"/>
      <c r="CO315" s="19"/>
      <c r="CP315" s="19"/>
      <c r="CQ315" s="274"/>
      <c r="CR315" s="19"/>
      <c r="CS315" s="19"/>
      <c r="CT315" s="19"/>
      <c r="CU315" s="19"/>
      <c r="CV315" s="274"/>
      <c r="CW315" s="19"/>
      <c r="CX315" s="19"/>
      <c r="CY315" s="19"/>
      <c r="CZ315" s="19"/>
      <c r="DA315" s="274"/>
      <c r="DB315" s="19"/>
      <c r="DC315" s="19"/>
      <c r="DD315" s="19"/>
      <c r="DE315" s="19"/>
      <c r="DF315" s="274"/>
      <c r="DG315" s="19"/>
      <c r="DH315" s="19"/>
      <c r="DI315" s="19"/>
      <c r="DJ315" s="19"/>
      <c r="DK315" s="274"/>
      <c r="DL315" s="19"/>
      <c r="DM315" s="19"/>
      <c r="DN315" s="19"/>
      <c r="DO315" s="19"/>
      <c r="DP315" s="274"/>
      <c r="DQ315" s="19"/>
      <c r="DR315" s="19"/>
      <c r="DS315" s="19"/>
      <c r="DT315" s="19"/>
      <c r="DU315" s="274"/>
      <c r="DV315" s="19"/>
      <c r="DW315" s="19"/>
      <c r="DX315" s="19"/>
      <c r="DY315" s="19"/>
      <c r="DZ315" s="274"/>
      <c r="EA315" s="19"/>
      <c r="EB315" s="19"/>
      <c r="EC315" s="19"/>
      <c r="ED315" s="19"/>
      <c r="EE315" s="274"/>
      <c r="EF315" s="19"/>
      <c r="EG315" s="19"/>
      <c r="EH315" s="19"/>
      <c r="EI315" s="19"/>
      <c r="EJ315" s="274"/>
      <c r="EK315" s="19"/>
      <c r="EL315" s="19"/>
      <c r="EM315" s="19"/>
      <c r="EN315" s="19"/>
      <c r="EO315" s="244"/>
      <c r="ER315" s="451"/>
      <c r="ES315" s="451"/>
    </row>
    <row r="316" spans="4:149" ht="12.75" customHeight="1" x14ac:dyDescent="0.2">
      <c r="D316" s="244" t="s">
        <v>408</v>
      </c>
      <c r="G316" s="19">
        <f>SUM(G317:G317)</f>
        <v>41191</v>
      </c>
      <c r="H316" s="19"/>
      <c r="I316" s="19"/>
      <c r="J316" s="274"/>
      <c r="K316" s="19"/>
      <c r="L316" s="19">
        <f>SUM(L317:L317)</f>
        <v>0</v>
      </c>
      <c r="M316" s="19"/>
      <c r="N316" s="19"/>
      <c r="O316" s="274"/>
      <c r="P316" s="19"/>
      <c r="Q316" s="19">
        <f>SUM(Q317:Q317)</f>
        <v>0</v>
      </c>
      <c r="R316" s="19"/>
      <c r="S316" s="19"/>
      <c r="T316" s="274"/>
      <c r="U316" s="19"/>
      <c r="V316" s="19">
        <f>SUM(V317:V317)</f>
        <v>0</v>
      </c>
      <c r="W316" s="19"/>
      <c r="X316" s="19"/>
      <c r="Y316" s="274"/>
      <c r="Z316" s="19">
        <f t="shared" ref="Z316:BQ316" si="4">SUM(Z317:Z317)</f>
        <v>0</v>
      </c>
      <c r="AA316" s="19">
        <f>SUM(AA317:AA317)</f>
        <v>0</v>
      </c>
      <c r="AB316" s="19">
        <f t="shared" si="4"/>
        <v>0</v>
      </c>
      <c r="AC316" s="19">
        <f t="shared" si="4"/>
        <v>0</v>
      </c>
      <c r="AD316" s="274">
        <f t="shared" si="4"/>
        <v>0</v>
      </c>
      <c r="AE316" s="19">
        <f t="shared" si="4"/>
        <v>0</v>
      </c>
      <c r="AF316" s="19">
        <f>SUM(AF317:AF317)</f>
        <v>41191</v>
      </c>
      <c r="AG316" s="19">
        <f t="shared" si="4"/>
        <v>0</v>
      </c>
      <c r="AH316" s="19">
        <f t="shared" si="4"/>
        <v>0</v>
      </c>
      <c r="AI316" s="274">
        <f t="shared" si="4"/>
        <v>0</v>
      </c>
      <c r="AJ316" s="19">
        <f t="shared" si="4"/>
        <v>0</v>
      </c>
      <c r="AK316" s="19">
        <f>SUM(AK317:AK317)</f>
        <v>0</v>
      </c>
      <c r="AL316" s="19">
        <f t="shared" si="4"/>
        <v>0</v>
      </c>
      <c r="AM316" s="19">
        <f t="shared" si="4"/>
        <v>0</v>
      </c>
      <c r="AN316" s="274">
        <f t="shared" si="4"/>
        <v>0</v>
      </c>
      <c r="AO316" s="19">
        <f t="shared" si="4"/>
        <v>0</v>
      </c>
      <c r="AP316" s="19">
        <f>SUM(AP317:AP317)</f>
        <v>0</v>
      </c>
      <c r="AQ316" s="19">
        <f t="shared" si="4"/>
        <v>0</v>
      </c>
      <c r="AR316" s="19">
        <f t="shared" si="4"/>
        <v>0</v>
      </c>
      <c r="AS316" s="274">
        <f t="shared" si="4"/>
        <v>0</v>
      </c>
      <c r="AT316" s="19">
        <f t="shared" si="4"/>
        <v>0</v>
      </c>
      <c r="AU316" s="19">
        <f>SUM(AU317:AU317)</f>
        <v>0</v>
      </c>
      <c r="AV316" s="19">
        <f t="shared" si="4"/>
        <v>0</v>
      </c>
      <c r="AW316" s="19">
        <f t="shared" si="4"/>
        <v>0</v>
      </c>
      <c r="AX316" s="274">
        <f t="shared" si="4"/>
        <v>0</v>
      </c>
      <c r="AY316" s="19">
        <f t="shared" si="4"/>
        <v>0</v>
      </c>
      <c r="AZ316" s="19">
        <f>SUM(AZ317:AZ317)</f>
        <v>0</v>
      </c>
      <c r="BA316" s="19">
        <f t="shared" si="4"/>
        <v>0</v>
      </c>
      <c r="BB316" s="19">
        <f t="shared" si="4"/>
        <v>0</v>
      </c>
      <c r="BC316" s="274">
        <f t="shared" si="4"/>
        <v>0</v>
      </c>
      <c r="BD316" s="19">
        <f t="shared" si="4"/>
        <v>0</v>
      </c>
      <c r="BE316" s="19">
        <f>SUM(BE317:BE317)</f>
        <v>0</v>
      </c>
      <c r="BF316" s="19">
        <f t="shared" si="4"/>
        <v>0</v>
      </c>
      <c r="BG316" s="19">
        <f t="shared" si="4"/>
        <v>0</v>
      </c>
      <c r="BH316" s="274">
        <f t="shared" si="4"/>
        <v>0</v>
      </c>
      <c r="BI316" s="19">
        <f t="shared" si="4"/>
        <v>0</v>
      </c>
      <c r="BJ316" s="19">
        <f>SUM(BJ317:BJ317)</f>
        <v>0</v>
      </c>
      <c r="BK316" s="19">
        <f t="shared" si="4"/>
        <v>0</v>
      </c>
      <c r="BL316" s="19">
        <f t="shared" si="4"/>
        <v>0</v>
      </c>
      <c r="BM316" s="274">
        <f t="shared" si="4"/>
        <v>0</v>
      </c>
      <c r="BN316" s="19">
        <f t="shared" si="4"/>
        <v>0</v>
      </c>
      <c r="BO316" s="19">
        <f>SUM(BO317:BO317)</f>
        <v>0</v>
      </c>
      <c r="BP316" s="19">
        <f t="shared" si="4"/>
        <v>0</v>
      </c>
      <c r="BQ316" s="19">
        <f t="shared" si="4"/>
        <v>0</v>
      </c>
      <c r="BR316" s="274"/>
      <c r="BS316" s="19"/>
      <c r="BT316" s="19">
        <f>SUM(BT317:BT317)</f>
        <v>41191</v>
      </c>
      <c r="BU316" s="19"/>
      <c r="BV316" s="19"/>
      <c r="BW316" s="274"/>
      <c r="BX316" s="19"/>
      <c r="BY316" s="19">
        <f>SUM(BY317:BY317)</f>
        <v>0</v>
      </c>
      <c r="BZ316" s="19"/>
      <c r="CA316" s="19"/>
      <c r="CB316" s="274"/>
      <c r="CC316" s="19"/>
      <c r="CD316" s="19">
        <f>SUM(CD317:CD317)</f>
        <v>0</v>
      </c>
      <c r="CE316" s="19"/>
      <c r="CF316" s="19"/>
      <c r="CG316" s="274"/>
      <c r="CH316" s="19"/>
      <c r="CI316" s="19">
        <f>SUM(CI317:CI317)</f>
        <v>0</v>
      </c>
      <c r="CJ316" s="19"/>
      <c r="CK316" s="19"/>
      <c r="CL316" s="274"/>
      <c r="CM316" s="19"/>
      <c r="CN316" s="19">
        <f>SUM(CN317:CN317)</f>
        <v>0</v>
      </c>
      <c r="CO316" s="19"/>
      <c r="CP316" s="19"/>
      <c r="CQ316" s="274"/>
      <c r="CR316" s="19">
        <f t="shared" ref="CR316:EF316" si="5">SUM(CR317:CR317)</f>
        <v>0</v>
      </c>
      <c r="CS316" s="19">
        <f>SUM(CS317:CS317)</f>
        <v>0</v>
      </c>
      <c r="CT316" s="19">
        <f t="shared" si="5"/>
        <v>0</v>
      </c>
      <c r="CU316" s="19">
        <f t="shared" si="5"/>
        <v>0</v>
      </c>
      <c r="CV316" s="274">
        <f t="shared" si="5"/>
        <v>0</v>
      </c>
      <c r="CW316" s="19">
        <f t="shared" si="5"/>
        <v>0</v>
      </c>
      <c r="CX316" s="19">
        <f>SUM(CX317:CX317)</f>
        <v>0</v>
      </c>
      <c r="CY316" s="19">
        <f t="shared" si="5"/>
        <v>0</v>
      </c>
      <c r="CZ316" s="19">
        <f t="shared" si="5"/>
        <v>0</v>
      </c>
      <c r="DA316" s="274">
        <f t="shared" si="5"/>
        <v>0</v>
      </c>
      <c r="DB316" s="19">
        <f t="shared" si="5"/>
        <v>0</v>
      </c>
      <c r="DC316" s="19">
        <f>SUM(DC317:DC317)</f>
        <v>0</v>
      </c>
      <c r="DD316" s="19">
        <f t="shared" si="5"/>
        <v>0</v>
      </c>
      <c r="DE316" s="19">
        <f t="shared" si="5"/>
        <v>0</v>
      </c>
      <c r="DF316" s="274">
        <f t="shared" si="5"/>
        <v>0</v>
      </c>
      <c r="DG316" s="19">
        <f t="shared" si="5"/>
        <v>0</v>
      </c>
      <c r="DH316" s="19">
        <f>SUM(DH317:DH317)</f>
        <v>0</v>
      </c>
      <c r="DI316" s="19">
        <f t="shared" si="5"/>
        <v>0</v>
      </c>
      <c r="DJ316" s="19">
        <f t="shared" si="5"/>
        <v>0</v>
      </c>
      <c r="DK316" s="274">
        <f t="shared" si="5"/>
        <v>0</v>
      </c>
      <c r="DL316" s="19">
        <f t="shared" si="5"/>
        <v>0</v>
      </c>
      <c r="DM316" s="19">
        <f>SUM(DM317:DM317)</f>
        <v>0</v>
      </c>
      <c r="DN316" s="19">
        <f t="shared" si="5"/>
        <v>0</v>
      </c>
      <c r="DO316" s="19">
        <f t="shared" si="5"/>
        <v>0</v>
      </c>
      <c r="DP316" s="274">
        <f t="shared" si="5"/>
        <v>0</v>
      </c>
      <c r="DQ316" s="19">
        <f t="shared" si="5"/>
        <v>0</v>
      </c>
      <c r="DR316" s="19">
        <f>SUM(DR317:DR317)</f>
        <v>0</v>
      </c>
      <c r="DS316" s="19">
        <f t="shared" si="5"/>
        <v>0</v>
      </c>
      <c r="DT316" s="19">
        <f t="shared" si="5"/>
        <v>0</v>
      </c>
      <c r="DU316" s="274">
        <f t="shared" si="5"/>
        <v>0</v>
      </c>
      <c r="DV316" s="19">
        <f t="shared" si="5"/>
        <v>0</v>
      </c>
      <c r="DW316" s="19">
        <f>SUM(DW317:DW317)</f>
        <v>0</v>
      </c>
      <c r="DX316" s="19">
        <f t="shared" si="5"/>
        <v>0</v>
      </c>
      <c r="DY316" s="19">
        <f t="shared" si="5"/>
        <v>0</v>
      </c>
      <c r="DZ316" s="274">
        <f t="shared" si="5"/>
        <v>0</v>
      </c>
      <c r="EA316" s="19">
        <f t="shared" si="5"/>
        <v>0</v>
      </c>
      <c r="EB316" s="19">
        <f>SUM(EB317:EB317)</f>
        <v>0</v>
      </c>
      <c r="EC316" s="19">
        <f t="shared" si="5"/>
        <v>0</v>
      </c>
      <c r="ED316" s="19">
        <f t="shared" si="5"/>
        <v>0</v>
      </c>
      <c r="EE316" s="274">
        <f t="shared" si="5"/>
        <v>0</v>
      </c>
      <c r="EF316" s="19">
        <f t="shared" si="5"/>
        <v>0</v>
      </c>
      <c r="EG316" s="19">
        <f>SUM(EG317:EG317)</f>
        <v>0</v>
      </c>
      <c r="EH316" s="19">
        <f>SUM(EH317:EH317)</f>
        <v>0</v>
      </c>
      <c r="EI316" s="19">
        <f>SUM(EI317:EI317)</f>
        <v>0</v>
      </c>
      <c r="EJ316" s="274"/>
      <c r="EK316" s="19"/>
      <c r="EL316" s="19">
        <f>SUM(EL317:EL317)</f>
        <v>0</v>
      </c>
      <c r="EM316" s="19"/>
      <c r="EN316" s="19"/>
      <c r="EO316" s="244"/>
      <c r="ER316" s="451"/>
      <c r="ES316" s="451"/>
    </row>
    <row r="317" spans="4:149" ht="12.75" customHeight="1" x14ac:dyDescent="0.2">
      <c r="D317" s="244" t="s">
        <v>344</v>
      </c>
      <c r="F317" s="91"/>
      <c r="G317" s="81">
        <v>41191</v>
      </c>
      <c r="H317" s="49"/>
      <c r="I317" s="19"/>
      <c r="J317" s="274"/>
      <c r="K317" s="48"/>
      <c r="L317" s="81">
        <v>0</v>
      </c>
      <c r="M317" s="49"/>
      <c r="N317" s="19"/>
      <c r="O317" s="274"/>
      <c r="P317" s="48"/>
      <c r="Q317" s="81">
        <v>0</v>
      </c>
      <c r="R317" s="49"/>
      <c r="S317" s="19"/>
      <c r="T317" s="274"/>
      <c r="U317" s="48"/>
      <c r="V317" s="81">
        <v>0</v>
      </c>
      <c r="W317" s="49"/>
      <c r="X317" s="19"/>
      <c r="Y317" s="274"/>
      <c r="Z317" s="48"/>
      <c r="AA317" s="81">
        <v>0</v>
      </c>
      <c r="AB317" s="49"/>
      <c r="AC317" s="19"/>
      <c r="AD317" s="274"/>
      <c r="AE317" s="48"/>
      <c r="AF317" s="81">
        <v>41191</v>
      </c>
      <c r="AG317" s="49"/>
      <c r="AH317" s="19"/>
      <c r="AI317" s="274"/>
      <c r="AJ317" s="48"/>
      <c r="AK317" s="81">
        <v>0</v>
      </c>
      <c r="AL317" s="49"/>
      <c r="AM317" s="19"/>
      <c r="AN317" s="274"/>
      <c r="AO317" s="48"/>
      <c r="AP317" s="81">
        <v>0</v>
      </c>
      <c r="AQ317" s="49"/>
      <c r="AR317" s="19"/>
      <c r="AS317" s="274"/>
      <c r="AT317" s="48"/>
      <c r="AU317" s="81">
        <v>0</v>
      </c>
      <c r="AV317" s="49"/>
      <c r="AW317" s="19"/>
      <c r="AX317" s="274"/>
      <c r="AY317" s="48"/>
      <c r="AZ317" s="81">
        <v>0</v>
      </c>
      <c r="BA317" s="49"/>
      <c r="BB317" s="19"/>
      <c r="BC317" s="274"/>
      <c r="BD317" s="48"/>
      <c r="BE317" s="81">
        <v>0</v>
      </c>
      <c r="BF317" s="49"/>
      <c r="BG317" s="19"/>
      <c r="BH317" s="274"/>
      <c r="BI317" s="48"/>
      <c r="BJ317" s="81">
        <v>0</v>
      </c>
      <c r="BK317" s="49"/>
      <c r="BL317" s="19"/>
      <c r="BM317" s="274"/>
      <c r="BN317" s="48"/>
      <c r="BO317" s="81">
        <v>0</v>
      </c>
      <c r="BP317" s="49"/>
      <c r="BQ317" s="19"/>
      <c r="BR317" s="274"/>
      <c r="BS317" s="48"/>
      <c r="BT317" s="81">
        <f>SUM(L317:BO317)</f>
        <v>41191</v>
      </c>
      <c r="BU317" s="49"/>
      <c r="BV317" s="19"/>
      <c r="BW317" s="274"/>
      <c r="BX317" s="48"/>
      <c r="BY317" s="81">
        <v>0</v>
      </c>
      <c r="BZ317" s="49"/>
      <c r="CA317" s="19"/>
      <c r="CB317" s="274"/>
      <c r="CC317" s="48"/>
      <c r="CD317" s="81">
        <v>0</v>
      </c>
      <c r="CE317" s="49"/>
      <c r="CF317" s="19"/>
      <c r="CG317" s="274"/>
      <c r="CH317" s="48"/>
      <c r="CI317" s="81">
        <v>0</v>
      </c>
      <c r="CJ317" s="49"/>
      <c r="CK317" s="19"/>
      <c r="CL317" s="274"/>
      <c r="CM317" s="48"/>
      <c r="CN317" s="81">
        <v>0</v>
      </c>
      <c r="CO317" s="49"/>
      <c r="CP317" s="19"/>
      <c r="CQ317" s="274"/>
      <c r="CR317" s="48"/>
      <c r="CS317" s="81">
        <v>0</v>
      </c>
      <c r="CT317" s="49"/>
      <c r="CU317" s="19"/>
      <c r="CV317" s="274"/>
      <c r="CW317" s="48"/>
      <c r="CX317" s="81">
        <v>0</v>
      </c>
      <c r="CY317" s="49"/>
      <c r="CZ317" s="19"/>
      <c r="DA317" s="274"/>
      <c r="DB317" s="48"/>
      <c r="DC317" s="81">
        <v>0</v>
      </c>
      <c r="DD317" s="49"/>
      <c r="DE317" s="19"/>
      <c r="DF317" s="274"/>
      <c r="DG317" s="48"/>
      <c r="DH317" s="81">
        <v>0</v>
      </c>
      <c r="DI317" s="49"/>
      <c r="DJ317" s="19"/>
      <c r="DK317" s="274"/>
      <c r="DL317" s="48"/>
      <c r="DM317" s="81">
        <v>0</v>
      </c>
      <c r="DN317" s="49"/>
      <c r="DO317" s="19"/>
      <c r="DP317" s="274"/>
      <c r="DQ317" s="48"/>
      <c r="DR317" s="81">
        <v>0</v>
      </c>
      <c r="DS317" s="49"/>
      <c r="DT317" s="19"/>
      <c r="DU317" s="274"/>
      <c r="DV317" s="48"/>
      <c r="DW317" s="81">
        <v>0</v>
      </c>
      <c r="DX317" s="49"/>
      <c r="DY317" s="19"/>
      <c r="DZ317" s="274"/>
      <c r="EA317" s="48"/>
      <c r="EB317" s="81">
        <v>0</v>
      </c>
      <c r="EC317" s="49"/>
      <c r="ED317" s="19"/>
      <c r="EE317" s="274"/>
      <c r="EF317" s="48"/>
      <c r="EG317" s="81">
        <v>0</v>
      </c>
      <c r="EH317" s="49"/>
      <c r="EI317" s="19"/>
      <c r="EJ317" s="274"/>
      <c r="EK317" s="91"/>
      <c r="EL317" s="81">
        <f>SUM(CD317:EG317)</f>
        <v>0</v>
      </c>
      <c r="EM317" s="49"/>
      <c r="EN317" s="19"/>
      <c r="EO317" s="244"/>
      <c r="ER317" s="451"/>
      <c r="ES317" s="451"/>
    </row>
    <row r="318" spans="4:149" ht="12.75" customHeight="1" x14ac:dyDescent="0.2">
      <c r="D318" s="244"/>
      <c r="G318" s="19"/>
      <c r="H318" s="19"/>
      <c r="I318" s="19"/>
      <c r="J318" s="274"/>
      <c r="K318" s="19"/>
      <c r="L318" s="19"/>
      <c r="M318" s="19"/>
      <c r="N318" s="19"/>
      <c r="O318" s="274"/>
      <c r="P318" s="19"/>
      <c r="Q318" s="19"/>
      <c r="R318" s="19"/>
      <c r="S318" s="19"/>
      <c r="T318" s="274"/>
      <c r="U318" s="19"/>
      <c r="V318" s="19"/>
      <c r="W318" s="19"/>
      <c r="X318" s="19"/>
      <c r="Y318" s="274"/>
      <c r="Z318" s="19"/>
      <c r="AA318" s="19"/>
      <c r="AB318" s="19"/>
      <c r="AC318" s="19"/>
      <c r="AD318" s="274"/>
      <c r="AE318" s="19"/>
      <c r="AF318" s="19"/>
      <c r="AG318" s="19"/>
      <c r="AH318" s="19"/>
      <c r="AI318" s="274"/>
      <c r="AJ318" s="19"/>
      <c r="AK318" s="19"/>
      <c r="AL318" s="19"/>
      <c r="AM318" s="19"/>
      <c r="AN318" s="274"/>
      <c r="AO318" s="19"/>
      <c r="AP318" s="19"/>
      <c r="AQ318" s="19"/>
      <c r="AR318" s="19"/>
      <c r="AS318" s="274"/>
      <c r="AT318" s="19"/>
      <c r="AU318" s="19"/>
      <c r="AV318" s="19"/>
      <c r="AW318" s="19"/>
      <c r="AX318" s="274"/>
      <c r="AY318" s="19"/>
      <c r="AZ318" s="19"/>
      <c r="BA318" s="19"/>
      <c r="BB318" s="19"/>
      <c r="BC318" s="274"/>
      <c r="BD318" s="19"/>
      <c r="BE318" s="19"/>
      <c r="BF318" s="19"/>
      <c r="BG318" s="19"/>
      <c r="BH318" s="274"/>
      <c r="BI318" s="19"/>
      <c r="BJ318" s="19"/>
      <c r="BK318" s="19"/>
      <c r="BL318" s="19"/>
      <c r="BM318" s="274"/>
      <c r="BN318" s="19"/>
      <c r="BO318" s="19"/>
      <c r="BP318" s="19"/>
      <c r="BQ318" s="19"/>
      <c r="BR318" s="274"/>
      <c r="BS318" s="19"/>
      <c r="BT318" s="19"/>
      <c r="BU318" s="19"/>
      <c r="BV318" s="19"/>
      <c r="BW318" s="274"/>
      <c r="BX318" s="19"/>
      <c r="BY318" s="19"/>
      <c r="BZ318" s="19"/>
      <c r="CA318" s="19"/>
      <c r="CB318" s="274"/>
      <c r="CC318" s="19"/>
      <c r="CD318" s="19"/>
      <c r="CE318" s="19"/>
      <c r="CF318" s="19"/>
      <c r="CG318" s="274"/>
      <c r="CH318" s="19"/>
      <c r="CI318" s="19"/>
      <c r="CJ318" s="19"/>
      <c r="CK318" s="19"/>
      <c r="CL318" s="274"/>
      <c r="CM318" s="19"/>
      <c r="CN318" s="19"/>
      <c r="CO318" s="19"/>
      <c r="CP318" s="19"/>
      <c r="CQ318" s="274"/>
      <c r="CR318" s="19"/>
      <c r="CS318" s="19"/>
      <c r="CT318" s="19"/>
      <c r="CU318" s="19"/>
      <c r="CV318" s="274"/>
      <c r="CW318" s="19"/>
      <c r="CX318" s="19"/>
      <c r="CY318" s="19"/>
      <c r="CZ318" s="19"/>
      <c r="DA318" s="274"/>
      <c r="DB318" s="19"/>
      <c r="DC318" s="19"/>
      <c r="DD318" s="19"/>
      <c r="DE318" s="19"/>
      <c r="DF318" s="274"/>
      <c r="DG318" s="19"/>
      <c r="DH318" s="19"/>
      <c r="DI318" s="19"/>
      <c r="DJ318" s="19"/>
      <c r="DK318" s="274"/>
      <c r="DL318" s="19"/>
      <c r="DM318" s="19"/>
      <c r="DN318" s="19"/>
      <c r="DO318" s="19"/>
      <c r="DP318" s="274"/>
      <c r="DQ318" s="19"/>
      <c r="DR318" s="19"/>
      <c r="DS318" s="19"/>
      <c r="DT318" s="19"/>
      <c r="DU318" s="274"/>
      <c r="DV318" s="19"/>
      <c r="DW318" s="19"/>
      <c r="DX318" s="19"/>
      <c r="DY318" s="19"/>
      <c r="DZ318" s="274"/>
      <c r="EA318" s="19"/>
      <c r="EB318" s="19"/>
      <c r="EC318" s="19"/>
      <c r="ED318" s="19"/>
      <c r="EE318" s="274"/>
      <c r="EF318" s="19"/>
      <c r="EG318" s="19"/>
      <c r="EH318" s="19"/>
      <c r="EI318" s="19"/>
      <c r="EJ318" s="274"/>
      <c r="EK318" s="19"/>
      <c r="EL318" s="19"/>
      <c r="EM318" s="19"/>
      <c r="EN318" s="19"/>
      <c r="EO318" s="244"/>
      <c r="ER318" s="451"/>
      <c r="ES318" s="451"/>
    </row>
    <row r="319" spans="4:149" ht="12.75" customHeight="1" x14ac:dyDescent="0.2">
      <c r="D319" s="244" t="s">
        <v>353</v>
      </c>
      <c r="G319" s="19">
        <f>SUM(G320:G320)</f>
        <v>0</v>
      </c>
      <c r="H319" s="19"/>
      <c r="I319" s="19"/>
      <c r="J319" s="274"/>
      <c r="K319" s="19"/>
      <c r="L319" s="19">
        <f>SUM(L320:L320)</f>
        <v>0</v>
      </c>
      <c r="M319" s="19"/>
      <c r="N319" s="19"/>
      <c r="O319" s="274"/>
      <c r="P319" s="19"/>
      <c r="Q319" s="19">
        <f>SUM(Q320:Q320)</f>
        <v>0</v>
      </c>
      <c r="R319" s="19"/>
      <c r="S319" s="19"/>
      <c r="T319" s="274"/>
      <c r="U319" s="19"/>
      <c r="V319" s="19">
        <f>SUM(V320:V320)</f>
        <v>0</v>
      </c>
      <c r="W319" s="19"/>
      <c r="X319" s="19"/>
      <c r="Y319" s="274"/>
      <c r="Z319" s="19"/>
      <c r="AA319" s="19">
        <f>SUM(AA320:AA320)</f>
        <v>0</v>
      </c>
      <c r="AB319" s="19"/>
      <c r="AC319" s="19"/>
      <c r="AD319" s="274"/>
      <c r="AE319" s="19"/>
      <c r="AF319" s="19">
        <f>SUM(AF320:AF320)</f>
        <v>0</v>
      </c>
      <c r="AG319" s="19"/>
      <c r="AH319" s="19"/>
      <c r="AI319" s="274"/>
      <c r="AJ319" s="19"/>
      <c r="AK319" s="19">
        <f>SUM(AK320:AK320)</f>
        <v>0</v>
      </c>
      <c r="AL319" s="19"/>
      <c r="AM319" s="19"/>
      <c r="AN319" s="274"/>
      <c r="AO319" s="19"/>
      <c r="AP319" s="19">
        <f>SUM(AP320:AP320)</f>
        <v>0</v>
      </c>
      <c r="AQ319" s="19"/>
      <c r="AR319" s="19"/>
      <c r="AS319" s="274"/>
      <c r="AT319" s="19"/>
      <c r="AU319" s="19">
        <f>SUM(AU320:AU320)</f>
        <v>0</v>
      </c>
      <c r="AV319" s="19"/>
      <c r="AW319" s="19"/>
      <c r="AX319" s="274"/>
      <c r="AY319" s="19"/>
      <c r="AZ319" s="19">
        <f>SUM(AZ320:AZ320)</f>
        <v>0</v>
      </c>
      <c r="BA319" s="19"/>
      <c r="BB319" s="19"/>
      <c r="BC319" s="274"/>
      <c r="BD319" s="19"/>
      <c r="BE319" s="19">
        <f>SUM(BE320:BE320)</f>
        <v>0</v>
      </c>
      <c r="BF319" s="19"/>
      <c r="BG319" s="19"/>
      <c r="BH319" s="274"/>
      <c r="BI319" s="19"/>
      <c r="BJ319" s="19">
        <f>SUM(BJ320:BJ320)</f>
        <v>322932</v>
      </c>
      <c r="BK319" s="19"/>
      <c r="BL319" s="19"/>
      <c r="BM319" s="274"/>
      <c r="BN319" s="19"/>
      <c r="BO319" s="19">
        <f>SUM(BO320:BO320)</f>
        <v>0</v>
      </c>
      <c r="BP319" s="19"/>
      <c r="BQ319" s="19"/>
      <c r="BR319" s="274"/>
      <c r="BS319" s="19"/>
      <c r="BT319" s="19">
        <f>SUM(BT320:BT320)</f>
        <v>322932</v>
      </c>
      <c r="BU319" s="19"/>
      <c r="BV319" s="19"/>
      <c r="BW319" s="274"/>
      <c r="BX319" s="19"/>
      <c r="BY319" s="19">
        <f>SUM(BY320:BY320)</f>
        <v>41033</v>
      </c>
      <c r="BZ319" s="19"/>
      <c r="CA319" s="19"/>
      <c r="CB319" s="274"/>
      <c r="CC319" s="19"/>
      <c r="CD319" s="19">
        <f>SUM(CD320:CD320)</f>
        <v>0</v>
      </c>
      <c r="CE319" s="19"/>
      <c r="CF319" s="19"/>
      <c r="CG319" s="274"/>
      <c r="CH319" s="19"/>
      <c r="CI319" s="19">
        <f>SUM(CI320:CI320)</f>
        <v>0</v>
      </c>
      <c r="CJ319" s="19"/>
      <c r="CK319" s="19"/>
      <c r="CL319" s="274"/>
      <c r="CM319" s="19"/>
      <c r="CN319" s="19">
        <f>SUM(CN320:CN320)</f>
        <v>0</v>
      </c>
      <c r="CO319" s="19"/>
      <c r="CP319" s="19"/>
      <c r="CQ319" s="274"/>
      <c r="CR319" s="19"/>
      <c r="CS319" s="19">
        <f>SUM(CS320:CS320)</f>
        <v>0</v>
      </c>
      <c r="CT319" s="19"/>
      <c r="CU319" s="19"/>
      <c r="CV319" s="274"/>
      <c r="CW319" s="19"/>
      <c r="CX319" s="19">
        <f>SUM(CX320:CX320)</f>
        <v>0</v>
      </c>
      <c r="CY319" s="19"/>
      <c r="CZ319" s="19"/>
      <c r="DA319" s="274"/>
      <c r="DB319" s="19"/>
      <c r="DC319" s="19">
        <f>SUM(DC320:DC320)</f>
        <v>0</v>
      </c>
      <c r="DD319" s="19"/>
      <c r="DE319" s="19"/>
      <c r="DF319" s="274"/>
      <c r="DG319" s="19"/>
      <c r="DH319" s="19">
        <f>SUM(DH320:DH320)</f>
        <v>0</v>
      </c>
      <c r="DI319" s="19"/>
      <c r="DJ319" s="19"/>
      <c r="DK319" s="274"/>
      <c r="DL319" s="19"/>
      <c r="DM319" s="19">
        <f>SUM(DM320:DM320)</f>
        <v>0</v>
      </c>
      <c r="DN319" s="19"/>
      <c r="DO319" s="19"/>
      <c r="DP319" s="274"/>
      <c r="DQ319" s="19"/>
      <c r="DR319" s="19">
        <f>SUM(DR320:DR320)</f>
        <v>0</v>
      </c>
      <c r="DS319" s="19"/>
      <c r="DT319" s="19"/>
      <c r="DU319" s="274"/>
      <c r="DV319" s="19"/>
      <c r="DW319" s="19">
        <f>SUM(DW320:DW320)</f>
        <v>0</v>
      </c>
      <c r="DX319" s="19"/>
      <c r="DY319" s="19"/>
      <c r="DZ319" s="274"/>
      <c r="EA319" s="19"/>
      <c r="EB319" s="19">
        <f>SUM(EB320:EB320)</f>
        <v>0</v>
      </c>
      <c r="EC319" s="19"/>
      <c r="ED319" s="19"/>
      <c r="EE319" s="274"/>
      <c r="EF319" s="19"/>
      <c r="EG319" s="19">
        <f>SUM(EG320:EG320)</f>
        <v>41033</v>
      </c>
      <c r="EH319" s="19"/>
      <c r="EI319" s="19"/>
      <c r="EJ319" s="274"/>
      <c r="EK319" s="19"/>
      <c r="EL319" s="19">
        <f>SUM(EL320:EL320)</f>
        <v>41033</v>
      </c>
      <c r="EM319" s="19"/>
      <c r="EN319" s="19"/>
      <c r="EO319" s="244"/>
      <c r="ER319" s="451"/>
      <c r="ES319" s="451"/>
    </row>
    <row r="320" spans="4:149" ht="12.75" customHeight="1" x14ac:dyDescent="0.2">
      <c r="D320" s="244" t="s">
        <v>344</v>
      </c>
      <c r="F320" s="91"/>
      <c r="G320" s="81">
        <v>0</v>
      </c>
      <c r="H320" s="49"/>
      <c r="I320" s="19"/>
      <c r="J320" s="274"/>
      <c r="K320" s="48"/>
      <c r="L320" s="81">
        <v>0</v>
      </c>
      <c r="M320" s="49"/>
      <c r="N320" s="19"/>
      <c r="O320" s="274"/>
      <c r="P320" s="48"/>
      <c r="Q320" s="81">
        <v>0</v>
      </c>
      <c r="R320" s="49"/>
      <c r="S320" s="19"/>
      <c r="T320" s="274"/>
      <c r="U320" s="48"/>
      <c r="V320" s="81">
        <v>0</v>
      </c>
      <c r="W320" s="49"/>
      <c r="X320" s="19"/>
      <c r="Y320" s="274"/>
      <c r="Z320" s="48"/>
      <c r="AA320" s="81">
        <v>0</v>
      </c>
      <c r="AB320" s="49"/>
      <c r="AC320" s="19"/>
      <c r="AD320" s="274"/>
      <c r="AE320" s="48"/>
      <c r="AF320" s="81">
        <v>0</v>
      </c>
      <c r="AG320" s="49"/>
      <c r="AH320" s="19"/>
      <c r="AI320" s="274"/>
      <c r="AJ320" s="48"/>
      <c r="AK320" s="81">
        <v>0</v>
      </c>
      <c r="AL320" s="49"/>
      <c r="AM320" s="19"/>
      <c r="AN320" s="274"/>
      <c r="AO320" s="48"/>
      <c r="AP320" s="81">
        <v>0</v>
      </c>
      <c r="AQ320" s="49"/>
      <c r="AR320" s="19"/>
      <c r="AS320" s="274"/>
      <c r="AT320" s="48"/>
      <c r="AU320" s="81">
        <v>0</v>
      </c>
      <c r="AV320" s="49"/>
      <c r="AW320" s="19"/>
      <c r="AX320" s="274"/>
      <c r="AY320" s="48"/>
      <c r="AZ320" s="81">
        <v>0</v>
      </c>
      <c r="BA320" s="49"/>
      <c r="BB320" s="19"/>
      <c r="BC320" s="274"/>
      <c r="BD320" s="48"/>
      <c r="BE320" s="81">
        <v>0</v>
      </c>
      <c r="BF320" s="49"/>
      <c r="BG320" s="19"/>
      <c r="BH320" s="274"/>
      <c r="BI320" s="48"/>
      <c r="BJ320" s="81">
        <v>322932</v>
      </c>
      <c r="BK320" s="49"/>
      <c r="BL320" s="19"/>
      <c r="BM320" s="274"/>
      <c r="BN320" s="48"/>
      <c r="BO320" s="81">
        <v>0</v>
      </c>
      <c r="BP320" s="49"/>
      <c r="BQ320" s="19"/>
      <c r="BR320" s="274"/>
      <c r="BS320" s="48"/>
      <c r="BT320" s="81">
        <f>SUM(L320:BO320)</f>
        <v>322932</v>
      </c>
      <c r="BU320" s="49"/>
      <c r="BV320" s="19"/>
      <c r="BW320" s="274"/>
      <c r="BX320" s="48"/>
      <c r="BY320" s="81">
        <v>41033</v>
      </c>
      <c r="BZ320" s="49"/>
      <c r="CA320" s="19"/>
      <c r="CB320" s="274"/>
      <c r="CC320" s="48"/>
      <c r="CD320" s="81">
        <v>0</v>
      </c>
      <c r="CE320" s="49"/>
      <c r="CF320" s="19"/>
      <c r="CG320" s="274"/>
      <c r="CH320" s="48"/>
      <c r="CI320" s="81">
        <v>0</v>
      </c>
      <c r="CJ320" s="49"/>
      <c r="CK320" s="19"/>
      <c r="CL320" s="274"/>
      <c r="CM320" s="48"/>
      <c r="CN320" s="81">
        <v>0</v>
      </c>
      <c r="CO320" s="49"/>
      <c r="CP320" s="19"/>
      <c r="CQ320" s="274"/>
      <c r="CR320" s="48"/>
      <c r="CS320" s="81">
        <v>0</v>
      </c>
      <c r="CT320" s="49"/>
      <c r="CU320" s="19"/>
      <c r="CV320" s="274"/>
      <c r="CW320" s="48"/>
      <c r="CX320" s="81">
        <v>0</v>
      </c>
      <c r="CY320" s="49"/>
      <c r="CZ320" s="19"/>
      <c r="DA320" s="274"/>
      <c r="DB320" s="48"/>
      <c r="DC320" s="81">
        <v>0</v>
      </c>
      <c r="DD320" s="49"/>
      <c r="DE320" s="19"/>
      <c r="DF320" s="274"/>
      <c r="DG320" s="48"/>
      <c r="DH320" s="81">
        <v>0</v>
      </c>
      <c r="DI320" s="49"/>
      <c r="DJ320" s="19"/>
      <c r="DK320" s="274"/>
      <c r="DL320" s="48"/>
      <c r="DM320" s="81">
        <v>0</v>
      </c>
      <c r="DN320" s="49"/>
      <c r="DO320" s="19"/>
      <c r="DP320" s="274"/>
      <c r="DQ320" s="48"/>
      <c r="DR320" s="81">
        <v>0</v>
      </c>
      <c r="DS320" s="49"/>
      <c r="DT320" s="19"/>
      <c r="DU320" s="274"/>
      <c r="DV320" s="48"/>
      <c r="DW320" s="81">
        <v>0</v>
      </c>
      <c r="DX320" s="49"/>
      <c r="DY320" s="19"/>
      <c r="DZ320" s="274"/>
      <c r="EA320" s="48"/>
      <c r="EB320" s="81">
        <v>0</v>
      </c>
      <c r="EC320" s="49"/>
      <c r="ED320" s="19"/>
      <c r="EE320" s="274"/>
      <c r="EF320" s="48"/>
      <c r="EG320" s="81">
        <v>41033</v>
      </c>
      <c r="EH320" s="49"/>
      <c r="EI320" s="19"/>
      <c r="EJ320" s="274"/>
      <c r="EK320" s="48"/>
      <c r="EL320" s="81">
        <f>SUM(CD320:EG320)</f>
        <v>41033</v>
      </c>
      <c r="EM320" s="49"/>
      <c r="EN320" s="19"/>
      <c r="EO320" s="244"/>
      <c r="ER320" s="451"/>
      <c r="ES320" s="451"/>
    </row>
    <row r="321" spans="4:149" ht="12.75" hidden="1" customHeight="1" x14ac:dyDescent="0.2">
      <c r="D321" s="244"/>
      <c r="G321" s="19"/>
      <c r="H321" s="19"/>
      <c r="I321" s="19"/>
      <c r="J321" s="274"/>
      <c r="K321" s="19"/>
      <c r="L321" s="19"/>
      <c r="M321" s="19"/>
      <c r="N321" s="19"/>
      <c r="O321" s="274"/>
      <c r="P321" s="19"/>
      <c r="Q321" s="19"/>
      <c r="R321" s="19"/>
      <c r="S321" s="19"/>
      <c r="T321" s="274"/>
      <c r="U321" s="19"/>
      <c r="V321" s="19"/>
      <c r="W321" s="19"/>
      <c r="X321" s="19"/>
      <c r="Y321" s="274"/>
      <c r="Z321" s="19"/>
      <c r="AA321" s="19"/>
      <c r="AB321" s="19"/>
      <c r="AC321" s="19"/>
      <c r="AD321" s="274"/>
      <c r="AE321" s="19"/>
      <c r="AF321" s="19"/>
      <c r="AG321" s="19"/>
      <c r="AH321" s="19"/>
      <c r="AI321" s="274"/>
      <c r="AJ321" s="19"/>
      <c r="AK321" s="19"/>
      <c r="AL321" s="19"/>
      <c r="AM321" s="19"/>
      <c r="AN321" s="274"/>
      <c r="AO321" s="19"/>
      <c r="AP321" s="19"/>
      <c r="AQ321" s="19"/>
      <c r="AR321" s="19"/>
      <c r="AS321" s="274"/>
      <c r="AT321" s="19"/>
      <c r="AU321" s="19"/>
      <c r="AV321" s="19"/>
      <c r="AW321" s="19"/>
      <c r="AX321" s="274"/>
      <c r="AY321" s="19"/>
      <c r="AZ321" s="19"/>
      <c r="BA321" s="19"/>
      <c r="BB321" s="19"/>
      <c r="BC321" s="274"/>
      <c r="BD321" s="19"/>
      <c r="BE321" s="19"/>
      <c r="BF321" s="19"/>
      <c r="BG321" s="19"/>
      <c r="BH321" s="274"/>
      <c r="BI321" s="19"/>
      <c r="BJ321" s="19"/>
      <c r="BK321" s="19"/>
      <c r="BL321" s="19"/>
      <c r="BM321" s="274"/>
      <c r="BN321" s="19"/>
      <c r="BO321" s="19"/>
      <c r="BP321" s="19"/>
      <c r="BQ321" s="19"/>
      <c r="BR321" s="274"/>
      <c r="BS321" s="19"/>
      <c r="BT321" s="19"/>
      <c r="BU321" s="19"/>
      <c r="BV321" s="19"/>
      <c r="BW321" s="274"/>
      <c r="BX321" s="19"/>
      <c r="BY321" s="19"/>
      <c r="BZ321" s="19"/>
      <c r="CA321" s="19"/>
      <c r="CB321" s="274"/>
      <c r="CC321" s="19"/>
      <c r="CD321" s="19"/>
      <c r="CE321" s="19"/>
      <c r="CF321" s="19"/>
      <c r="CG321" s="274"/>
      <c r="CH321" s="19"/>
      <c r="CI321" s="19"/>
      <c r="CJ321" s="19"/>
      <c r="CK321" s="19"/>
      <c r="CL321" s="274"/>
      <c r="CM321" s="19"/>
      <c r="CN321" s="19"/>
      <c r="CO321" s="19"/>
      <c r="CP321" s="19"/>
      <c r="CQ321" s="274"/>
      <c r="CR321" s="19"/>
      <c r="CS321" s="19"/>
      <c r="CT321" s="19"/>
      <c r="CU321" s="19"/>
      <c r="CV321" s="274"/>
      <c r="CW321" s="19"/>
      <c r="CX321" s="19"/>
      <c r="CY321" s="19"/>
      <c r="CZ321" s="19"/>
      <c r="DA321" s="274"/>
      <c r="DB321" s="19"/>
      <c r="DC321" s="19"/>
      <c r="DD321" s="19"/>
      <c r="DE321" s="19"/>
      <c r="DF321" s="274"/>
      <c r="DG321" s="19"/>
      <c r="DH321" s="19"/>
      <c r="DI321" s="19"/>
      <c r="DJ321" s="19"/>
      <c r="DK321" s="274"/>
      <c r="DL321" s="19"/>
      <c r="DM321" s="19"/>
      <c r="DN321" s="19"/>
      <c r="DO321" s="19"/>
      <c r="DP321" s="274"/>
      <c r="DQ321" s="19"/>
      <c r="DR321" s="19"/>
      <c r="DS321" s="19"/>
      <c r="DT321" s="19"/>
      <c r="DU321" s="274"/>
      <c r="DV321" s="19"/>
      <c r="DW321" s="19"/>
      <c r="DX321" s="19"/>
      <c r="DY321" s="19"/>
      <c r="DZ321" s="274"/>
      <c r="EA321" s="19"/>
      <c r="EB321" s="19"/>
      <c r="EC321" s="19"/>
      <c r="ED321" s="19"/>
      <c r="EE321" s="274"/>
      <c r="EF321" s="19"/>
      <c r="EG321" s="19"/>
      <c r="EH321" s="19"/>
      <c r="EI321" s="19"/>
      <c r="EJ321" s="274"/>
      <c r="EK321" s="19"/>
      <c r="EL321" s="19"/>
      <c r="EM321" s="19"/>
      <c r="EN321" s="19"/>
      <c r="EO321" s="244"/>
      <c r="ER321" s="451"/>
      <c r="ES321" s="451"/>
    </row>
    <row r="322" spans="4:149" ht="12.75" hidden="1" customHeight="1" x14ac:dyDescent="0.2">
      <c r="D322" s="244" t="s">
        <v>409</v>
      </c>
      <c r="G322" s="19">
        <f>SUM(G323:G323)</f>
        <v>0</v>
      </c>
      <c r="H322" s="19"/>
      <c r="I322" s="19"/>
      <c r="J322" s="274"/>
      <c r="K322" s="19"/>
      <c r="L322" s="19">
        <f>SUM(L323:L323)</f>
        <v>0</v>
      </c>
      <c r="M322" s="19"/>
      <c r="N322" s="19"/>
      <c r="O322" s="274"/>
      <c r="P322" s="19"/>
      <c r="Q322" s="19">
        <f>SUM(Q323:Q323)</f>
        <v>0</v>
      </c>
      <c r="R322" s="19"/>
      <c r="S322" s="19"/>
      <c r="T322" s="274"/>
      <c r="U322" s="19"/>
      <c r="V322" s="19">
        <f>SUM(V323:V323)</f>
        <v>0</v>
      </c>
      <c r="W322" s="19"/>
      <c r="X322" s="19"/>
      <c r="Y322" s="274"/>
      <c r="Z322" s="19"/>
      <c r="AA322" s="19">
        <f>SUM(AA323:AA323)</f>
        <v>0</v>
      </c>
      <c r="AB322" s="19"/>
      <c r="AC322" s="19"/>
      <c r="AD322" s="274"/>
      <c r="AE322" s="19"/>
      <c r="AF322" s="19">
        <f>SUM(AF323:AF323)</f>
        <v>0</v>
      </c>
      <c r="AG322" s="19"/>
      <c r="AH322" s="19"/>
      <c r="AI322" s="274"/>
      <c r="AJ322" s="19"/>
      <c r="AK322" s="19">
        <f>SUM(AK323:AK323)</f>
        <v>0</v>
      </c>
      <c r="AL322" s="19"/>
      <c r="AM322" s="19"/>
      <c r="AN322" s="274"/>
      <c r="AO322" s="19"/>
      <c r="AP322" s="19">
        <f>SUM(AP323:AP323)</f>
        <v>0</v>
      </c>
      <c r="AQ322" s="19"/>
      <c r="AR322" s="19"/>
      <c r="AS322" s="274"/>
      <c r="AT322" s="19"/>
      <c r="AU322" s="19">
        <f>SUM(AU323:AU323)</f>
        <v>0</v>
      </c>
      <c r="AV322" s="19"/>
      <c r="AW322" s="19"/>
      <c r="AX322" s="274"/>
      <c r="AY322" s="19"/>
      <c r="AZ322" s="19">
        <f>SUM(AZ323:AZ323)</f>
        <v>0</v>
      </c>
      <c r="BA322" s="19"/>
      <c r="BB322" s="19"/>
      <c r="BC322" s="274"/>
      <c r="BD322" s="19"/>
      <c r="BE322" s="19">
        <f>SUM(BE323:BE323)</f>
        <v>0</v>
      </c>
      <c r="BF322" s="19"/>
      <c r="BG322" s="19"/>
      <c r="BH322" s="274"/>
      <c r="BI322" s="19"/>
      <c r="BJ322" s="19">
        <f>SUM(BJ323:BJ323)</f>
        <v>0</v>
      </c>
      <c r="BK322" s="19"/>
      <c r="BL322" s="19"/>
      <c r="BM322" s="274"/>
      <c r="BN322" s="19"/>
      <c r="BO322" s="19">
        <f>SUM(BO323:BO323)</f>
        <v>0</v>
      </c>
      <c r="BP322" s="19"/>
      <c r="BQ322" s="19"/>
      <c r="BR322" s="274"/>
      <c r="BS322" s="19"/>
      <c r="BT322" s="19">
        <f>SUM(BT323:BT323)</f>
        <v>0</v>
      </c>
      <c r="BU322" s="19"/>
      <c r="BV322" s="19"/>
      <c r="BW322" s="274"/>
      <c r="BX322" s="19"/>
      <c r="BY322" s="19">
        <f>SUM(BY323:BY323)</f>
        <v>0</v>
      </c>
      <c r="BZ322" s="19"/>
      <c r="CA322" s="19"/>
      <c r="CB322" s="274"/>
      <c r="CC322" s="19"/>
      <c r="CD322" s="19">
        <f>SUM(CD323:CD323)</f>
        <v>0</v>
      </c>
      <c r="CE322" s="19"/>
      <c r="CF322" s="19"/>
      <c r="CG322" s="274"/>
      <c r="CH322" s="19"/>
      <c r="CI322" s="19">
        <f>SUM(CI323:CI323)</f>
        <v>0</v>
      </c>
      <c r="CJ322" s="19"/>
      <c r="CK322" s="19"/>
      <c r="CL322" s="274"/>
      <c r="CM322" s="19"/>
      <c r="CN322" s="19">
        <f>SUM(CN323:CN323)</f>
        <v>0</v>
      </c>
      <c r="CO322" s="19"/>
      <c r="CP322" s="19"/>
      <c r="CQ322" s="274"/>
      <c r="CR322" s="19"/>
      <c r="CS322" s="19">
        <f>SUM(CS323:CS323)</f>
        <v>0</v>
      </c>
      <c r="CT322" s="19"/>
      <c r="CU322" s="19"/>
      <c r="CV322" s="274"/>
      <c r="CW322" s="19"/>
      <c r="CX322" s="19">
        <f>SUM(CX323:CX323)</f>
        <v>0</v>
      </c>
      <c r="CY322" s="19"/>
      <c r="CZ322" s="19"/>
      <c r="DA322" s="274"/>
      <c r="DB322" s="19"/>
      <c r="DC322" s="19">
        <f>SUM(DC323:DC323)</f>
        <v>0</v>
      </c>
      <c r="DD322" s="19"/>
      <c r="DE322" s="19"/>
      <c r="DF322" s="274"/>
      <c r="DG322" s="19"/>
      <c r="DH322" s="19">
        <f>SUM(DH323:DH323)</f>
        <v>0</v>
      </c>
      <c r="DI322" s="19"/>
      <c r="DJ322" s="19"/>
      <c r="DK322" s="274"/>
      <c r="DL322" s="19"/>
      <c r="DM322" s="19">
        <f>SUM(DM323:DM323)</f>
        <v>0</v>
      </c>
      <c r="DN322" s="19"/>
      <c r="DO322" s="19"/>
      <c r="DP322" s="274"/>
      <c r="DQ322" s="19"/>
      <c r="DR322" s="19">
        <f>SUM(DR323:DR323)</f>
        <v>0</v>
      </c>
      <c r="DS322" s="19"/>
      <c r="DT322" s="19"/>
      <c r="DU322" s="274"/>
      <c r="DV322" s="19"/>
      <c r="DW322" s="19">
        <f>SUM(DW323:DW323)</f>
        <v>0</v>
      </c>
      <c r="DX322" s="19"/>
      <c r="DY322" s="19"/>
      <c r="DZ322" s="274"/>
      <c r="EA322" s="19"/>
      <c r="EB322" s="19">
        <f>SUM(EB323:EB323)</f>
        <v>0</v>
      </c>
      <c r="EC322" s="19"/>
      <c r="ED322" s="19"/>
      <c r="EE322" s="274"/>
      <c r="EF322" s="19"/>
      <c r="EG322" s="19">
        <f>SUM(EG323:EG323)</f>
        <v>0</v>
      </c>
      <c r="EH322" s="19"/>
      <c r="EI322" s="19"/>
      <c r="EJ322" s="274"/>
      <c r="EK322" s="19"/>
      <c r="EL322" s="19">
        <f>SUM(EL323:EL323)</f>
        <v>0</v>
      </c>
      <c r="EM322" s="19"/>
      <c r="EN322" s="19"/>
      <c r="EO322" s="244"/>
      <c r="ER322" s="451"/>
      <c r="ES322" s="451"/>
    </row>
    <row r="323" spans="4:149" ht="12.75" hidden="1" customHeight="1" x14ac:dyDescent="0.2">
      <c r="D323" s="244" t="s">
        <v>344</v>
      </c>
      <c r="F323" s="91"/>
      <c r="G323" s="81">
        <v>0</v>
      </c>
      <c r="H323" s="49"/>
      <c r="I323" s="19"/>
      <c r="J323" s="274"/>
      <c r="K323" s="48"/>
      <c r="L323" s="81">
        <v>0</v>
      </c>
      <c r="M323" s="49"/>
      <c r="N323" s="19"/>
      <c r="O323" s="274"/>
      <c r="P323" s="48"/>
      <c r="Q323" s="81">
        <v>0</v>
      </c>
      <c r="R323" s="49"/>
      <c r="S323" s="19"/>
      <c r="T323" s="274"/>
      <c r="U323" s="48"/>
      <c r="V323" s="81">
        <v>0</v>
      </c>
      <c r="W323" s="49"/>
      <c r="X323" s="19"/>
      <c r="Y323" s="274"/>
      <c r="Z323" s="48"/>
      <c r="AA323" s="81">
        <v>0</v>
      </c>
      <c r="AB323" s="49"/>
      <c r="AC323" s="19"/>
      <c r="AD323" s="274"/>
      <c r="AE323" s="48"/>
      <c r="AF323" s="81">
        <v>0</v>
      </c>
      <c r="AG323" s="49"/>
      <c r="AH323" s="19"/>
      <c r="AI323" s="274"/>
      <c r="AJ323" s="48"/>
      <c r="AK323" s="81">
        <v>0</v>
      </c>
      <c r="AL323" s="49"/>
      <c r="AM323" s="19"/>
      <c r="AN323" s="274"/>
      <c r="AO323" s="48"/>
      <c r="AP323" s="81">
        <v>0</v>
      </c>
      <c r="AQ323" s="49"/>
      <c r="AR323" s="19"/>
      <c r="AS323" s="274"/>
      <c r="AT323" s="48"/>
      <c r="AU323" s="81">
        <v>0</v>
      </c>
      <c r="AV323" s="49"/>
      <c r="AW323" s="19"/>
      <c r="AX323" s="274"/>
      <c r="AY323" s="48"/>
      <c r="AZ323" s="81">
        <v>0</v>
      </c>
      <c r="BA323" s="49"/>
      <c r="BB323" s="19"/>
      <c r="BC323" s="274"/>
      <c r="BD323" s="48"/>
      <c r="BE323" s="81">
        <v>0</v>
      </c>
      <c r="BF323" s="49"/>
      <c r="BG323" s="19"/>
      <c r="BH323" s="274"/>
      <c r="BI323" s="48"/>
      <c r="BJ323" s="81">
        <v>0</v>
      </c>
      <c r="BK323" s="49"/>
      <c r="BL323" s="19"/>
      <c r="BM323" s="274"/>
      <c r="BN323" s="48"/>
      <c r="BO323" s="81">
        <v>0</v>
      </c>
      <c r="BP323" s="49"/>
      <c r="BQ323" s="19"/>
      <c r="BR323" s="274"/>
      <c r="BS323" s="48"/>
      <c r="BT323" s="81">
        <f>SUM(L323:BO323)</f>
        <v>0</v>
      </c>
      <c r="BU323" s="49"/>
      <c r="BV323" s="19"/>
      <c r="BW323" s="274"/>
      <c r="BX323" s="48"/>
      <c r="BY323" s="81">
        <v>0</v>
      </c>
      <c r="BZ323" s="49"/>
      <c r="CA323" s="19"/>
      <c r="CB323" s="274"/>
      <c r="CC323" s="48"/>
      <c r="CD323" s="81">
        <v>0</v>
      </c>
      <c r="CE323" s="49"/>
      <c r="CF323" s="19"/>
      <c r="CG323" s="274"/>
      <c r="CH323" s="48"/>
      <c r="CI323" s="81">
        <v>0</v>
      </c>
      <c r="CJ323" s="49"/>
      <c r="CK323" s="19"/>
      <c r="CL323" s="274"/>
      <c r="CM323" s="48"/>
      <c r="CN323" s="81">
        <v>0</v>
      </c>
      <c r="CO323" s="49"/>
      <c r="CP323" s="19"/>
      <c r="CQ323" s="274"/>
      <c r="CR323" s="48"/>
      <c r="CS323" s="81">
        <v>0</v>
      </c>
      <c r="CT323" s="49"/>
      <c r="CU323" s="19"/>
      <c r="CV323" s="274"/>
      <c r="CW323" s="48"/>
      <c r="CX323" s="81">
        <v>0</v>
      </c>
      <c r="CY323" s="49"/>
      <c r="CZ323" s="19"/>
      <c r="DA323" s="274"/>
      <c r="DB323" s="48"/>
      <c r="DC323" s="81">
        <v>0</v>
      </c>
      <c r="DD323" s="49"/>
      <c r="DE323" s="19"/>
      <c r="DF323" s="274"/>
      <c r="DG323" s="48"/>
      <c r="DH323" s="81">
        <v>0</v>
      </c>
      <c r="DI323" s="49"/>
      <c r="DJ323" s="19"/>
      <c r="DK323" s="274"/>
      <c r="DL323" s="48"/>
      <c r="DM323" s="81">
        <v>0</v>
      </c>
      <c r="DN323" s="49"/>
      <c r="DO323" s="19"/>
      <c r="DP323" s="274"/>
      <c r="DQ323" s="48"/>
      <c r="DR323" s="81">
        <v>0</v>
      </c>
      <c r="DS323" s="49"/>
      <c r="DT323" s="19"/>
      <c r="DU323" s="274"/>
      <c r="DV323" s="48"/>
      <c r="DW323" s="81">
        <v>0</v>
      </c>
      <c r="DX323" s="49"/>
      <c r="DY323" s="19"/>
      <c r="DZ323" s="274"/>
      <c r="EA323" s="48"/>
      <c r="EB323" s="81">
        <v>0</v>
      </c>
      <c r="EC323" s="49"/>
      <c r="ED323" s="19"/>
      <c r="EE323" s="274"/>
      <c r="EF323" s="48"/>
      <c r="EG323" s="81">
        <v>0</v>
      </c>
      <c r="EH323" s="49"/>
      <c r="EI323" s="19"/>
      <c r="EJ323" s="274"/>
      <c r="EK323" s="48"/>
      <c r="EL323" s="81">
        <f>SUM(CD323:EG323)</f>
        <v>0</v>
      </c>
      <c r="EM323" s="49"/>
      <c r="EN323" s="19"/>
      <c r="EO323" s="244"/>
      <c r="ER323" s="451"/>
      <c r="ES323" s="451"/>
    </row>
    <row r="324" spans="4:149" ht="12.75" hidden="1" customHeight="1" x14ac:dyDescent="0.2">
      <c r="D324" s="244"/>
      <c r="G324" s="19"/>
      <c r="H324" s="19"/>
      <c r="I324" s="19"/>
      <c r="J324" s="274"/>
      <c r="K324" s="19"/>
      <c r="L324" s="19"/>
      <c r="M324" s="19"/>
      <c r="N324" s="19"/>
      <c r="O324" s="274"/>
      <c r="P324" s="19"/>
      <c r="Q324" s="19"/>
      <c r="R324" s="19"/>
      <c r="S324" s="19"/>
      <c r="T324" s="274"/>
      <c r="U324" s="19"/>
      <c r="V324" s="19"/>
      <c r="W324" s="19"/>
      <c r="X324" s="19"/>
      <c r="Y324" s="274"/>
      <c r="Z324" s="19"/>
      <c r="AA324" s="19"/>
      <c r="AB324" s="19"/>
      <c r="AC324" s="19"/>
      <c r="AD324" s="274"/>
      <c r="AE324" s="19"/>
      <c r="AF324" s="19"/>
      <c r="AG324" s="19"/>
      <c r="AH324" s="19"/>
      <c r="AI324" s="274"/>
      <c r="AJ324" s="19"/>
      <c r="AK324" s="19"/>
      <c r="AL324" s="19"/>
      <c r="AM324" s="19"/>
      <c r="AN324" s="274"/>
      <c r="AO324" s="19"/>
      <c r="AP324" s="19"/>
      <c r="AQ324" s="19"/>
      <c r="AR324" s="19"/>
      <c r="AS324" s="274"/>
      <c r="AT324" s="19"/>
      <c r="AU324" s="19"/>
      <c r="AV324" s="19"/>
      <c r="AW324" s="19"/>
      <c r="AX324" s="274"/>
      <c r="AY324" s="19"/>
      <c r="AZ324" s="19"/>
      <c r="BA324" s="19"/>
      <c r="BB324" s="19"/>
      <c r="BC324" s="274"/>
      <c r="BD324" s="19"/>
      <c r="BE324" s="19"/>
      <c r="BF324" s="19"/>
      <c r="BG324" s="19"/>
      <c r="BH324" s="274"/>
      <c r="BI324" s="19"/>
      <c r="BJ324" s="19"/>
      <c r="BK324" s="19"/>
      <c r="BL324" s="19"/>
      <c r="BM324" s="274"/>
      <c r="BN324" s="19"/>
      <c r="BO324" s="19"/>
      <c r="BP324" s="19"/>
      <c r="BQ324" s="19"/>
      <c r="BR324" s="274"/>
      <c r="BS324" s="19"/>
      <c r="BT324" s="19"/>
      <c r="BU324" s="19"/>
      <c r="BV324" s="19"/>
      <c r="BW324" s="274"/>
      <c r="BX324" s="19"/>
      <c r="BY324" s="19"/>
      <c r="BZ324" s="19"/>
      <c r="CA324" s="19"/>
      <c r="CB324" s="274"/>
      <c r="CC324" s="19"/>
      <c r="CD324" s="19"/>
      <c r="CE324" s="19"/>
      <c r="CF324" s="19"/>
      <c r="CG324" s="274"/>
      <c r="CH324" s="19"/>
      <c r="CI324" s="19"/>
      <c r="CJ324" s="19"/>
      <c r="CK324" s="19"/>
      <c r="CL324" s="274"/>
      <c r="CM324" s="19"/>
      <c r="CN324" s="19"/>
      <c r="CO324" s="19"/>
      <c r="CP324" s="19"/>
      <c r="CQ324" s="274"/>
      <c r="CR324" s="19"/>
      <c r="CS324" s="19"/>
      <c r="CT324" s="19"/>
      <c r="CU324" s="19"/>
      <c r="CV324" s="274"/>
      <c r="CW324" s="19"/>
      <c r="CX324" s="19"/>
      <c r="CY324" s="19"/>
      <c r="CZ324" s="19"/>
      <c r="DA324" s="274"/>
      <c r="DB324" s="19"/>
      <c r="DC324" s="19"/>
      <c r="DD324" s="19"/>
      <c r="DE324" s="19"/>
      <c r="DF324" s="274"/>
      <c r="DG324" s="19"/>
      <c r="DH324" s="19"/>
      <c r="DI324" s="19"/>
      <c r="DJ324" s="19"/>
      <c r="DK324" s="274"/>
      <c r="DL324" s="19"/>
      <c r="DM324" s="19"/>
      <c r="DN324" s="19"/>
      <c r="DO324" s="19"/>
      <c r="DP324" s="274"/>
      <c r="DQ324" s="19"/>
      <c r="DR324" s="19"/>
      <c r="DS324" s="19"/>
      <c r="DT324" s="19"/>
      <c r="DU324" s="274"/>
      <c r="DV324" s="19"/>
      <c r="DW324" s="19"/>
      <c r="DX324" s="19"/>
      <c r="DY324" s="19"/>
      <c r="DZ324" s="274"/>
      <c r="EA324" s="19"/>
      <c r="EB324" s="19"/>
      <c r="EC324" s="19"/>
      <c r="ED324" s="19"/>
      <c r="EE324" s="274"/>
      <c r="EF324" s="19"/>
      <c r="EG324" s="19"/>
      <c r="EH324" s="19"/>
      <c r="EI324" s="19"/>
      <c r="EJ324" s="274"/>
      <c r="EK324" s="19"/>
      <c r="EL324" s="19"/>
      <c r="EM324" s="19"/>
      <c r="EN324" s="19"/>
      <c r="EO324" s="244"/>
      <c r="ER324" s="451"/>
      <c r="ES324" s="451"/>
    </row>
    <row r="325" spans="4:149" ht="12.75" hidden="1" customHeight="1" x14ac:dyDescent="0.2">
      <c r="D325" s="244" t="s">
        <v>364</v>
      </c>
      <c r="G325" s="19">
        <f>SUM(G326:G326)</f>
        <v>0</v>
      </c>
      <c r="H325" s="19"/>
      <c r="I325" s="19"/>
      <c r="J325" s="274"/>
      <c r="K325" s="19"/>
      <c r="L325" s="19">
        <f>SUM(L326:L326)</f>
        <v>0</v>
      </c>
      <c r="M325" s="19"/>
      <c r="N325" s="19"/>
      <c r="O325" s="274"/>
      <c r="P325" s="19"/>
      <c r="Q325" s="19">
        <f>SUM(Q326:Q326)</f>
        <v>0</v>
      </c>
      <c r="R325" s="19"/>
      <c r="S325" s="19"/>
      <c r="T325" s="274"/>
      <c r="U325" s="19"/>
      <c r="V325" s="19">
        <f>SUM(V326:V326)</f>
        <v>0</v>
      </c>
      <c r="W325" s="19"/>
      <c r="X325" s="19"/>
      <c r="Y325" s="274"/>
      <c r="Z325" s="19"/>
      <c r="AA325" s="19">
        <f>SUM(AA326:AA326)</f>
        <v>0</v>
      </c>
      <c r="AB325" s="19"/>
      <c r="AC325" s="19"/>
      <c r="AD325" s="274"/>
      <c r="AE325" s="19"/>
      <c r="AF325" s="19">
        <f>SUM(AF326:AF326)</f>
        <v>0</v>
      </c>
      <c r="AG325" s="19"/>
      <c r="AH325" s="19"/>
      <c r="AI325" s="274"/>
      <c r="AJ325" s="19"/>
      <c r="AK325" s="19">
        <f>SUM(AK326:AK326)</f>
        <v>0</v>
      </c>
      <c r="AL325" s="19"/>
      <c r="AM325" s="19"/>
      <c r="AN325" s="274"/>
      <c r="AO325" s="19"/>
      <c r="AP325" s="19">
        <f>SUM(AP326:AP326)</f>
        <v>0</v>
      </c>
      <c r="AQ325" s="19"/>
      <c r="AR325" s="19"/>
      <c r="AS325" s="274"/>
      <c r="AT325" s="19"/>
      <c r="AU325" s="19">
        <f>SUM(AU326:AU326)</f>
        <v>0</v>
      </c>
      <c r="AV325" s="19"/>
      <c r="AW325" s="19"/>
      <c r="AX325" s="274"/>
      <c r="AY325" s="19"/>
      <c r="AZ325" s="19">
        <f>SUM(AZ326:AZ326)</f>
        <v>0</v>
      </c>
      <c r="BA325" s="19"/>
      <c r="BB325" s="19"/>
      <c r="BC325" s="274"/>
      <c r="BD325" s="19"/>
      <c r="BE325" s="19">
        <f>SUM(BE326:BE326)</f>
        <v>0</v>
      </c>
      <c r="BF325" s="19"/>
      <c r="BG325" s="19"/>
      <c r="BH325" s="274"/>
      <c r="BI325" s="19"/>
      <c r="BJ325" s="19">
        <f>SUM(BJ326:BJ326)</f>
        <v>0</v>
      </c>
      <c r="BK325" s="19"/>
      <c r="BL325" s="19"/>
      <c r="BM325" s="274"/>
      <c r="BN325" s="19"/>
      <c r="BO325" s="19">
        <f>SUM(BO326:BO326)</f>
        <v>0</v>
      </c>
      <c r="BP325" s="19"/>
      <c r="BQ325" s="19"/>
      <c r="BR325" s="274"/>
      <c r="BS325" s="19"/>
      <c r="BT325" s="19">
        <f>SUM(BT326:BT326)</f>
        <v>0</v>
      </c>
      <c r="BU325" s="19"/>
      <c r="BV325" s="19"/>
      <c r="BW325" s="274"/>
      <c r="BX325" s="19"/>
      <c r="BY325" s="19">
        <f>SUM(BY326:BY326)</f>
        <v>0</v>
      </c>
      <c r="BZ325" s="19"/>
      <c r="CA325" s="19"/>
      <c r="CB325" s="274"/>
      <c r="CC325" s="19"/>
      <c r="CD325" s="19">
        <f>SUM(CD326:CD326)</f>
        <v>0</v>
      </c>
      <c r="CE325" s="19"/>
      <c r="CF325" s="19"/>
      <c r="CG325" s="274"/>
      <c r="CH325" s="19"/>
      <c r="CI325" s="19">
        <f>SUM(CI326:CI326)</f>
        <v>0</v>
      </c>
      <c r="CJ325" s="19"/>
      <c r="CK325" s="19"/>
      <c r="CL325" s="274"/>
      <c r="CM325" s="19"/>
      <c r="CN325" s="19">
        <f>SUM(CN326:CN326)</f>
        <v>0</v>
      </c>
      <c r="CO325" s="19"/>
      <c r="CP325" s="19"/>
      <c r="CQ325" s="274"/>
      <c r="CR325" s="19"/>
      <c r="CS325" s="19">
        <f>SUM(CS326:CS326)</f>
        <v>0</v>
      </c>
      <c r="CT325" s="19"/>
      <c r="CU325" s="19"/>
      <c r="CV325" s="274"/>
      <c r="CW325" s="19"/>
      <c r="CX325" s="19">
        <f>SUM(CX326:CX326)</f>
        <v>0</v>
      </c>
      <c r="CY325" s="19"/>
      <c r="CZ325" s="19"/>
      <c r="DA325" s="274"/>
      <c r="DB325" s="19"/>
      <c r="DC325" s="19">
        <f>SUM(DC326:DC326)</f>
        <v>0</v>
      </c>
      <c r="DD325" s="19"/>
      <c r="DE325" s="19"/>
      <c r="DF325" s="274"/>
      <c r="DG325" s="19"/>
      <c r="DH325" s="19">
        <f>SUM(DH326:DH326)</f>
        <v>0</v>
      </c>
      <c r="DI325" s="19"/>
      <c r="DJ325" s="19"/>
      <c r="DK325" s="274"/>
      <c r="DL325" s="19"/>
      <c r="DM325" s="19">
        <f>SUM(DM326:DM326)</f>
        <v>0</v>
      </c>
      <c r="DN325" s="19"/>
      <c r="DO325" s="19"/>
      <c r="DP325" s="274"/>
      <c r="DQ325" s="19"/>
      <c r="DR325" s="19">
        <f>SUM(DR326:DR326)</f>
        <v>0</v>
      </c>
      <c r="DS325" s="19"/>
      <c r="DT325" s="19"/>
      <c r="DU325" s="274"/>
      <c r="DV325" s="19"/>
      <c r="DW325" s="19">
        <f>SUM(DW326:DW326)</f>
        <v>0</v>
      </c>
      <c r="DX325" s="19"/>
      <c r="DY325" s="19"/>
      <c r="DZ325" s="274"/>
      <c r="EA325" s="19"/>
      <c r="EB325" s="19">
        <f>SUM(EB326:EB326)</f>
        <v>0</v>
      </c>
      <c r="EC325" s="19"/>
      <c r="ED325" s="19"/>
      <c r="EE325" s="274"/>
      <c r="EF325" s="19"/>
      <c r="EG325" s="19">
        <f>SUM(EG326:EG326)</f>
        <v>0</v>
      </c>
      <c r="EH325" s="19"/>
      <c r="EI325" s="19"/>
      <c r="EJ325" s="274"/>
      <c r="EK325" s="19"/>
      <c r="EL325" s="19">
        <f>SUM(EL326:EL326)</f>
        <v>0</v>
      </c>
      <c r="EM325" s="19"/>
      <c r="EN325" s="19"/>
      <c r="EO325" s="244"/>
      <c r="ER325" s="451"/>
      <c r="ES325" s="451"/>
    </row>
    <row r="326" spans="4:149" ht="12.75" hidden="1" customHeight="1" x14ac:dyDescent="0.2">
      <c r="D326" s="244" t="s">
        <v>344</v>
      </c>
      <c r="F326" s="91"/>
      <c r="G326" s="81">
        <v>0</v>
      </c>
      <c r="H326" s="49"/>
      <c r="I326" s="19"/>
      <c r="J326" s="274"/>
      <c r="K326" s="48"/>
      <c r="L326" s="81">
        <v>0</v>
      </c>
      <c r="M326" s="49"/>
      <c r="N326" s="19"/>
      <c r="O326" s="274"/>
      <c r="P326" s="48"/>
      <c r="Q326" s="81">
        <v>0</v>
      </c>
      <c r="R326" s="49"/>
      <c r="S326" s="19"/>
      <c r="T326" s="274"/>
      <c r="U326" s="48"/>
      <c r="V326" s="81">
        <v>0</v>
      </c>
      <c r="W326" s="49"/>
      <c r="X326" s="19"/>
      <c r="Y326" s="274"/>
      <c r="Z326" s="48"/>
      <c r="AA326" s="81">
        <v>0</v>
      </c>
      <c r="AB326" s="49"/>
      <c r="AC326" s="19"/>
      <c r="AD326" s="274"/>
      <c r="AE326" s="48"/>
      <c r="AF326" s="81">
        <v>0</v>
      </c>
      <c r="AG326" s="49"/>
      <c r="AH326" s="19"/>
      <c r="AI326" s="274"/>
      <c r="AJ326" s="48"/>
      <c r="AK326" s="81">
        <v>0</v>
      </c>
      <c r="AL326" s="49"/>
      <c r="AM326" s="19"/>
      <c r="AN326" s="274"/>
      <c r="AO326" s="48"/>
      <c r="AP326" s="81">
        <v>0</v>
      </c>
      <c r="AQ326" s="49"/>
      <c r="AR326" s="19"/>
      <c r="AS326" s="274"/>
      <c r="AT326" s="48"/>
      <c r="AU326" s="81">
        <v>0</v>
      </c>
      <c r="AV326" s="49"/>
      <c r="AW326" s="19"/>
      <c r="AX326" s="274"/>
      <c r="AY326" s="48"/>
      <c r="AZ326" s="81">
        <v>0</v>
      </c>
      <c r="BA326" s="49"/>
      <c r="BB326" s="19"/>
      <c r="BC326" s="274"/>
      <c r="BD326" s="48"/>
      <c r="BE326" s="81">
        <v>0</v>
      </c>
      <c r="BF326" s="49"/>
      <c r="BG326" s="19"/>
      <c r="BH326" s="274"/>
      <c r="BI326" s="48"/>
      <c r="BJ326" s="81">
        <v>0</v>
      </c>
      <c r="BK326" s="49"/>
      <c r="BL326" s="19"/>
      <c r="BM326" s="274"/>
      <c r="BN326" s="48"/>
      <c r="BO326" s="81">
        <v>0</v>
      </c>
      <c r="BP326" s="49"/>
      <c r="BQ326" s="19"/>
      <c r="BR326" s="274"/>
      <c r="BS326" s="48"/>
      <c r="BT326" s="81">
        <f>SUM(L326:BO326)</f>
        <v>0</v>
      </c>
      <c r="BU326" s="49"/>
      <c r="BV326" s="19"/>
      <c r="BW326" s="274"/>
      <c r="BX326" s="48"/>
      <c r="BY326" s="81">
        <v>0</v>
      </c>
      <c r="BZ326" s="49"/>
      <c r="CA326" s="19"/>
      <c r="CB326" s="274"/>
      <c r="CC326" s="48"/>
      <c r="CD326" s="81">
        <v>0</v>
      </c>
      <c r="CE326" s="49"/>
      <c r="CF326" s="19"/>
      <c r="CG326" s="274"/>
      <c r="CH326" s="48"/>
      <c r="CI326" s="81">
        <v>0</v>
      </c>
      <c r="CJ326" s="49"/>
      <c r="CK326" s="19"/>
      <c r="CL326" s="274"/>
      <c r="CM326" s="48"/>
      <c r="CN326" s="81">
        <v>0</v>
      </c>
      <c r="CO326" s="49"/>
      <c r="CP326" s="19"/>
      <c r="CQ326" s="274"/>
      <c r="CR326" s="48"/>
      <c r="CS326" s="81">
        <v>0</v>
      </c>
      <c r="CT326" s="49"/>
      <c r="CU326" s="19"/>
      <c r="CV326" s="274"/>
      <c r="CW326" s="48"/>
      <c r="CX326" s="81">
        <v>0</v>
      </c>
      <c r="CY326" s="49"/>
      <c r="CZ326" s="19"/>
      <c r="DA326" s="274"/>
      <c r="DB326" s="48"/>
      <c r="DC326" s="81">
        <v>0</v>
      </c>
      <c r="DD326" s="49"/>
      <c r="DE326" s="19"/>
      <c r="DF326" s="274"/>
      <c r="DG326" s="48"/>
      <c r="DH326" s="81">
        <v>0</v>
      </c>
      <c r="DI326" s="49"/>
      <c r="DJ326" s="19"/>
      <c r="DK326" s="274"/>
      <c r="DL326" s="48"/>
      <c r="DM326" s="81">
        <v>0</v>
      </c>
      <c r="DN326" s="49"/>
      <c r="DO326" s="19"/>
      <c r="DP326" s="274"/>
      <c r="DQ326" s="48"/>
      <c r="DR326" s="81">
        <v>0</v>
      </c>
      <c r="DS326" s="49"/>
      <c r="DT326" s="19"/>
      <c r="DU326" s="274"/>
      <c r="DV326" s="48"/>
      <c r="DW326" s="81">
        <v>0</v>
      </c>
      <c r="DX326" s="49"/>
      <c r="DY326" s="19"/>
      <c r="DZ326" s="274"/>
      <c r="EA326" s="48"/>
      <c r="EB326" s="81">
        <v>0</v>
      </c>
      <c r="EC326" s="49"/>
      <c r="ED326" s="19"/>
      <c r="EE326" s="274"/>
      <c r="EF326" s="48"/>
      <c r="EG326" s="81">
        <v>0</v>
      </c>
      <c r="EH326" s="49"/>
      <c r="EI326" s="19"/>
      <c r="EJ326" s="274"/>
      <c r="EK326" s="48"/>
      <c r="EL326" s="81">
        <f>SUM(CD326:EG326)</f>
        <v>0</v>
      </c>
      <c r="EM326" s="49"/>
      <c r="EN326" s="19"/>
      <c r="EO326" s="244"/>
      <c r="ER326" s="451"/>
      <c r="ES326" s="451"/>
    </row>
    <row r="327" spans="4:149" ht="12.75" customHeight="1" x14ac:dyDescent="0.2">
      <c r="D327" s="244"/>
      <c r="G327" s="19"/>
      <c r="H327" s="19"/>
      <c r="I327" s="19"/>
      <c r="J327" s="274"/>
      <c r="K327" s="19"/>
      <c r="L327" s="19"/>
      <c r="M327" s="19"/>
      <c r="N327" s="19"/>
      <c r="O327" s="274"/>
      <c r="P327" s="19"/>
      <c r="Q327" s="19"/>
      <c r="R327" s="19"/>
      <c r="S327" s="19"/>
      <c r="T327" s="274"/>
      <c r="U327" s="19"/>
      <c r="V327" s="19"/>
      <c r="W327" s="19"/>
      <c r="X327" s="19"/>
      <c r="Y327" s="274"/>
      <c r="Z327" s="19"/>
      <c r="AA327" s="19"/>
      <c r="AB327" s="19"/>
      <c r="AC327" s="19"/>
      <c r="AD327" s="274"/>
      <c r="AE327" s="19"/>
      <c r="AF327" s="19"/>
      <c r="AG327" s="19"/>
      <c r="AH327" s="19"/>
      <c r="AI327" s="274"/>
      <c r="AJ327" s="19"/>
      <c r="AK327" s="19"/>
      <c r="AL327" s="19"/>
      <c r="AM327" s="19"/>
      <c r="AN327" s="274"/>
      <c r="AO327" s="19"/>
      <c r="AP327" s="19"/>
      <c r="AQ327" s="19"/>
      <c r="AR327" s="19"/>
      <c r="AS327" s="274"/>
      <c r="AT327" s="19"/>
      <c r="AU327" s="19"/>
      <c r="AV327" s="19"/>
      <c r="AW327" s="19"/>
      <c r="AX327" s="274"/>
      <c r="AY327" s="19"/>
      <c r="AZ327" s="19"/>
      <c r="BA327" s="19"/>
      <c r="BB327" s="19"/>
      <c r="BC327" s="274"/>
      <c r="BD327" s="19"/>
      <c r="BE327" s="19"/>
      <c r="BF327" s="19"/>
      <c r="BG327" s="19"/>
      <c r="BH327" s="274"/>
      <c r="BI327" s="19"/>
      <c r="BJ327" s="19"/>
      <c r="BK327" s="19"/>
      <c r="BL327" s="19"/>
      <c r="BM327" s="274"/>
      <c r="BN327" s="19"/>
      <c r="BO327" s="19"/>
      <c r="BP327" s="19"/>
      <c r="BQ327" s="19"/>
      <c r="BR327" s="274"/>
      <c r="BS327" s="19"/>
      <c r="BT327" s="19"/>
      <c r="BU327" s="19"/>
      <c r="BV327" s="19"/>
      <c r="BW327" s="274"/>
      <c r="BX327" s="19"/>
      <c r="BY327" s="19"/>
      <c r="BZ327" s="19"/>
      <c r="CA327" s="19"/>
      <c r="CB327" s="274"/>
      <c r="CC327" s="19"/>
      <c r="CD327" s="19"/>
      <c r="CE327" s="19"/>
      <c r="CF327" s="19"/>
      <c r="CG327" s="274"/>
      <c r="CH327" s="19"/>
      <c r="CI327" s="19"/>
      <c r="CJ327" s="19"/>
      <c r="CK327" s="19"/>
      <c r="CL327" s="274"/>
      <c r="CM327" s="19"/>
      <c r="CN327" s="19"/>
      <c r="CO327" s="19"/>
      <c r="CP327" s="19"/>
      <c r="CQ327" s="274"/>
      <c r="CR327" s="19"/>
      <c r="CS327" s="19"/>
      <c r="CT327" s="19"/>
      <c r="CU327" s="19"/>
      <c r="CV327" s="274"/>
      <c r="CW327" s="19"/>
      <c r="CX327" s="19"/>
      <c r="CY327" s="19"/>
      <c r="CZ327" s="19"/>
      <c r="DA327" s="274"/>
      <c r="DB327" s="19"/>
      <c r="DC327" s="19"/>
      <c r="DD327" s="19"/>
      <c r="DE327" s="19"/>
      <c r="DF327" s="274"/>
      <c r="DG327" s="19"/>
      <c r="DH327" s="19"/>
      <c r="DI327" s="19"/>
      <c r="DJ327" s="19"/>
      <c r="DK327" s="274"/>
      <c r="DL327" s="19"/>
      <c r="DM327" s="19"/>
      <c r="DN327" s="19"/>
      <c r="DO327" s="19"/>
      <c r="DP327" s="274"/>
      <c r="DQ327" s="19"/>
      <c r="DR327" s="19"/>
      <c r="DS327" s="19"/>
      <c r="DT327" s="19"/>
      <c r="DU327" s="274"/>
      <c r="DV327" s="19"/>
      <c r="DW327" s="19"/>
      <c r="DX327" s="19"/>
      <c r="DY327" s="19"/>
      <c r="DZ327" s="274"/>
      <c r="EA327" s="19"/>
      <c r="EB327" s="19"/>
      <c r="EC327" s="19"/>
      <c r="ED327" s="19"/>
      <c r="EE327" s="274"/>
      <c r="EF327" s="19"/>
      <c r="EG327" s="19"/>
      <c r="EH327" s="19"/>
      <c r="EI327" s="19"/>
      <c r="EJ327" s="274"/>
      <c r="EK327" s="19"/>
      <c r="EL327" s="19"/>
      <c r="EM327" s="19"/>
      <c r="EN327" s="19"/>
      <c r="EO327" s="244"/>
      <c r="ER327" s="451"/>
      <c r="ES327" s="451"/>
    </row>
    <row r="328" spans="4:149" x14ac:dyDescent="0.2">
      <c r="D328" s="244" t="s">
        <v>365</v>
      </c>
      <c r="G328" s="19">
        <f>SUM(G329:G329)</f>
        <v>0</v>
      </c>
      <c r="H328" s="19"/>
      <c r="I328" s="19"/>
      <c r="J328" s="274"/>
      <c r="L328" s="19">
        <f>SUM(L329)</f>
        <v>0</v>
      </c>
      <c r="M328" s="19"/>
      <c r="N328" s="19"/>
      <c r="O328" s="274"/>
      <c r="Q328" s="19">
        <f>SUM(Q329)</f>
        <v>0</v>
      </c>
      <c r="R328" s="19"/>
      <c r="S328" s="19"/>
      <c r="T328" s="274"/>
      <c r="V328" s="19">
        <f>SUM(V329)</f>
        <v>0</v>
      </c>
      <c r="W328" s="19"/>
      <c r="X328" s="19"/>
      <c r="Y328" s="274"/>
      <c r="AA328" s="19">
        <f>SUM(AA329)</f>
        <v>0</v>
      </c>
      <c r="AB328" s="19"/>
      <c r="AC328" s="19"/>
      <c r="AD328" s="274"/>
      <c r="AF328" s="19">
        <f>SUM(AF329)</f>
        <v>0</v>
      </c>
      <c r="AG328" s="19"/>
      <c r="AH328" s="19"/>
      <c r="AI328" s="274"/>
      <c r="AK328" s="19">
        <f>SUM(AK329)</f>
        <v>0</v>
      </c>
      <c r="AL328" s="19"/>
      <c r="AM328" s="19"/>
      <c r="AN328" s="274"/>
      <c r="AP328" s="19">
        <f>SUM(AP329)</f>
        <v>0</v>
      </c>
      <c r="AQ328" s="19"/>
      <c r="AR328" s="19"/>
      <c r="AS328" s="274"/>
      <c r="AU328" s="19">
        <f>SUM(AU329)</f>
        <v>0</v>
      </c>
      <c r="AV328" s="19"/>
      <c r="AW328" s="19"/>
      <c r="AX328" s="274"/>
      <c r="AZ328" s="19">
        <f>SUM(AZ329)</f>
        <v>0</v>
      </c>
      <c r="BA328" s="19"/>
      <c r="BB328" s="19"/>
      <c r="BC328" s="274"/>
      <c r="BE328" s="19">
        <f>SUM(BE329)</f>
        <v>0</v>
      </c>
      <c r="BF328" s="19"/>
      <c r="BG328" s="19"/>
      <c r="BH328" s="274"/>
      <c r="BJ328" s="19">
        <f>SUM(BJ329)</f>
        <v>0</v>
      </c>
      <c r="BK328" s="19"/>
      <c r="BL328" s="19"/>
      <c r="BM328" s="274"/>
      <c r="BO328" s="19">
        <f>SUM(BO329)</f>
        <v>0</v>
      </c>
      <c r="BP328" s="19"/>
      <c r="BQ328" s="19"/>
      <c r="BR328" s="274"/>
      <c r="BT328" s="19">
        <f>SUM(BT329:BT329)</f>
        <v>0</v>
      </c>
      <c r="BU328" s="19"/>
      <c r="BV328" s="19"/>
      <c r="BW328" s="274"/>
      <c r="BY328" s="19">
        <f>SUM(BY329:BY329)</f>
        <v>266052</v>
      </c>
      <c r="BZ328" s="19"/>
      <c r="CA328" s="19"/>
      <c r="CB328" s="274"/>
      <c r="CD328" s="19">
        <f>SUM(CD329)</f>
        <v>0</v>
      </c>
      <c r="CE328" s="19"/>
      <c r="CF328" s="19"/>
      <c r="CG328" s="274"/>
      <c r="CI328" s="19">
        <f>SUM(CI329)</f>
        <v>0</v>
      </c>
      <c r="CJ328" s="19"/>
      <c r="CK328" s="19"/>
      <c r="CL328" s="274"/>
      <c r="CN328" s="19">
        <f>SUM(CN329)</f>
        <v>0</v>
      </c>
      <c r="CO328" s="19"/>
      <c r="CP328" s="19"/>
      <c r="CQ328" s="274"/>
      <c r="CS328" s="19">
        <f>SUM(CS329)</f>
        <v>0</v>
      </c>
      <c r="CT328" s="19"/>
      <c r="CU328" s="19"/>
      <c r="CV328" s="274"/>
      <c r="CX328" s="19">
        <f>SUM(CX329)</f>
        <v>266052</v>
      </c>
      <c r="CY328" s="19"/>
      <c r="CZ328" s="19"/>
      <c r="DA328" s="274"/>
      <c r="DC328" s="19">
        <f>SUM(DC329)</f>
        <v>0</v>
      </c>
      <c r="DD328" s="19"/>
      <c r="DE328" s="19"/>
      <c r="DF328" s="274"/>
      <c r="DH328" s="19">
        <f>SUM(DH329)</f>
        <v>0</v>
      </c>
      <c r="DI328" s="19"/>
      <c r="DJ328" s="19"/>
      <c r="DK328" s="274"/>
      <c r="DM328" s="19">
        <f>SUM(DM329)</f>
        <v>0</v>
      </c>
      <c r="DN328" s="19"/>
      <c r="DO328" s="19"/>
      <c r="DP328" s="274"/>
      <c r="DR328" s="19">
        <f>SUM(DR329)</f>
        <v>0</v>
      </c>
      <c r="DS328" s="19"/>
      <c r="DT328" s="19"/>
      <c r="DU328" s="274"/>
      <c r="DW328" s="19">
        <f>SUM(DW329)</f>
        <v>0</v>
      </c>
      <c r="DX328" s="19"/>
      <c r="DY328" s="19"/>
      <c r="DZ328" s="274"/>
      <c r="EB328" s="19">
        <f>SUM(EB329)</f>
        <v>0</v>
      </c>
      <c r="EC328" s="19"/>
      <c r="ED328" s="19"/>
      <c r="EE328" s="274"/>
      <c r="EG328" s="19">
        <f>SUM(EG329)</f>
        <v>0</v>
      </c>
      <c r="EH328" s="19"/>
      <c r="EI328" s="19"/>
      <c r="EJ328" s="274"/>
      <c r="EL328" s="19">
        <f>SUM(EL329:EL329)</f>
        <v>266052</v>
      </c>
      <c r="EM328" s="19"/>
      <c r="EN328" s="19"/>
      <c r="EO328" s="244"/>
      <c r="ER328" s="451"/>
      <c r="ES328" s="451"/>
    </row>
    <row r="329" spans="4:149" x14ac:dyDescent="0.2">
      <c r="D329" s="244" t="s">
        <v>344</v>
      </c>
      <c r="F329" s="91"/>
      <c r="G329" s="81">
        <v>0</v>
      </c>
      <c r="H329" s="49"/>
      <c r="I329" s="19"/>
      <c r="J329" s="274"/>
      <c r="K329" s="91"/>
      <c r="L329" s="81">
        <v>0</v>
      </c>
      <c r="M329" s="49"/>
      <c r="N329" s="19"/>
      <c r="O329" s="274"/>
      <c r="P329" s="91"/>
      <c r="Q329" s="81">
        <v>0</v>
      </c>
      <c r="R329" s="49"/>
      <c r="S329" s="19"/>
      <c r="T329" s="274"/>
      <c r="U329" s="91"/>
      <c r="V329" s="81">
        <v>0</v>
      </c>
      <c r="W329" s="49"/>
      <c r="X329" s="19"/>
      <c r="Y329" s="274"/>
      <c r="Z329" s="91"/>
      <c r="AA329" s="81">
        <v>0</v>
      </c>
      <c r="AB329" s="49"/>
      <c r="AC329" s="19"/>
      <c r="AD329" s="274"/>
      <c r="AE329" s="91"/>
      <c r="AF329" s="81">
        <v>0</v>
      </c>
      <c r="AG329" s="49"/>
      <c r="AH329" s="19"/>
      <c r="AI329" s="274"/>
      <c r="AJ329" s="91"/>
      <c r="AK329" s="81">
        <v>0</v>
      </c>
      <c r="AL329" s="49"/>
      <c r="AM329" s="19"/>
      <c r="AN329" s="274"/>
      <c r="AO329" s="91"/>
      <c r="AP329" s="81">
        <v>0</v>
      </c>
      <c r="AQ329" s="49"/>
      <c r="AR329" s="19"/>
      <c r="AS329" s="274"/>
      <c r="AT329" s="91"/>
      <c r="AU329" s="81">
        <v>0</v>
      </c>
      <c r="AV329" s="49"/>
      <c r="AW329" s="19"/>
      <c r="AX329" s="274"/>
      <c r="AY329" s="91"/>
      <c r="AZ329" s="81">
        <v>0</v>
      </c>
      <c r="BA329" s="49"/>
      <c r="BB329" s="19"/>
      <c r="BC329" s="274"/>
      <c r="BD329" s="91"/>
      <c r="BE329" s="81">
        <v>0</v>
      </c>
      <c r="BF329" s="49"/>
      <c r="BG329" s="19"/>
      <c r="BH329" s="274"/>
      <c r="BI329" s="91"/>
      <c r="BJ329" s="81">
        <v>0</v>
      </c>
      <c r="BK329" s="49"/>
      <c r="BL329" s="19"/>
      <c r="BM329" s="274"/>
      <c r="BN329" s="91"/>
      <c r="BO329" s="81">
        <v>0</v>
      </c>
      <c r="BP329" s="49"/>
      <c r="BQ329" s="19"/>
      <c r="BR329" s="274"/>
      <c r="BS329" s="91"/>
      <c r="BT329" s="81">
        <f>SUM(L329:BO329)</f>
        <v>0</v>
      </c>
      <c r="BU329" s="49"/>
      <c r="BV329" s="19"/>
      <c r="BW329" s="274"/>
      <c r="BX329" s="91"/>
      <c r="BY329" s="81">
        <v>266052</v>
      </c>
      <c r="BZ329" s="49"/>
      <c r="CA329" s="19"/>
      <c r="CB329" s="274"/>
      <c r="CC329" s="91"/>
      <c r="CD329" s="81">
        <v>0</v>
      </c>
      <c r="CE329" s="49"/>
      <c r="CF329" s="19"/>
      <c r="CG329" s="274"/>
      <c r="CH329" s="91"/>
      <c r="CI329" s="81">
        <v>0</v>
      </c>
      <c r="CJ329" s="49"/>
      <c r="CK329" s="19"/>
      <c r="CL329" s="274"/>
      <c r="CM329" s="91"/>
      <c r="CN329" s="81">
        <v>0</v>
      </c>
      <c r="CO329" s="49"/>
      <c r="CP329" s="19"/>
      <c r="CQ329" s="274"/>
      <c r="CR329" s="91"/>
      <c r="CS329" s="81">
        <v>0</v>
      </c>
      <c r="CT329" s="49"/>
      <c r="CU329" s="19"/>
      <c r="CV329" s="274"/>
      <c r="CW329" s="91"/>
      <c r="CX329" s="81">
        <v>266052</v>
      </c>
      <c r="CY329" s="49"/>
      <c r="CZ329" s="19"/>
      <c r="DA329" s="274"/>
      <c r="DB329" s="91"/>
      <c r="DC329" s="81">
        <v>0</v>
      </c>
      <c r="DD329" s="49"/>
      <c r="DE329" s="19"/>
      <c r="DF329" s="274"/>
      <c r="DG329" s="91"/>
      <c r="DH329" s="81">
        <v>0</v>
      </c>
      <c r="DI329" s="49"/>
      <c r="DJ329" s="19"/>
      <c r="DK329" s="274"/>
      <c r="DL329" s="91"/>
      <c r="DM329" s="81">
        <v>0</v>
      </c>
      <c r="DN329" s="49"/>
      <c r="DO329" s="19"/>
      <c r="DP329" s="274"/>
      <c r="DQ329" s="91"/>
      <c r="DR329" s="81">
        <v>0</v>
      </c>
      <c r="DS329" s="49"/>
      <c r="DT329" s="19"/>
      <c r="DU329" s="274"/>
      <c r="DV329" s="91"/>
      <c r="DW329" s="81">
        <v>0</v>
      </c>
      <c r="DX329" s="49"/>
      <c r="DY329" s="19"/>
      <c r="DZ329" s="274"/>
      <c r="EA329" s="91"/>
      <c r="EB329" s="81">
        <v>0</v>
      </c>
      <c r="EC329" s="49"/>
      <c r="ED329" s="19"/>
      <c r="EE329" s="274"/>
      <c r="EF329" s="91"/>
      <c r="EG329" s="81">
        <v>0</v>
      </c>
      <c r="EH329" s="49"/>
      <c r="EI329" s="19"/>
      <c r="EJ329" s="274"/>
      <c r="EK329" s="91"/>
      <c r="EL329" s="81">
        <f>SUM(CD329:EG329)</f>
        <v>266052</v>
      </c>
      <c r="EM329" s="49"/>
      <c r="EN329" s="19"/>
      <c r="EO329" s="244"/>
      <c r="ER329" s="451"/>
      <c r="ES329" s="451"/>
    </row>
    <row r="330" spans="4:149" x14ac:dyDescent="0.2">
      <c r="D330" s="244"/>
      <c r="G330" s="19"/>
      <c r="H330" s="19"/>
      <c r="I330" s="19"/>
      <c r="J330" s="274"/>
      <c r="K330" s="19"/>
      <c r="L330" s="19"/>
      <c r="M330" s="19"/>
      <c r="N330" s="19"/>
      <c r="O330" s="274"/>
      <c r="P330" s="19"/>
      <c r="Q330" s="19"/>
      <c r="R330" s="19"/>
      <c r="S330" s="19"/>
      <c r="T330" s="274"/>
      <c r="U330" s="19"/>
      <c r="V330" s="19"/>
      <c r="W330" s="19"/>
      <c r="X330" s="19"/>
      <c r="Y330" s="274"/>
      <c r="Z330" s="19"/>
      <c r="AA330" s="19"/>
      <c r="AB330" s="19"/>
      <c r="AC330" s="19"/>
      <c r="AD330" s="274"/>
      <c r="AE330" s="19"/>
      <c r="AF330" s="19"/>
      <c r="AG330" s="19"/>
      <c r="AH330" s="19"/>
      <c r="AI330" s="274"/>
      <c r="AJ330" s="19"/>
      <c r="AK330" s="19"/>
      <c r="AL330" s="19"/>
      <c r="AM330" s="19"/>
      <c r="AN330" s="274"/>
      <c r="AO330" s="19"/>
      <c r="AP330" s="19"/>
      <c r="AQ330" s="19"/>
      <c r="AR330" s="19"/>
      <c r="AS330" s="274"/>
      <c r="AT330" s="19"/>
      <c r="AU330" s="19"/>
      <c r="AV330" s="19"/>
      <c r="AW330" s="19"/>
      <c r="AX330" s="274"/>
      <c r="AY330" s="19"/>
      <c r="AZ330" s="19"/>
      <c r="BA330" s="19"/>
      <c r="BB330" s="19"/>
      <c r="BC330" s="274"/>
      <c r="BD330" s="19"/>
      <c r="BE330" s="19"/>
      <c r="BF330" s="19"/>
      <c r="BG330" s="19"/>
      <c r="BH330" s="274"/>
      <c r="BI330" s="19"/>
      <c r="BJ330" s="19"/>
      <c r="BK330" s="19"/>
      <c r="BL330" s="19"/>
      <c r="BM330" s="274"/>
      <c r="BN330" s="19"/>
      <c r="BO330" s="19"/>
      <c r="BP330" s="19"/>
      <c r="BQ330" s="19"/>
      <c r="BR330" s="274"/>
      <c r="BS330" s="19"/>
      <c r="BT330" s="19"/>
      <c r="BU330" s="19"/>
      <c r="BV330" s="19"/>
      <c r="BW330" s="274"/>
      <c r="BX330" s="19"/>
      <c r="BY330" s="19"/>
      <c r="BZ330" s="19"/>
      <c r="CA330" s="19"/>
      <c r="CB330" s="274"/>
      <c r="CC330" s="19"/>
      <c r="CD330" s="19"/>
      <c r="CE330" s="19"/>
      <c r="CF330" s="19"/>
      <c r="CG330" s="274"/>
      <c r="CH330" s="19"/>
      <c r="CI330" s="19"/>
      <c r="CJ330" s="19"/>
      <c r="CK330" s="19"/>
      <c r="CL330" s="274"/>
      <c r="CM330" s="19"/>
      <c r="CN330" s="19"/>
      <c r="CO330" s="19"/>
      <c r="CP330" s="19"/>
      <c r="CQ330" s="274"/>
      <c r="CR330" s="19"/>
      <c r="CS330" s="19"/>
      <c r="CT330" s="19"/>
      <c r="CU330" s="19"/>
      <c r="CV330" s="274"/>
      <c r="CW330" s="19"/>
      <c r="CX330" s="19"/>
      <c r="CY330" s="19"/>
      <c r="CZ330" s="19"/>
      <c r="DA330" s="274"/>
      <c r="DB330" s="19"/>
      <c r="DC330" s="19"/>
      <c r="DD330" s="19"/>
      <c r="DE330" s="19"/>
      <c r="DF330" s="274"/>
      <c r="DG330" s="19"/>
      <c r="DH330" s="19"/>
      <c r="DI330" s="19"/>
      <c r="DJ330" s="19"/>
      <c r="DK330" s="274"/>
      <c r="DL330" s="19"/>
      <c r="DM330" s="19"/>
      <c r="DN330" s="19"/>
      <c r="DO330" s="19"/>
      <c r="DP330" s="274"/>
      <c r="DQ330" s="19"/>
      <c r="DR330" s="19"/>
      <c r="DS330" s="19"/>
      <c r="DT330" s="19"/>
      <c r="DU330" s="274"/>
      <c r="DV330" s="19"/>
      <c r="DW330" s="19"/>
      <c r="DX330" s="19"/>
      <c r="DY330" s="19"/>
      <c r="DZ330" s="274"/>
      <c r="EA330" s="19"/>
      <c r="EB330" s="19"/>
      <c r="EC330" s="19"/>
      <c r="ED330" s="19"/>
      <c r="EE330" s="274"/>
      <c r="EF330" s="19"/>
      <c r="EG330" s="19"/>
      <c r="EH330" s="19"/>
      <c r="EI330" s="19"/>
      <c r="EJ330" s="274"/>
      <c r="EK330" s="19"/>
      <c r="EL330" s="19"/>
      <c r="EM330" s="19"/>
      <c r="EN330" s="19"/>
      <c r="EO330" s="244"/>
      <c r="ER330" s="451"/>
      <c r="ES330" s="451"/>
    </row>
    <row r="331" spans="4:149" x14ac:dyDescent="0.2">
      <c r="D331" s="244" t="s">
        <v>358</v>
      </c>
      <c r="G331" s="12">
        <f>SUM(G332:G332)</f>
        <v>18552</v>
      </c>
      <c r="I331" s="19"/>
      <c r="J331" s="274"/>
      <c r="K331" s="19"/>
      <c r="L331" s="19">
        <f>SUM(L332:L332)</f>
        <v>0</v>
      </c>
      <c r="M331" s="19"/>
      <c r="N331" s="19"/>
      <c r="O331" s="274"/>
      <c r="P331" s="19"/>
      <c r="Q331" s="19">
        <f>SUM(Q332:Q332)</f>
        <v>0</v>
      </c>
      <c r="R331" s="19"/>
      <c r="S331" s="19"/>
      <c r="T331" s="274"/>
      <c r="U331" s="19"/>
      <c r="V331" s="19">
        <f>SUM(V332:V332)</f>
        <v>0</v>
      </c>
      <c r="W331" s="19"/>
      <c r="X331" s="19"/>
      <c r="Y331" s="274"/>
      <c r="Z331" s="19"/>
      <c r="AA331" s="19">
        <f>SUM(AA332:AA332)</f>
        <v>0</v>
      </c>
      <c r="AB331" s="19"/>
      <c r="AC331" s="19"/>
      <c r="AD331" s="274"/>
      <c r="AE331" s="19"/>
      <c r="AF331" s="19">
        <f>SUM(AF332:AF332)</f>
        <v>0</v>
      </c>
      <c r="AG331" s="19"/>
      <c r="AH331" s="19"/>
      <c r="AI331" s="274"/>
      <c r="AJ331" s="19"/>
      <c r="AK331" s="19">
        <f>SUM(AK332:AK332)</f>
        <v>18552</v>
      </c>
      <c r="AL331" s="19"/>
      <c r="AM331" s="19"/>
      <c r="AN331" s="274"/>
      <c r="AO331" s="19"/>
      <c r="AP331" s="19">
        <f>SUM(AP332:AP332)</f>
        <v>0</v>
      </c>
      <c r="AQ331" s="19"/>
      <c r="AR331" s="19"/>
      <c r="AS331" s="274"/>
      <c r="AT331" s="19"/>
      <c r="AU331" s="19">
        <f>SUM(AU332:AU332)</f>
        <v>0</v>
      </c>
      <c r="AV331" s="19"/>
      <c r="AW331" s="19"/>
      <c r="AX331" s="274"/>
      <c r="AY331" s="19"/>
      <c r="AZ331" s="19">
        <f>SUM(AZ332:AZ332)</f>
        <v>0</v>
      </c>
      <c r="BA331" s="19"/>
      <c r="BB331" s="19"/>
      <c r="BC331" s="274"/>
      <c r="BD331" s="19"/>
      <c r="BE331" s="19">
        <f>SUM(BE332:BE332)</f>
        <v>0</v>
      </c>
      <c r="BF331" s="19"/>
      <c r="BG331" s="19"/>
      <c r="BH331" s="274"/>
      <c r="BI331" s="19"/>
      <c r="BJ331" s="19">
        <f>SUM(BJ332:BJ332)</f>
        <v>0</v>
      </c>
      <c r="BK331" s="19"/>
      <c r="BL331" s="19"/>
      <c r="BM331" s="274"/>
      <c r="BN331" s="19"/>
      <c r="BO331" s="19">
        <f>SUM(BO332:BO332)</f>
        <v>0</v>
      </c>
      <c r="BP331" s="19"/>
      <c r="BQ331" s="19"/>
      <c r="BR331" s="274"/>
      <c r="BS331" s="19"/>
      <c r="BT331" s="19">
        <f>SUM(BT332:BT332)</f>
        <v>18552</v>
      </c>
      <c r="BU331" s="19"/>
      <c r="BV331" s="19"/>
      <c r="BW331" s="274"/>
      <c r="BX331" s="19"/>
      <c r="BY331" s="19">
        <f>SUM(BY332:BY332)</f>
        <v>0</v>
      </c>
      <c r="CA331" s="19"/>
      <c r="CB331" s="274"/>
      <c r="CC331" s="19"/>
      <c r="CD331" s="19">
        <f>SUM(CD332:CD332)</f>
        <v>0</v>
      </c>
      <c r="CE331" s="19"/>
      <c r="CF331" s="19"/>
      <c r="CG331" s="274"/>
      <c r="CH331" s="19"/>
      <c r="CI331" s="19">
        <f>SUM(CI332:CI332)</f>
        <v>0</v>
      </c>
      <c r="CJ331" s="19"/>
      <c r="CK331" s="19"/>
      <c r="CL331" s="274"/>
      <c r="CM331" s="19"/>
      <c r="CN331" s="19">
        <f>SUM(CN332:CN332)</f>
        <v>0</v>
      </c>
      <c r="CO331" s="19"/>
      <c r="CP331" s="19"/>
      <c r="CQ331" s="274"/>
      <c r="CR331" s="19"/>
      <c r="CS331" s="19">
        <f>SUM(CS332:CS332)</f>
        <v>0</v>
      </c>
      <c r="CT331" s="19"/>
      <c r="CU331" s="19"/>
      <c r="CV331" s="274"/>
      <c r="CW331" s="19"/>
      <c r="CX331" s="19">
        <f>SUM(CX332:CX332)</f>
        <v>0</v>
      </c>
      <c r="CY331" s="19"/>
      <c r="CZ331" s="19"/>
      <c r="DA331" s="274"/>
      <c r="DB331" s="19"/>
      <c r="DC331" s="19">
        <f>SUM(DC332:DC332)</f>
        <v>0</v>
      </c>
      <c r="DD331" s="19"/>
      <c r="DE331" s="19"/>
      <c r="DF331" s="274"/>
      <c r="DG331" s="19"/>
      <c r="DH331" s="19">
        <f>SUM(DH332:DH332)</f>
        <v>0</v>
      </c>
      <c r="DI331" s="19"/>
      <c r="DJ331" s="19"/>
      <c r="DK331" s="274"/>
      <c r="DL331" s="19"/>
      <c r="DM331" s="19">
        <f>SUM(DM332:DM332)</f>
        <v>0</v>
      </c>
      <c r="DN331" s="19"/>
      <c r="DO331" s="19"/>
      <c r="DP331" s="274"/>
      <c r="DQ331" s="19"/>
      <c r="DR331" s="19">
        <f>SUM(DR332:DR332)</f>
        <v>0</v>
      </c>
      <c r="DS331" s="19"/>
      <c r="DT331" s="19"/>
      <c r="DU331" s="274"/>
      <c r="DV331" s="19"/>
      <c r="DW331" s="19">
        <f>SUM(DW332:DW332)</f>
        <v>0</v>
      </c>
      <c r="DX331" s="19"/>
      <c r="DY331" s="19"/>
      <c r="DZ331" s="274"/>
      <c r="EA331" s="19"/>
      <c r="EB331" s="19">
        <f>SUM(EB332:EB332)</f>
        <v>0</v>
      </c>
      <c r="EC331" s="19"/>
      <c r="ED331" s="19"/>
      <c r="EE331" s="274"/>
      <c r="EF331" s="19"/>
      <c r="EG331" s="19">
        <f>SUM(EG332:EG332)</f>
        <v>0</v>
      </c>
      <c r="EH331" s="19"/>
      <c r="EI331" s="19"/>
      <c r="EJ331" s="274"/>
      <c r="EK331" s="19"/>
      <c r="EL331" s="19">
        <f>SUM(EL332:EL332)</f>
        <v>0</v>
      </c>
      <c r="EM331" s="19"/>
      <c r="EN331" s="19"/>
      <c r="EO331" s="244"/>
      <c r="ER331" s="451"/>
      <c r="ES331" s="451"/>
    </row>
    <row r="332" spans="4:149" x14ac:dyDescent="0.2">
      <c r="D332" s="244" t="s">
        <v>344</v>
      </c>
      <c r="F332" s="91"/>
      <c r="G332" s="81">
        <v>18552</v>
      </c>
      <c r="H332" s="49"/>
      <c r="I332" s="19"/>
      <c r="J332" s="274"/>
      <c r="K332" s="91"/>
      <c r="L332" s="81">
        <v>0</v>
      </c>
      <c r="M332" s="49"/>
      <c r="N332" s="19"/>
      <c r="O332" s="274"/>
      <c r="P332" s="91"/>
      <c r="Q332" s="81">
        <v>0</v>
      </c>
      <c r="R332" s="49"/>
      <c r="S332" s="19"/>
      <c r="T332" s="274"/>
      <c r="U332" s="91"/>
      <c r="V332" s="81">
        <v>0</v>
      </c>
      <c r="W332" s="49"/>
      <c r="X332" s="19"/>
      <c r="Y332" s="274"/>
      <c r="Z332" s="91"/>
      <c r="AA332" s="81">
        <v>0</v>
      </c>
      <c r="AB332" s="49"/>
      <c r="AC332" s="19"/>
      <c r="AD332" s="274"/>
      <c r="AE332" s="91"/>
      <c r="AF332" s="81">
        <v>0</v>
      </c>
      <c r="AG332" s="49"/>
      <c r="AH332" s="19"/>
      <c r="AI332" s="274"/>
      <c r="AJ332" s="91"/>
      <c r="AK332" s="81">
        <v>18552</v>
      </c>
      <c r="AL332" s="49"/>
      <c r="AM332" s="19"/>
      <c r="AN332" s="274"/>
      <c r="AO332" s="91"/>
      <c r="AP332" s="81">
        <v>0</v>
      </c>
      <c r="AQ332" s="49"/>
      <c r="AR332" s="19"/>
      <c r="AS332" s="274"/>
      <c r="AT332" s="91"/>
      <c r="AU332" s="81">
        <v>0</v>
      </c>
      <c r="AV332" s="49"/>
      <c r="AW332" s="19"/>
      <c r="AX332" s="274"/>
      <c r="AY332" s="91"/>
      <c r="AZ332" s="81">
        <v>0</v>
      </c>
      <c r="BA332" s="49"/>
      <c r="BB332" s="19"/>
      <c r="BC332" s="274"/>
      <c r="BD332" s="91"/>
      <c r="BE332" s="81">
        <v>0</v>
      </c>
      <c r="BF332" s="49"/>
      <c r="BG332" s="19"/>
      <c r="BH332" s="274"/>
      <c r="BI332" s="91"/>
      <c r="BJ332" s="81">
        <v>0</v>
      </c>
      <c r="BK332" s="49"/>
      <c r="BL332" s="19"/>
      <c r="BM332" s="274"/>
      <c r="BN332" s="91"/>
      <c r="BO332" s="81">
        <v>0</v>
      </c>
      <c r="BP332" s="49"/>
      <c r="BQ332" s="19"/>
      <c r="BR332" s="274"/>
      <c r="BS332" s="91"/>
      <c r="BT332" s="81">
        <f>SUM(L332:BO332)</f>
        <v>18552</v>
      </c>
      <c r="BU332" s="49"/>
      <c r="BV332" s="19"/>
      <c r="BW332" s="274"/>
      <c r="BX332" s="91"/>
      <c r="BY332" s="81">
        <v>0</v>
      </c>
      <c r="BZ332" s="49"/>
      <c r="CA332" s="19"/>
      <c r="CB332" s="274"/>
      <c r="CC332" s="91"/>
      <c r="CD332" s="81">
        <v>0</v>
      </c>
      <c r="CE332" s="49"/>
      <c r="CF332" s="19"/>
      <c r="CG332" s="274"/>
      <c r="CH332" s="91"/>
      <c r="CI332" s="81">
        <v>0</v>
      </c>
      <c r="CJ332" s="49"/>
      <c r="CK332" s="19"/>
      <c r="CL332" s="274"/>
      <c r="CM332" s="91"/>
      <c r="CN332" s="81">
        <v>0</v>
      </c>
      <c r="CO332" s="49"/>
      <c r="CP332" s="19"/>
      <c r="CQ332" s="274"/>
      <c r="CR332" s="91"/>
      <c r="CS332" s="81">
        <v>0</v>
      </c>
      <c r="CT332" s="49"/>
      <c r="CU332" s="19"/>
      <c r="CV332" s="274"/>
      <c r="CW332" s="91"/>
      <c r="CX332" s="81">
        <v>0</v>
      </c>
      <c r="CY332" s="49"/>
      <c r="CZ332" s="19"/>
      <c r="DA332" s="274"/>
      <c r="DB332" s="91"/>
      <c r="DC332" s="81">
        <v>0</v>
      </c>
      <c r="DD332" s="49"/>
      <c r="DE332" s="19"/>
      <c r="DF332" s="274"/>
      <c r="DG332" s="91"/>
      <c r="DH332" s="81">
        <v>0</v>
      </c>
      <c r="DI332" s="49"/>
      <c r="DJ332" s="19"/>
      <c r="DK332" s="274"/>
      <c r="DL332" s="91"/>
      <c r="DM332" s="81">
        <v>0</v>
      </c>
      <c r="DN332" s="49"/>
      <c r="DO332" s="19"/>
      <c r="DP332" s="274"/>
      <c r="DQ332" s="91"/>
      <c r="DR332" s="81">
        <v>0</v>
      </c>
      <c r="DS332" s="49"/>
      <c r="DT332" s="19"/>
      <c r="DU332" s="274"/>
      <c r="DV332" s="91"/>
      <c r="DW332" s="81">
        <v>0</v>
      </c>
      <c r="DX332" s="49"/>
      <c r="DY332" s="19"/>
      <c r="DZ332" s="274"/>
      <c r="EA332" s="91"/>
      <c r="EB332" s="81">
        <v>0</v>
      </c>
      <c r="EC332" s="49"/>
      <c r="ED332" s="19"/>
      <c r="EE332" s="274"/>
      <c r="EF332" s="91"/>
      <c r="EG332" s="81">
        <v>0</v>
      </c>
      <c r="EH332" s="49"/>
      <c r="EI332" s="19"/>
      <c r="EJ332" s="274"/>
      <c r="EK332" s="91"/>
      <c r="EL332" s="81">
        <f>SUM(CD332:EG332)</f>
        <v>0</v>
      </c>
      <c r="EM332" s="49"/>
      <c r="EN332" s="19"/>
      <c r="EO332" s="244"/>
      <c r="ER332" s="451"/>
      <c r="ES332" s="451"/>
    </row>
    <row r="333" spans="4:149" hidden="1" x14ac:dyDescent="0.2">
      <c r="D333" s="244"/>
      <c r="G333" s="19"/>
      <c r="H333" s="19"/>
      <c r="I333" s="19"/>
      <c r="J333" s="274"/>
      <c r="L333" s="19"/>
      <c r="M333" s="19"/>
      <c r="N333" s="19"/>
      <c r="O333" s="274"/>
      <c r="Q333" s="19"/>
      <c r="R333" s="19"/>
      <c r="S333" s="19"/>
      <c r="T333" s="274"/>
      <c r="V333" s="19"/>
      <c r="W333" s="19"/>
      <c r="X333" s="19"/>
      <c r="Y333" s="274"/>
      <c r="AA333" s="19"/>
      <c r="AB333" s="19"/>
      <c r="AC333" s="19"/>
      <c r="AD333" s="274"/>
      <c r="AF333" s="19"/>
      <c r="AG333" s="19"/>
      <c r="AH333" s="19"/>
      <c r="AI333" s="274"/>
      <c r="AK333" s="19"/>
      <c r="AL333" s="19"/>
      <c r="AM333" s="19"/>
      <c r="AN333" s="274"/>
      <c r="AP333" s="19"/>
      <c r="AQ333" s="19"/>
      <c r="AR333" s="19"/>
      <c r="AS333" s="274"/>
      <c r="AU333" s="19"/>
      <c r="AV333" s="19"/>
      <c r="AW333" s="19"/>
      <c r="AX333" s="274"/>
      <c r="AZ333" s="19"/>
      <c r="BA333" s="19"/>
      <c r="BB333" s="19"/>
      <c r="BC333" s="274"/>
      <c r="BE333" s="19"/>
      <c r="BF333" s="19"/>
      <c r="BG333" s="19"/>
      <c r="BH333" s="274"/>
      <c r="BJ333" s="19"/>
      <c r="BK333" s="19"/>
      <c r="BL333" s="19"/>
      <c r="BM333" s="274"/>
      <c r="BO333" s="19"/>
      <c r="BP333" s="19"/>
      <c r="BQ333" s="19"/>
      <c r="BR333" s="274"/>
      <c r="BT333" s="19"/>
      <c r="BU333" s="19"/>
      <c r="BV333" s="19"/>
      <c r="BW333" s="274"/>
      <c r="BY333" s="19"/>
      <c r="BZ333" s="19"/>
      <c r="CA333" s="19"/>
      <c r="CB333" s="274"/>
      <c r="CD333" s="19"/>
      <c r="CE333" s="19"/>
      <c r="CF333" s="19"/>
      <c r="CG333" s="274"/>
      <c r="CI333" s="19"/>
      <c r="CJ333" s="19"/>
      <c r="CK333" s="19"/>
      <c r="CL333" s="274"/>
      <c r="CN333" s="19"/>
      <c r="CO333" s="19"/>
      <c r="CP333" s="19"/>
      <c r="CQ333" s="274"/>
      <c r="CS333" s="19"/>
      <c r="CT333" s="19"/>
      <c r="CU333" s="19"/>
      <c r="CV333" s="274"/>
      <c r="CX333" s="19"/>
      <c r="CY333" s="19"/>
      <c r="CZ333" s="19"/>
      <c r="DA333" s="274"/>
      <c r="DC333" s="19"/>
      <c r="DD333" s="19"/>
      <c r="DE333" s="19"/>
      <c r="DF333" s="274"/>
      <c r="DH333" s="19"/>
      <c r="DI333" s="19"/>
      <c r="DJ333" s="19"/>
      <c r="DK333" s="274"/>
      <c r="DM333" s="19"/>
      <c r="DN333" s="19"/>
      <c r="DO333" s="19"/>
      <c r="DP333" s="274"/>
      <c r="DR333" s="19"/>
      <c r="DS333" s="19"/>
      <c r="DT333" s="19"/>
      <c r="DU333" s="274"/>
      <c r="DW333" s="19"/>
      <c r="DX333" s="19"/>
      <c r="DY333" s="19"/>
      <c r="DZ333" s="274"/>
      <c r="EB333" s="19"/>
      <c r="EC333" s="19"/>
      <c r="ED333" s="19"/>
      <c r="EE333" s="274"/>
      <c r="EG333" s="19"/>
      <c r="EH333" s="19"/>
      <c r="EI333" s="19"/>
      <c r="EJ333" s="274"/>
      <c r="EL333" s="19"/>
      <c r="EM333" s="19"/>
      <c r="EN333" s="19"/>
      <c r="EO333" s="244"/>
      <c r="ER333" s="451"/>
      <c r="ES333" s="451"/>
    </row>
    <row r="334" spans="4:149" hidden="1" x14ac:dyDescent="0.2">
      <c r="D334" s="244" t="s">
        <v>374</v>
      </c>
      <c r="G334" s="12">
        <f>SUM(G335:G335)</f>
        <v>0</v>
      </c>
      <c r="I334" s="19"/>
      <c r="J334" s="274"/>
      <c r="K334" s="19"/>
      <c r="L334" s="19">
        <f>SUM(L335:L335)</f>
        <v>0</v>
      </c>
      <c r="M334" s="19"/>
      <c r="N334" s="19"/>
      <c r="O334" s="274"/>
      <c r="P334" s="19"/>
      <c r="Q334" s="19">
        <f>SUM(Q335:Q335)</f>
        <v>0</v>
      </c>
      <c r="R334" s="19"/>
      <c r="S334" s="19"/>
      <c r="T334" s="274"/>
      <c r="U334" s="19"/>
      <c r="V334" s="19">
        <f>SUM(V335:V335)</f>
        <v>0</v>
      </c>
      <c r="W334" s="19"/>
      <c r="X334" s="19"/>
      <c r="Y334" s="274"/>
      <c r="Z334" s="19"/>
      <c r="AA334" s="19">
        <f>SUM(AA335:AA335)</f>
        <v>0</v>
      </c>
      <c r="AB334" s="19"/>
      <c r="AC334" s="19"/>
      <c r="AD334" s="274"/>
      <c r="AE334" s="19"/>
      <c r="AF334" s="19">
        <f>SUM(AF335:AF335)</f>
        <v>0</v>
      </c>
      <c r="AG334" s="19"/>
      <c r="AH334" s="19"/>
      <c r="AI334" s="274"/>
      <c r="AJ334" s="19"/>
      <c r="AK334" s="19">
        <f>SUM(AK335:AK335)</f>
        <v>0</v>
      </c>
      <c r="AL334" s="19"/>
      <c r="AM334" s="19"/>
      <c r="AN334" s="274"/>
      <c r="AO334" s="19"/>
      <c r="AP334" s="19">
        <f>SUM(AP335:AP335)</f>
        <v>0</v>
      </c>
      <c r="AQ334" s="19"/>
      <c r="AR334" s="19"/>
      <c r="AS334" s="274"/>
      <c r="AT334" s="19"/>
      <c r="AU334" s="19">
        <f>SUM(AU335:AU335)</f>
        <v>0</v>
      </c>
      <c r="AV334" s="19"/>
      <c r="AW334" s="19"/>
      <c r="AX334" s="274"/>
      <c r="AY334" s="19"/>
      <c r="AZ334" s="19">
        <f>SUM(AZ335:AZ335)</f>
        <v>0</v>
      </c>
      <c r="BA334" s="19"/>
      <c r="BB334" s="19"/>
      <c r="BC334" s="274"/>
      <c r="BD334" s="19"/>
      <c r="BE334" s="19">
        <f>SUM(BE335:BE335)</f>
        <v>0</v>
      </c>
      <c r="BF334" s="19"/>
      <c r="BG334" s="19"/>
      <c r="BH334" s="274"/>
      <c r="BI334" s="19"/>
      <c r="BJ334" s="19">
        <f>SUM(BJ335:BJ335)</f>
        <v>0</v>
      </c>
      <c r="BK334" s="19"/>
      <c r="BL334" s="19"/>
      <c r="BM334" s="274"/>
      <c r="BN334" s="19"/>
      <c r="BO334" s="19">
        <f>SUM(BO335:BO335)</f>
        <v>0</v>
      </c>
      <c r="BP334" s="19"/>
      <c r="BQ334" s="19"/>
      <c r="BR334" s="274"/>
      <c r="BT334" s="19">
        <f>SUM(BT335:BT335)</f>
        <v>0</v>
      </c>
      <c r="BU334" s="19"/>
      <c r="BV334" s="19"/>
      <c r="BW334" s="274"/>
      <c r="BY334" s="19">
        <f>SUM(BY335:BY335)</f>
        <v>0</v>
      </c>
      <c r="CA334" s="19"/>
      <c r="CB334" s="274"/>
      <c r="CC334" s="19"/>
      <c r="CD334" s="19">
        <f>SUM(CD335:CD335)</f>
        <v>0</v>
      </c>
      <c r="CE334" s="19"/>
      <c r="CF334" s="19"/>
      <c r="CG334" s="274"/>
      <c r="CH334" s="19"/>
      <c r="CI334" s="19">
        <f>SUM(CI335:CI335)</f>
        <v>0</v>
      </c>
      <c r="CJ334" s="19"/>
      <c r="CK334" s="19"/>
      <c r="CL334" s="274"/>
      <c r="CM334" s="19"/>
      <c r="CN334" s="19">
        <f>SUM(CN335:CN335)</f>
        <v>0</v>
      </c>
      <c r="CO334" s="19"/>
      <c r="CP334" s="19"/>
      <c r="CQ334" s="274"/>
      <c r="CR334" s="19"/>
      <c r="CS334" s="19">
        <f>SUM(CS335:CS335)</f>
        <v>0</v>
      </c>
      <c r="CT334" s="19"/>
      <c r="CU334" s="19"/>
      <c r="CV334" s="274"/>
      <c r="CW334" s="19"/>
      <c r="CX334" s="19">
        <f>SUM(CX335:CX335)</f>
        <v>0</v>
      </c>
      <c r="CY334" s="19"/>
      <c r="CZ334" s="19"/>
      <c r="DA334" s="274"/>
      <c r="DB334" s="19"/>
      <c r="DC334" s="19">
        <f>SUM(DC335:DC335)</f>
        <v>0</v>
      </c>
      <c r="DD334" s="19"/>
      <c r="DE334" s="19"/>
      <c r="DF334" s="274"/>
      <c r="DG334" s="19"/>
      <c r="DH334" s="19">
        <f>SUM(DH335:DH335)</f>
        <v>0</v>
      </c>
      <c r="DI334" s="19"/>
      <c r="DJ334" s="19"/>
      <c r="DK334" s="274"/>
      <c r="DL334" s="19"/>
      <c r="DM334" s="19">
        <f>SUM(DM335:DM335)</f>
        <v>0</v>
      </c>
      <c r="DN334" s="19"/>
      <c r="DO334" s="19"/>
      <c r="DP334" s="274"/>
      <c r="DQ334" s="19"/>
      <c r="DR334" s="19">
        <f>SUM(DR335:DR335)</f>
        <v>0</v>
      </c>
      <c r="DS334" s="19"/>
      <c r="DT334" s="19"/>
      <c r="DU334" s="274"/>
      <c r="DV334" s="19"/>
      <c r="DW334" s="19">
        <f>SUM(DW335:DW335)</f>
        <v>0</v>
      </c>
      <c r="DX334" s="19"/>
      <c r="DY334" s="19"/>
      <c r="DZ334" s="274"/>
      <c r="EA334" s="19"/>
      <c r="EB334" s="19">
        <f>SUM(EB335:EB335)</f>
        <v>0</v>
      </c>
      <c r="EC334" s="19"/>
      <c r="ED334" s="19"/>
      <c r="EE334" s="274"/>
      <c r="EF334" s="19"/>
      <c r="EG334" s="19">
        <f>SUM(EG335:EG335)</f>
        <v>0</v>
      </c>
      <c r="EH334" s="19"/>
      <c r="EI334" s="19"/>
      <c r="EJ334" s="274"/>
      <c r="EL334" s="19">
        <f>SUM(EL335:EL335)</f>
        <v>0</v>
      </c>
      <c r="EM334" s="19"/>
      <c r="EN334" s="19"/>
      <c r="EO334" s="244"/>
      <c r="ER334" s="451"/>
      <c r="ES334" s="451"/>
    </row>
    <row r="335" spans="4:149" hidden="1" x14ac:dyDescent="0.2">
      <c r="D335" s="244" t="s">
        <v>344</v>
      </c>
      <c r="F335" s="91"/>
      <c r="G335" s="81">
        <v>0</v>
      </c>
      <c r="H335" s="49"/>
      <c r="I335" s="19"/>
      <c r="J335" s="274"/>
      <c r="K335" s="91"/>
      <c r="L335" s="81">
        <v>0</v>
      </c>
      <c r="M335" s="49"/>
      <c r="N335" s="19"/>
      <c r="O335" s="274"/>
      <c r="P335" s="91"/>
      <c r="Q335" s="81">
        <v>0</v>
      </c>
      <c r="R335" s="49"/>
      <c r="S335" s="19"/>
      <c r="T335" s="274"/>
      <c r="U335" s="91"/>
      <c r="V335" s="81">
        <v>0</v>
      </c>
      <c r="W335" s="49"/>
      <c r="X335" s="19"/>
      <c r="Y335" s="274"/>
      <c r="Z335" s="91"/>
      <c r="AA335" s="81">
        <v>0</v>
      </c>
      <c r="AB335" s="49"/>
      <c r="AC335" s="19"/>
      <c r="AD335" s="274"/>
      <c r="AE335" s="91"/>
      <c r="AF335" s="81">
        <v>0</v>
      </c>
      <c r="AG335" s="49"/>
      <c r="AH335" s="19"/>
      <c r="AI335" s="274"/>
      <c r="AJ335" s="91"/>
      <c r="AK335" s="81">
        <v>0</v>
      </c>
      <c r="AL335" s="49"/>
      <c r="AM335" s="19"/>
      <c r="AN335" s="274"/>
      <c r="AO335" s="91"/>
      <c r="AP335" s="81">
        <v>0</v>
      </c>
      <c r="AQ335" s="49"/>
      <c r="AR335" s="19"/>
      <c r="AS335" s="274"/>
      <c r="AT335" s="91"/>
      <c r="AU335" s="81">
        <v>0</v>
      </c>
      <c r="AV335" s="49"/>
      <c r="AW335" s="19"/>
      <c r="AX335" s="274"/>
      <c r="AY335" s="91"/>
      <c r="AZ335" s="81">
        <v>0</v>
      </c>
      <c r="BA335" s="49"/>
      <c r="BB335" s="19"/>
      <c r="BC335" s="274"/>
      <c r="BD335" s="91"/>
      <c r="BE335" s="81">
        <v>0</v>
      </c>
      <c r="BF335" s="49"/>
      <c r="BG335" s="19"/>
      <c r="BH335" s="274"/>
      <c r="BI335" s="91"/>
      <c r="BJ335" s="81">
        <v>0</v>
      </c>
      <c r="BK335" s="49"/>
      <c r="BL335" s="19"/>
      <c r="BM335" s="274"/>
      <c r="BN335" s="91"/>
      <c r="BO335" s="81">
        <v>0</v>
      </c>
      <c r="BP335" s="49"/>
      <c r="BQ335" s="19"/>
      <c r="BR335" s="274"/>
      <c r="BS335" s="91"/>
      <c r="BT335" s="81">
        <f>SUM(L335:BO335)</f>
        <v>0</v>
      </c>
      <c r="BU335" s="49"/>
      <c r="BV335" s="19"/>
      <c r="BW335" s="274"/>
      <c r="BX335" s="91"/>
      <c r="BY335" s="81">
        <v>0</v>
      </c>
      <c r="BZ335" s="49"/>
      <c r="CA335" s="19"/>
      <c r="CB335" s="274"/>
      <c r="CC335" s="91"/>
      <c r="CD335" s="81">
        <v>0</v>
      </c>
      <c r="CE335" s="49"/>
      <c r="CF335" s="19"/>
      <c r="CG335" s="274"/>
      <c r="CH335" s="91"/>
      <c r="CI335" s="81">
        <v>0</v>
      </c>
      <c r="CJ335" s="49"/>
      <c r="CK335" s="19"/>
      <c r="CL335" s="274"/>
      <c r="CM335" s="91"/>
      <c r="CN335" s="81">
        <v>0</v>
      </c>
      <c r="CO335" s="49"/>
      <c r="CP335" s="19"/>
      <c r="CQ335" s="274"/>
      <c r="CR335" s="91"/>
      <c r="CS335" s="81">
        <v>0</v>
      </c>
      <c r="CT335" s="49"/>
      <c r="CU335" s="19"/>
      <c r="CV335" s="274"/>
      <c r="CW335" s="91"/>
      <c r="CX335" s="81">
        <v>0</v>
      </c>
      <c r="CY335" s="49"/>
      <c r="CZ335" s="19"/>
      <c r="DA335" s="274"/>
      <c r="DB335" s="91"/>
      <c r="DC335" s="81">
        <v>0</v>
      </c>
      <c r="DD335" s="49"/>
      <c r="DE335" s="19"/>
      <c r="DF335" s="274"/>
      <c r="DG335" s="91"/>
      <c r="DH335" s="81">
        <v>0</v>
      </c>
      <c r="DI335" s="49"/>
      <c r="DJ335" s="19"/>
      <c r="DK335" s="274"/>
      <c r="DL335" s="91"/>
      <c r="DM335" s="81">
        <v>0</v>
      </c>
      <c r="DN335" s="49"/>
      <c r="DO335" s="19"/>
      <c r="DP335" s="274"/>
      <c r="DQ335" s="91"/>
      <c r="DR335" s="81">
        <v>0</v>
      </c>
      <c r="DS335" s="49"/>
      <c r="DT335" s="19"/>
      <c r="DU335" s="274"/>
      <c r="DV335" s="91"/>
      <c r="DW335" s="81">
        <v>0</v>
      </c>
      <c r="DX335" s="49"/>
      <c r="DY335" s="19"/>
      <c r="DZ335" s="274"/>
      <c r="EA335" s="91"/>
      <c r="EB335" s="81">
        <v>0</v>
      </c>
      <c r="EC335" s="49"/>
      <c r="ED335" s="19"/>
      <c r="EE335" s="274"/>
      <c r="EF335" s="91"/>
      <c r="EG335" s="81">
        <v>0</v>
      </c>
      <c r="EH335" s="49"/>
      <c r="EI335" s="19"/>
      <c r="EJ335" s="274"/>
      <c r="EK335" s="91"/>
      <c r="EL335" s="81">
        <f>SUM(CD335:EG335)</f>
        <v>0</v>
      </c>
      <c r="EM335" s="49"/>
      <c r="EN335" s="19"/>
      <c r="EO335" s="244"/>
      <c r="ER335" s="451"/>
      <c r="ES335" s="451"/>
    </row>
    <row r="336" spans="4:149" x14ac:dyDescent="0.2">
      <c r="D336" s="244"/>
      <c r="G336" s="19"/>
      <c r="H336" s="19"/>
      <c r="I336" s="19"/>
      <c r="J336" s="274"/>
      <c r="L336" s="19"/>
      <c r="M336" s="19"/>
      <c r="N336" s="19"/>
      <c r="O336" s="274"/>
      <c r="Q336" s="19"/>
      <c r="R336" s="19"/>
      <c r="S336" s="19"/>
      <c r="T336" s="274"/>
      <c r="V336" s="19"/>
      <c r="W336" s="19"/>
      <c r="X336" s="19"/>
      <c r="Y336" s="274"/>
      <c r="AA336" s="19"/>
      <c r="AB336" s="19"/>
      <c r="AC336" s="19"/>
      <c r="AD336" s="274"/>
      <c r="AF336" s="19"/>
      <c r="AG336" s="19"/>
      <c r="AH336" s="19"/>
      <c r="AI336" s="274"/>
      <c r="AK336" s="19"/>
      <c r="AL336" s="19"/>
      <c r="AM336" s="19"/>
      <c r="AN336" s="274"/>
      <c r="AP336" s="19"/>
      <c r="AQ336" s="19"/>
      <c r="AR336" s="19"/>
      <c r="AS336" s="274"/>
      <c r="AU336" s="19"/>
      <c r="AV336" s="19"/>
      <c r="AW336" s="19"/>
      <c r="AX336" s="274"/>
      <c r="AZ336" s="19"/>
      <c r="BA336" s="19"/>
      <c r="BB336" s="19"/>
      <c r="BC336" s="274"/>
      <c r="BE336" s="19"/>
      <c r="BF336" s="19"/>
      <c r="BG336" s="19"/>
      <c r="BH336" s="274"/>
      <c r="BJ336" s="19"/>
      <c r="BK336" s="19"/>
      <c r="BL336" s="19"/>
      <c r="BM336" s="274"/>
      <c r="BO336" s="19"/>
      <c r="BP336" s="19"/>
      <c r="BQ336" s="19"/>
      <c r="BR336" s="274"/>
      <c r="BT336" s="19"/>
      <c r="BU336" s="19"/>
      <c r="BV336" s="19"/>
      <c r="BW336" s="274"/>
      <c r="BY336" s="19"/>
      <c r="BZ336" s="19"/>
      <c r="CA336" s="19"/>
      <c r="CB336" s="274"/>
      <c r="CD336" s="19"/>
      <c r="CE336" s="19"/>
      <c r="CF336" s="19"/>
      <c r="CG336" s="274"/>
      <c r="CI336" s="19"/>
      <c r="CJ336" s="19"/>
      <c r="CK336" s="19"/>
      <c r="CL336" s="274"/>
      <c r="CN336" s="19"/>
      <c r="CO336" s="19"/>
      <c r="CP336" s="19"/>
      <c r="CQ336" s="274"/>
      <c r="CS336" s="19"/>
      <c r="CT336" s="19"/>
      <c r="CU336" s="19"/>
      <c r="CV336" s="274"/>
      <c r="CX336" s="19"/>
      <c r="CY336" s="19"/>
      <c r="CZ336" s="19"/>
      <c r="DA336" s="274"/>
      <c r="DC336" s="19"/>
      <c r="DD336" s="19"/>
      <c r="DE336" s="19"/>
      <c r="DF336" s="274"/>
      <c r="DH336" s="19"/>
      <c r="DI336" s="19"/>
      <c r="DJ336" s="19"/>
      <c r="DK336" s="274"/>
      <c r="DM336" s="19"/>
      <c r="DN336" s="19"/>
      <c r="DO336" s="19"/>
      <c r="DP336" s="274"/>
      <c r="DR336" s="19"/>
      <c r="DS336" s="19"/>
      <c r="DT336" s="19"/>
      <c r="DU336" s="274"/>
      <c r="DW336" s="19"/>
      <c r="DX336" s="19"/>
      <c r="DY336" s="19"/>
      <c r="DZ336" s="274"/>
      <c r="EB336" s="19"/>
      <c r="EC336" s="19"/>
      <c r="ED336" s="19"/>
      <c r="EE336" s="274"/>
      <c r="EG336" s="19"/>
      <c r="EH336" s="19"/>
      <c r="EI336" s="19"/>
      <c r="EJ336" s="274"/>
      <c r="EL336" s="19"/>
      <c r="EM336" s="19"/>
      <c r="EN336" s="19"/>
      <c r="EO336" s="244"/>
      <c r="ER336" s="451"/>
      <c r="ES336" s="451"/>
    </row>
    <row r="337" spans="4:149" ht="12.75" customHeight="1" x14ac:dyDescent="0.2">
      <c r="D337" s="244" t="s">
        <v>410</v>
      </c>
      <c r="G337" s="12">
        <f>SUM(G338)</f>
        <v>0</v>
      </c>
      <c r="I337" s="19"/>
      <c r="J337" s="274"/>
      <c r="K337" s="19"/>
      <c r="L337" s="19">
        <f>SUM(L338:L338)</f>
        <v>0</v>
      </c>
      <c r="M337" s="19"/>
      <c r="N337" s="19"/>
      <c r="O337" s="274"/>
      <c r="P337" s="19"/>
      <c r="Q337" s="19">
        <f>SUM(Q338:Q338)</f>
        <v>0</v>
      </c>
      <c r="R337" s="19"/>
      <c r="S337" s="19"/>
      <c r="T337" s="274"/>
      <c r="U337" s="19"/>
      <c r="V337" s="19">
        <f>SUM(V338:V338)</f>
        <v>0</v>
      </c>
      <c r="W337" s="19"/>
      <c r="X337" s="19"/>
      <c r="Y337" s="274"/>
      <c r="Z337" s="19"/>
      <c r="AA337" s="19">
        <f>SUM(AA338:AA338)</f>
        <v>0</v>
      </c>
      <c r="AB337" s="19"/>
      <c r="AC337" s="19"/>
      <c r="AD337" s="274"/>
      <c r="AE337" s="19"/>
      <c r="AF337" s="19">
        <f>SUM(AF338:AF338)</f>
        <v>0</v>
      </c>
      <c r="AG337" s="19"/>
      <c r="AH337" s="19"/>
      <c r="AI337" s="274"/>
      <c r="AJ337" s="19"/>
      <c r="AK337" s="19">
        <f>SUM(AK338:AK338)</f>
        <v>0</v>
      </c>
      <c r="AL337" s="19"/>
      <c r="AM337" s="19"/>
      <c r="AN337" s="274"/>
      <c r="AO337" s="19"/>
      <c r="AP337" s="19">
        <f>SUM(AP338:AP338)</f>
        <v>0</v>
      </c>
      <c r="AQ337" s="19"/>
      <c r="AR337" s="19"/>
      <c r="AS337" s="274"/>
      <c r="AT337" s="19"/>
      <c r="AU337" s="19">
        <f>SUM(AU338:AU338)</f>
        <v>0</v>
      </c>
      <c r="AV337" s="19"/>
      <c r="AW337" s="19"/>
      <c r="AX337" s="274"/>
      <c r="AY337" s="19"/>
      <c r="AZ337" s="19">
        <f>SUM(AZ338:AZ338)</f>
        <v>0</v>
      </c>
      <c r="BA337" s="19"/>
      <c r="BB337" s="19"/>
      <c r="BC337" s="274"/>
      <c r="BD337" s="19"/>
      <c r="BE337" s="19">
        <f>SUM(BE338:BE338)</f>
        <v>0</v>
      </c>
      <c r="BF337" s="19"/>
      <c r="BG337" s="19"/>
      <c r="BH337" s="274"/>
      <c r="BI337" s="19"/>
      <c r="BJ337" s="19">
        <f>SUM(BJ338:BJ338)</f>
        <v>0</v>
      </c>
      <c r="BK337" s="19"/>
      <c r="BL337" s="19"/>
      <c r="BM337" s="274"/>
      <c r="BN337" s="19"/>
      <c r="BO337" s="19">
        <f>SUM(BO338:BO338)</f>
        <v>0</v>
      </c>
      <c r="BP337" s="19"/>
      <c r="BQ337" s="19"/>
      <c r="BR337" s="274"/>
      <c r="BT337" s="19">
        <f>SUM(BT338:BT338)</f>
        <v>0</v>
      </c>
      <c r="BU337" s="19"/>
      <c r="BV337" s="19"/>
      <c r="BW337" s="274"/>
      <c r="BY337" s="19">
        <f>SUM(BY338:BY338)</f>
        <v>470894</v>
      </c>
      <c r="CA337" s="19"/>
      <c r="CB337" s="274"/>
      <c r="CC337" s="19"/>
      <c r="CD337" s="19">
        <f>SUM(CD338:CD338)</f>
        <v>0</v>
      </c>
      <c r="CE337" s="19"/>
      <c r="CF337" s="19"/>
      <c r="CG337" s="274"/>
      <c r="CH337" s="19"/>
      <c r="CI337" s="19">
        <f>SUM(CI338:CI338)</f>
        <v>0</v>
      </c>
      <c r="CJ337" s="19"/>
      <c r="CK337" s="19"/>
      <c r="CL337" s="274"/>
      <c r="CM337" s="19"/>
      <c r="CN337" s="19">
        <f>SUM(CN338:CN338)</f>
        <v>0</v>
      </c>
      <c r="CO337" s="19"/>
      <c r="CP337" s="19"/>
      <c r="CQ337" s="274"/>
      <c r="CR337" s="19"/>
      <c r="CS337" s="19">
        <f>SUM(CS338:CS338)</f>
        <v>0</v>
      </c>
      <c r="CT337" s="19"/>
      <c r="CU337" s="19"/>
      <c r="CV337" s="274"/>
      <c r="CW337" s="19"/>
      <c r="CX337" s="19">
        <f>SUM(CX338:CX338)</f>
        <v>23165</v>
      </c>
      <c r="CY337" s="19"/>
      <c r="CZ337" s="19"/>
      <c r="DA337" s="274"/>
      <c r="DB337" s="19"/>
      <c r="DC337" s="19">
        <f>SUM(DC338:DC338)</f>
        <v>0</v>
      </c>
      <c r="DD337" s="19"/>
      <c r="DE337" s="19"/>
      <c r="DF337" s="274"/>
      <c r="DG337" s="19"/>
      <c r="DH337" s="19">
        <f>SUM(DH338:DH338)</f>
        <v>0</v>
      </c>
      <c r="DI337" s="19"/>
      <c r="DJ337" s="19"/>
      <c r="DK337" s="274"/>
      <c r="DL337" s="19"/>
      <c r="DM337" s="19">
        <f>SUM(DM338:DM338)</f>
        <v>0</v>
      </c>
      <c r="DN337" s="19"/>
      <c r="DO337" s="19"/>
      <c r="DP337" s="274"/>
      <c r="DQ337" s="19"/>
      <c r="DR337" s="19">
        <f>SUM(DR338:DR338)</f>
        <v>0</v>
      </c>
      <c r="DS337" s="19"/>
      <c r="DT337" s="19"/>
      <c r="DU337" s="274"/>
      <c r="DV337" s="19"/>
      <c r="DW337" s="19">
        <f>SUM(DW338:DW338)</f>
        <v>0</v>
      </c>
      <c r="DX337" s="19"/>
      <c r="DY337" s="19"/>
      <c r="DZ337" s="274"/>
      <c r="EA337" s="19"/>
      <c r="EB337" s="19">
        <f>SUM(EB338:EB338)</f>
        <v>0</v>
      </c>
      <c r="EC337" s="19"/>
      <c r="ED337" s="19"/>
      <c r="EE337" s="274"/>
      <c r="EF337" s="19"/>
      <c r="EG337" s="19">
        <f>SUM(EG338:EG338)</f>
        <v>447729</v>
      </c>
      <c r="EH337" s="19"/>
      <c r="EI337" s="19"/>
      <c r="EJ337" s="274"/>
      <c r="EL337" s="19">
        <f>SUM(EL338:EL338)</f>
        <v>470894</v>
      </c>
      <c r="EM337" s="19"/>
      <c r="EN337" s="19"/>
      <c r="EO337" s="244"/>
      <c r="ER337" s="451"/>
      <c r="ES337" s="451"/>
    </row>
    <row r="338" spans="4:149" ht="12.75" customHeight="1" x14ac:dyDescent="0.2">
      <c r="D338" s="244" t="s">
        <v>344</v>
      </c>
      <c r="F338" s="91"/>
      <c r="G338" s="81">
        <v>0</v>
      </c>
      <c r="H338" s="49"/>
      <c r="I338" s="19"/>
      <c r="J338" s="274"/>
      <c r="K338" s="91"/>
      <c r="L338" s="81">
        <v>0</v>
      </c>
      <c r="M338" s="49"/>
      <c r="N338" s="19"/>
      <c r="O338" s="274"/>
      <c r="P338" s="91"/>
      <c r="Q338" s="81">
        <v>0</v>
      </c>
      <c r="R338" s="49"/>
      <c r="S338" s="19"/>
      <c r="T338" s="274"/>
      <c r="U338" s="91"/>
      <c r="V338" s="81">
        <v>0</v>
      </c>
      <c r="W338" s="49"/>
      <c r="X338" s="19"/>
      <c r="Y338" s="274"/>
      <c r="Z338" s="91"/>
      <c r="AA338" s="81">
        <v>0</v>
      </c>
      <c r="AB338" s="49"/>
      <c r="AC338" s="19"/>
      <c r="AD338" s="274"/>
      <c r="AE338" s="91"/>
      <c r="AF338" s="81">
        <v>0</v>
      </c>
      <c r="AG338" s="49"/>
      <c r="AH338" s="19"/>
      <c r="AI338" s="274"/>
      <c r="AJ338" s="91"/>
      <c r="AK338" s="81">
        <v>0</v>
      </c>
      <c r="AL338" s="49"/>
      <c r="AM338" s="19"/>
      <c r="AN338" s="274"/>
      <c r="AO338" s="91"/>
      <c r="AP338" s="81">
        <v>0</v>
      </c>
      <c r="AQ338" s="49"/>
      <c r="AR338" s="19"/>
      <c r="AS338" s="274"/>
      <c r="AT338" s="91"/>
      <c r="AU338" s="81">
        <v>0</v>
      </c>
      <c r="AV338" s="49"/>
      <c r="AW338" s="19"/>
      <c r="AX338" s="274"/>
      <c r="AY338" s="91"/>
      <c r="AZ338" s="81">
        <v>0</v>
      </c>
      <c r="BA338" s="49"/>
      <c r="BB338" s="19"/>
      <c r="BC338" s="274"/>
      <c r="BD338" s="91"/>
      <c r="BE338" s="81">
        <v>0</v>
      </c>
      <c r="BF338" s="49"/>
      <c r="BG338" s="19"/>
      <c r="BH338" s="274"/>
      <c r="BI338" s="91"/>
      <c r="BJ338" s="81">
        <v>0</v>
      </c>
      <c r="BK338" s="49"/>
      <c r="BL338" s="19"/>
      <c r="BM338" s="274"/>
      <c r="BN338" s="91"/>
      <c r="BO338" s="81">
        <v>0</v>
      </c>
      <c r="BP338" s="49"/>
      <c r="BQ338" s="19"/>
      <c r="BR338" s="274"/>
      <c r="BS338" s="91"/>
      <c r="BT338" s="81">
        <f>SUM(L338:BO338)</f>
        <v>0</v>
      </c>
      <c r="BU338" s="49"/>
      <c r="BV338" s="19"/>
      <c r="BW338" s="274"/>
      <c r="BX338" s="91"/>
      <c r="BY338" s="81">
        <v>470894</v>
      </c>
      <c r="BZ338" s="49"/>
      <c r="CA338" s="19"/>
      <c r="CB338" s="274"/>
      <c r="CC338" s="91"/>
      <c r="CD338" s="81">
        <v>0</v>
      </c>
      <c r="CE338" s="49"/>
      <c r="CF338" s="19"/>
      <c r="CG338" s="274"/>
      <c r="CH338" s="91"/>
      <c r="CI338" s="81">
        <v>0</v>
      </c>
      <c r="CJ338" s="49"/>
      <c r="CK338" s="19"/>
      <c r="CL338" s="274"/>
      <c r="CM338" s="91"/>
      <c r="CN338" s="81">
        <v>0</v>
      </c>
      <c r="CO338" s="49"/>
      <c r="CP338" s="19"/>
      <c r="CQ338" s="274"/>
      <c r="CR338" s="91"/>
      <c r="CS338" s="81">
        <v>0</v>
      </c>
      <c r="CT338" s="49"/>
      <c r="CU338" s="19"/>
      <c r="CV338" s="274"/>
      <c r="CW338" s="91"/>
      <c r="CX338" s="81">
        <v>23165</v>
      </c>
      <c r="CY338" s="49"/>
      <c r="CZ338" s="19"/>
      <c r="DA338" s="274"/>
      <c r="DB338" s="91"/>
      <c r="DC338" s="81">
        <v>0</v>
      </c>
      <c r="DD338" s="49"/>
      <c r="DE338" s="19"/>
      <c r="DF338" s="274"/>
      <c r="DG338" s="91"/>
      <c r="DH338" s="81">
        <v>0</v>
      </c>
      <c r="DI338" s="49"/>
      <c r="DJ338" s="19"/>
      <c r="DK338" s="274"/>
      <c r="DL338" s="91"/>
      <c r="DM338" s="81">
        <v>0</v>
      </c>
      <c r="DN338" s="49"/>
      <c r="DO338" s="19"/>
      <c r="DP338" s="274"/>
      <c r="DQ338" s="91"/>
      <c r="DR338" s="81">
        <v>0</v>
      </c>
      <c r="DS338" s="49"/>
      <c r="DT338" s="19"/>
      <c r="DU338" s="274"/>
      <c r="DV338" s="91"/>
      <c r="DW338" s="81">
        <v>0</v>
      </c>
      <c r="DX338" s="49"/>
      <c r="DY338" s="19"/>
      <c r="DZ338" s="274"/>
      <c r="EA338" s="91"/>
      <c r="EB338" s="81">
        <v>0</v>
      </c>
      <c r="EC338" s="49"/>
      <c r="ED338" s="19"/>
      <c r="EE338" s="274"/>
      <c r="EF338" s="91"/>
      <c r="EG338" s="81">
        <v>447729</v>
      </c>
      <c r="EH338" s="49"/>
      <c r="EI338" s="19"/>
      <c r="EJ338" s="274"/>
      <c r="EK338" s="91"/>
      <c r="EL338" s="81">
        <f>SUM(CD338:EG338)</f>
        <v>470894</v>
      </c>
      <c r="EM338" s="49"/>
      <c r="EN338" s="19"/>
      <c r="EO338" s="244"/>
      <c r="ER338" s="451"/>
      <c r="ES338" s="451"/>
    </row>
    <row r="339" spans="4:149" ht="12.75" customHeight="1" x14ac:dyDescent="0.2">
      <c r="D339" s="244"/>
      <c r="G339" s="19"/>
      <c r="H339" s="19"/>
      <c r="I339" s="19"/>
      <c r="J339" s="274"/>
      <c r="L339" s="19"/>
      <c r="M339" s="19"/>
      <c r="N339" s="19"/>
      <c r="O339" s="274"/>
      <c r="Q339" s="19"/>
      <c r="R339" s="19"/>
      <c r="S339" s="19"/>
      <c r="T339" s="274"/>
      <c r="V339" s="19"/>
      <c r="W339" s="19"/>
      <c r="X339" s="19"/>
      <c r="Y339" s="274"/>
      <c r="AA339" s="19"/>
      <c r="AB339" s="19"/>
      <c r="AC339" s="19"/>
      <c r="AD339" s="274"/>
      <c r="AF339" s="19"/>
      <c r="AG339" s="19"/>
      <c r="AH339" s="19"/>
      <c r="AI339" s="274"/>
      <c r="AK339" s="19"/>
      <c r="AL339" s="19"/>
      <c r="AM339" s="19"/>
      <c r="AN339" s="274"/>
      <c r="AP339" s="19"/>
      <c r="AQ339" s="19"/>
      <c r="AR339" s="19"/>
      <c r="AS339" s="274"/>
      <c r="AU339" s="19"/>
      <c r="AV339" s="19"/>
      <c r="AW339" s="19"/>
      <c r="AX339" s="274"/>
      <c r="AZ339" s="19"/>
      <c r="BA339" s="19"/>
      <c r="BB339" s="19"/>
      <c r="BC339" s="274"/>
      <c r="BE339" s="19"/>
      <c r="BF339" s="19"/>
      <c r="BG339" s="19"/>
      <c r="BH339" s="274"/>
      <c r="BJ339" s="19"/>
      <c r="BK339" s="19"/>
      <c r="BL339" s="19"/>
      <c r="BM339" s="274"/>
      <c r="BO339" s="19"/>
      <c r="BP339" s="19"/>
      <c r="BQ339" s="19"/>
      <c r="BR339" s="274"/>
      <c r="BT339" s="19"/>
      <c r="BU339" s="19"/>
      <c r="BV339" s="19"/>
      <c r="BW339" s="274"/>
      <c r="BY339" s="19"/>
      <c r="BZ339" s="19"/>
      <c r="CA339" s="19"/>
      <c r="CB339" s="274"/>
      <c r="CD339" s="19"/>
      <c r="CE339" s="19"/>
      <c r="CF339" s="19"/>
      <c r="CG339" s="274"/>
      <c r="CI339" s="19"/>
      <c r="CJ339" s="19"/>
      <c r="CK339" s="19"/>
      <c r="CL339" s="274"/>
      <c r="CN339" s="19"/>
      <c r="CO339" s="19"/>
      <c r="CP339" s="19"/>
      <c r="CQ339" s="274"/>
      <c r="CS339" s="19"/>
      <c r="CT339" s="19"/>
      <c r="CU339" s="19"/>
      <c r="CV339" s="274"/>
      <c r="CX339" s="19"/>
      <c r="CY339" s="19"/>
      <c r="CZ339" s="19"/>
      <c r="DA339" s="274"/>
      <c r="DC339" s="19"/>
      <c r="DD339" s="19"/>
      <c r="DE339" s="19"/>
      <c r="DF339" s="274"/>
      <c r="DH339" s="19"/>
      <c r="DI339" s="19"/>
      <c r="DJ339" s="19"/>
      <c r="DK339" s="274"/>
      <c r="DM339" s="19"/>
      <c r="DN339" s="19"/>
      <c r="DO339" s="19"/>
      <c r="DP339" s="274"/>
      <c r="DR339" s="19"/>
      <c r="DS339" s="19"/>
      <c r="DT339" s="19"/>
      <c r="DU339" s="274"/>
      <c r="DW339" s="19"/>
      <c r="DX339" s="19"/>
      <c r="DY339" s="19"/>
      <c r="DZ339" s="274"/>
      <c r="EB339" s="19"/>
      <c r="EC339" s="19"/>
      <c r="ED339" s="19"/>
      <c r="EE339" s="274"/>
      <c r="EG339" s="19"/>
      <c r="EH339" s="19"/>
      <c r="EI339" s="19"/>
      <c r="EJ339" s="274"/>
      <c r="EL339" s="19"/>
      <c r="EM339" s="19"/>
      <c r="EN339" s="19"/>
      <c r="EO339" s="244"/>
      <c r="ER339" s="451"/>
      <c r="ES339" s="451"/>
    </row>
    <row r="340" spans="4:149" x14ac:dyDescent="0.2">
      <c r="D340" s="244" t="s">
        <v>372</v>
      </c>
      <c r="G340" s="12">
        <f>SUM(G341:G341)</f>
        <v>0</v>
      </c>
      <c r="I340" s="19"/>
      <c r="J340" s="274"/>
      <c r="K340" s="19"/>
      <c r="L340" s="19">
        <f>SUM(L341:L341)</f>
        <v>0</v>
      </c>
      <c r="M340" s="19"/>
      <c r="N340" s="19"/>
      <c r="O340" s="274"/>
      <c r="P340" s="19"/>
      <c r="Q340" s="19">
        <f>SUM(Q341:Q341)</f>
        <v>0</v>
      </c>
      <c r="R340" s="19"/>
      <c r="S340" s="19"/>
      <c r="T340" s="274"/>
      <c r="U340" s="19"/>
      <c r="V340" s="19">
        <f>SUM(V341:V341)</f>
        <v>0</v>
      </c>
      <c r="W340" s="19"/>
      <c r="X340" s="19"/>
      <c r="Y340" s="274"/>
      <c r="Z340" s="19"/>
      <c r="AA340" s="19">
        <f>SUM(AA341:AA341)</f>
        <v>0</v>
      </c>
      <c r="AB340" s="19"/>
      <c r="AC340" s="19"/>
      <c r="AD340" s="274"/>
      <c r="AE340" s="19"/>
      <c r="AF340" s="19">
        <f>SUM(AF341:AF341)</f>
        <v>0</v>
      </c>
      <c r="AG340" s="19"/>
      <c r="AH340" s="19"/>
      <c r="AI340" s="274"/>
      <c r="AJ340" s="19"/>
      <c r="AK340" s="19">
        <f>SUM(AK341:AK341)</f>
        <v>0</v>
      </c>
      <c r="AL340" s="19"/>
      <c r="AM340" s="19"/>
      <c r="AN340" s="274"/>
      <c r="AO340" s="19"/>
      <c r="AP340" s="19">
        <f>SUM(AP341:AP341)</f>
        <v>0</v>
      </c>
      <c r="AQ340" s="19"/>
      <c r="AR340" s="19"/>
      <c r="AS340" s="274"/>
      <c r="AT340" s="19"/>
      <c r="AU340" s="19">
        <f>SUM(AU341:AU341)</f>
        <v>0</v>
      </c>
      <c r="AV340" s="19"/>
      <c r="AW340" s="19"/>
      <c r="AX340" s="274"/>
      <c r="AY340" s="19"/>
      <c r="AZ340" s="19">
        <f>SUM(AZ341:AZ341)</f>
        <v>0</v>
      </c>
      <c r="BA340" s="19"/>
      <c r="BB340" s="19"/>
      <c r="BC340" s="274"/>
      <c r="BD340" s="19"/>
      <c r="BE340" s="19">
        <f>SUM(BE341:BE341)</f>
        <v>0</v>
      </c>
      <c r="BF340" s="19"/>
      <c r="BG340" s="19"/>
      <c r="BH340" s="274"/>
      <c r="BI340" s="19"/>
      <c r="BJ340" s="19">
        <f>SUM(BJ341:BJ341)</f>
        <v>0</v>
      </c>
      <c r="BK340" s="19"/>
      <c r="BL340" s="19"/>
      <c r="BM340" s="274"/>
      <c r="BN340" s="19"/>
      <c r="BO340" s="19">
        <f>SUM(BO341:BO341)</f>
        <v>0</v>
      </c>
      <c r="BP340" s="19"/>
      <c r="BQ340" s="19"/>
      <c r="BR340" s="274"/>
      <c r="BT340" s="19">
        <f>SUM(BT341:BT341)</f>
        <v>0</v>
      </c>
      <c r="BU340" s="19"/>
      <c r="BV340" s="19"/>
      <c r="BW340" s="274"/>
      <c r="BY340" s="19">
        <f>SUM(BY341:BY341)</f>
        <v>30810</v>
      </c>
      <c r="CA340" s="19"/>
      <c r="CB340" s="274"/>
      <c r="CC340" s="19"/>
      <c r="CD340" s="19">
        <f>SUM(CD341:CD341)</f>
        <v>0</v>
      </c>
      <c r="CE340" s="19"/>
      <c r="CF340" s="19"/>
      <c r="CG340" s="274"/>
      <c r="CH340" s="19"/>
      <c r="CI340" s="19">
        <f>SUM(CI341:CI341)</f>
        <v>0</v>
      </c>
      <c r="CJ340" s="19"/>
      <c r="CK340" s="19"/>
      <c r="CL340" s="274"/>
      <c r="CM340" s="19"/>
      <c r="CN340" s="19">
        <f>SUM(CN341:CN341)</f>
        <v>0</v>
      </c>
      <c r="CO340" s="19"/>
      <c r="CP340" s="19"/>
      <c r="CQ340" s="274"/>
      <c r="CR340" s="19"/>
      <c r="CS340" s="19">
        <f>SUM(CS341:CS341)</f>
        <v>0</v>
      </c>
      <c r="CT340" s="19"/>
      <c r="CU340" s="19"/>
      <c r="CV340" s="274"/>
      <c r="CW340" s="19"/>
      <c r="CX340" s="19">
        <f>SUM(CX341:CX341)</f>
        <v>0</v>
      </c>
      <c r="CY340" s="19"/>
      <c r="CZ340" s="19"/>
      <c r="DA340" s="274"/>
      <c r="DB340" s="19"/>
      <c r="DC340" s="19">
        <f>SUM(DC341:DC341)</f>
        <v>0</v>
      </c>
      <c r="DD340" s="19"/>
      <c r="DE340" s="19"/>
      <c r="DF340" s="274"/>
      <c r="DG340" s="19"/>
      <c r="DH340" s="19">
        <f>SUM(DH341:DH341)</f>
        <v>0</v>
      </c>
      <c r="DI340" s="19"/>
      <c r="DJ340" s="19"/>
      <c r="DK340" s="274"/>
      <c r="DL340" s="19"/>
      <c r="DM340" s="19">
        <f>SUM(DM341:DM341)</f>
        <v>0</v>
      </c>
      <c r="DN340" s="19"/>
      <c r="DO340" s="19"/>
      <c r="DP340" s="274"/>
      <c r="DQ340" s="19"/>
      <c r="DR340" s="19">
        <f>SUM(DR341:DR341)</f>
        <v>0</v>
      </c>
      <c r="DS340" s="19"/>
      <c r="DT340" s="19"/>
      <c r="DU340" s="274"/>
      <c r="DV340" s="19"/>
      <c r="DW340" s="19">
        <f>SUM(DW341:DW341)</f>
        <v>0</v>
      </c>
      <c r="DX340" s="19"/>
      <c r="DY340" s="19"/>
      <c r="DZ340" s="274"/>
      <c r="EA340" s="19"/>
      <c r="EB340" s="19">
        <f>SUM(EB341:EB341)</f>
        <v>0</v>
      </c>
      <c r="EC340" s="19"/>
      <c r="ED340" s="19"/>
      <c r="EE340" s="274"/>
      <c r="EF340" s="19"/>
      <c r="EG340" s="19">
        <f>SUM(EG341:EG341)</f>
        <v>30810</v>
      </c>
      <c r="EH340" s="19"/>
      <c r="EI340" s="19"/>
      <c r="EJ340" s="274"/>
      <c r="EL340" s="19">
        <f>SUM(EL341:EL341)</f>
        <v>30810</v>
      </c>
      <c r="EM340" s="19"/>
      <c r="EN340" s="19"/>
      <c r="EO340" s="244"/>
      <c r="ER340" s="451"/>
      <c r="ES340" s="451"/>
    </row>
    <row r="341" spans="4:149" x14ac:dyDescent="0.2">
      <c r="D341" s="244" t="s">
        <v>344</v>
      </c>
      <c r="F341" s="91"/>
      <c r="G341" s="81">
        <v>0</v>
      </c>
      <c r="H341" s="49"/>
      <c r="I341" s="19"/>
      <c r="J341" s="274"/>
      <c r="K341" s="91"/>
      <c r="L341" s="81">
        <v>0</v>
      </c>
      <c r="M341" s="49"/>
      <c r="N341" s="19"/>
      <c r="O341" s="274"/>
      <c r="P341" s="91"/>
      <c r="Q341" s="81">
        <v>0</v>
      </c>
      <c r="R341" s="49"/>
      <c r="S341" s="19"/>
      <c r="T341" s="274"/>
      <c r="U341" s="91"/>
      <c r="V341" s="81">
        <v>0</v>
      </c>
      <c r="W341" s="49"/>
      <c r="X341" s="19"/>
      <c r="Y341" s="274"/>
      <c r="Z341" s="91"/>
      <c r="AA341" s="81">
        <v>0</v>
      </c>
      <c r="AB341" s="49"/>
      <c r="AC341" s="19"/>
      <c r="AD341" s="274"/>
      <c r="AE341" s="91"/>
      <c r="AF341" s="81">
        <v>0</v>
      </c>
      <c r="AG341" s="49"/>
      <c r="AH341" s="19"/>
      <c r="AI341" s="274"/>
      <c r="AJ341" s="91"/>
      <c r="AK341" s="81">
        <v>0</v>
      </c>
      <c r="AL341" s="49"/>
      <c r="AM341" s="19"/>
      <c r="AN341" s="274"/>
      <c r="AO341" s="91"/>
      <c r="AP341" s="81">
        <v>0</v>
      </c>
      <c r="AQ341" s="49"/>
      <c r="AR341" s="19"/>
      <c r="AS341" s="274"/>
      <c r="AT341" s="91"/>
      <c r="AU341" s="81">
        <v>0</v>
      </c>
      <c r="AV341" s="49"/>
      <c r="AW341" s="19"/>
      <c r="AX341" s="274"/>
      <c r="AY341" s="91"/>
      <c r="AZ341" s="81">
        <v>0</v>
      </c>
      <c r="BA341" s="49"/>
      <c r="BB341" s="19"/>
      <c r="BC341" s="274"/>
      <c r="BD341" s="91"/>
      <c r="BE341" s="81">
        <v>0</v>
      </c>
      <c r="BF341" s="49"/>
      <c r="BG341" s="19"/>
      <c r="BH341" s="274"/>
      <c r="BI341" s="91"/>
      <c r="BJ341" s="81">
        <v>0</v>
      </c>
      <c r="BK341" s="49"/>
      <c r="BL341" s="19"/>
      <c r="BM341" s="274"/>
      <c r="BN341" s="91"/>
      <c r="BO341" s="81">
        <v>0</v>
      </c>
      <c r="BP341" s="49"/>
      <c r="BQ341" s="19"/>
      <c r="BR341" s="274"/>
      <c r="BS341" s="91"/>
      <c r="BT341" s="81">
        <f>SUM(L341:BO341)</f>
        <v>0</v>
      </c>
      <c r="BU341" s="49"/>
      <c r="BV341" s="19"/>
      <c r="BW341" s="274"/>
      <c r="BX341" s="91"/>
      <c r="BY341" s="81">
        <v>30810</v>
      </c>
      <c r="BZ341" s="49"/>
      <c r="CA341" s="19"/>
      <c r="CB341" s="274"/>
      <c r="CC341" s="91"/>
      <c r="CD341" s="81">
        <v>0</v>
      </c>
      <c r="CE341" s="49"/>
      <c r="CF341" s="19"/>
      <c r="CG341" s="274"/>
      <c r="CH341" s="91"/>
      <c r="CI341" s="81">
        <v>0</v>
      </c>
      <c r="CJ341" s="49"/>
      <c r="CK341" s="19"/>
      <c r="CL341" s="274"/>
      <c r="CM341" s="91"/>
      <c r="CN341" s="81">
        <v>0</v>
      </c>
      <c r="CO341" s="49"/>
      <c r="CP341" s="19"/>
      <c r="CQ341" s="274"/>
      <c r="CR341" s="91"/>
      <c r="CS341" s="81">
        <v>0</v>
      </c>
      <c r="CT341" s="49"/>
      <c r="CU341" s="19"/>
      <c r="CV341" s="274"/>
      <c r="CW341" s="91"/>
      <c r="CX341" s="81">
        <v>0</v>
      </c>
      <c r="CY341" s="49"/>
      <c r="CZ341" s="19"/>
      <c r="DA341" s="274"/>
      <c r="DB341" s="91"/>
      <c r="DC341" s="81">
        <v>0</v>
      </c>
      <c r="DD341" s="49"/>
      <c r="DE341" s="19"/>
      <c r="DF341" s="274"/>
      <c r="DG341" s="91"/>
      <c r="DH341" s="81">
        <v>0</v>
      </c>
      <c r="DI341" s="49"/>
      <c r="DJ341" s="19"/>
      <c r="DK341" s="274"/>
      <c r="DL341" s="91"/>
      <c r="DM341" s="81">
        <v>0</v>
      </c>
      <c r="DN341" s="49"/>
      <c r="DO341" s="19"/>
      <c r="DP341" s="274"/>
      <c r="DQ341" s="91"/>
      <c r="DR341" s="81">
        <v>0</v>
      </c>
      <c r="DS341" s="49"/>
      <c r="DT341" s="19"/>
      <c r="DU341" s="274"/>
      <c r="DV341" s="91"/>
      <c r="DW341" s="81">
        <v>0</v>
      </c>
      <c r="DX341" s="49"/>
      <c r="DY341" s="19"/>
      <c r="DZ341" s="274"/>
      <c r="EA341" s="91"/>
      <c r="EB341" s="81">
        <v>0</v>
      </c>
      <c r="EC341" s="49"/>
      <c r="ED341" s="19"/>
      <c r="EE341" s="274"/>
      <c r="EF341" s="91"/>
      <c r="EG341" s="81">
        <v>30810</v>
      </c>
      <c r="EH341" s="49"/>
      <c r="EI341" s="19"/>
      <c r="EJ341" s="274"/>
      <c r="EK341" s="91"/>
      <c r="EL341" s="81">
        <f>SUM(CD341:EG341)</f>
        <v>30810</v>
      </c>
      <c r="EM341" s="49"/>
      <c r="EN341" s="19"/>
      <c r="EO341" s="244"/>
      <c r="ER341" s="451"/>
      <c r="ES341" s="451"/>
    </row>
    <row r="342" spans="4:149" x14ac:dyDescent="0.2">
      <c r="D342" s="205"/>
      <c r="E342" s="361"/>
      <c r="F342" s="90"/>
      <c r="G342" s="40"/>
      <c r="H342" s="40"/>
      <c r="I342" s="40"/>
      <c r="J342" s="461"/>
      <c r="K342" s="40"/>
      <c r="L342" s="40"/>
      <c r="M342" s="40"/>
      <c r="N342" s="40"/>
      <c r="O342" s="461"/>
      <c r="P342" s="40"/>
      <c r="Q342" s="40"/>
      <c r="R342" s="40"/>
      <c r="S342" s="40"/>
      <c r="T342" s="461"/>
      <c r="U342" s="40"/>
      <c r="V342" s="40"/>
      <c r="W342" s="40"/>
      <c r="X342" s="40"/>
      <c r="Y342" s="461"/>
      <c r="Z342" s="40"/>
      <c r="AA342" s="40"/>
      <c r="AB342" s="40"/>
      <c r="AC342" s="40"/>
      <c r="AD342" s="461"/>
      <c r="AE342" s="40"/>
      <c r="AF342" s="40"/>
      <c r="AG342" s="40"/>
      <c r="AH342" s="40"/>
      <c r="AI342" s="461"/>
      <c r="AJ342" s="40"/>
      <c r="AK342" s="40"/>
      <c r="AL342" s="40"/>
      <c r="AM342" s="40"/>
      <c r="AN342" s="461"/>
      <c r="AO342" s="40"/>
      <c r="AP342" s="40"/>
      <c r="AQ342" s="40"/>
      <c r="AR342" s="40"/>
      <c r="AS342" s="461"/>
      <c r="AT342" s="40"/>
      <c r="AU342" s="40"/>
      <c r="AV342" s="40"/>
      <c r="AW342" s="40"/>
      <c r="AX342" s="461"/>
      <c r="AY342" s="40"/>
      <c r="AZ342" s="40"/>
      <c r="BA342" s="40"/>
      <c r="BB342" s="40"/>
      <c r="BC342" s="461"/>
      <c r="BD342" s="40"/>
      <c r="BE342" s="40"/>
      <c r="BF342" s="40"/>
      <c r="BG342" s="40"/>
      <c r="BH342" s="461"/>
      <c r="BI342" s="40"/>
      <c r="BJ342" s="40"/>
      <c r="BK342" s="40"/>
      <c r="BL342" s="40"/>
      <c r="BM342" s="461"/>
      <c r="BN342" s="40"/>
      <c r="BO342" s="40"/>
      <c r="BP342" s="40"/>
      <c r="BQ342" s="40"/>
      <c r="BR342" s="461"/>
      <c r="BS342" s="40"/>
      <c r="BT342" s="40"/>
      <c r="BU342" s="40"/>
      <c r="BV342" s="40"/>
      <c r="BW342" s="461"/>
      <c r="BX342" s="40"/>
      <c r="BY342" s="40"/>
      <c r="BZ342" s="40"/>
      <c r="CA342" s="40"/>
      <c r="CB342" s="461"/>
      <c r="CC342" s="40"/>
      <c r="CD342" s="40"/>
      <c r="CE342" s="40"/>
      <c r="CF342" s="40"/>
      <c r="CG342" s="461"/>
      <c r="CH342" s="40"/>
      <c r="CI342" s="40"/>
      <c r="CJ342" s="40"/>
      <c r="CK342" s="40"/>
      <c r="CL342" s="461"/>
      <c r="CM342" s="40"/>
      <c r="CN342" s="40"/>
      <c r="CO342" s="40"/>
      <c r="CP342" s="40"/>
      <c r="CQ342" s="461"/>
      <c r="CR342" s="40"/>
      <c r="CS342" s="40"/>
      <c r="CT342" s="40"/>
      <c r="CU342" s="40"/>
      <c r="CV342" s="461"/>
      <c r="CW342" s="40"/>
      <c r="CX342" s="40"/>
      <c r="CY342" s="40"/>
      <c r="CZ342" s="40"/>
      <c r="DA342" s="461"/>
      <c r="DB342" s="40"/>
      <c r="DC342" s="40"/>
      <c r="DD342" s="40"/>
      <c r="DE342" s="40"/>
      <c r="DF342" s="461"/>
      <c r="DG342" s="40"/>
      <c r="DH342" s="40"/>
      <c r="DI342" s="40"/>
      <c r="DJ342" s="40"/>
      <c r="DK342" s="461"/>
      <c r="DL342" s="40"/>
      <c r="DM342" s="40"/>
      <c r="DN342" s="40"/>
      <c r="DO342" s="40"/>
      <c r="DP342" s="461"/>
      <c r="DQ342" s="40"/>
      <c r="DR342" s="40"/>
      <c r="DS342" s="40"/>
      <c r="DT342" s="40"/>
      <c r="DU342" s="461"/>
      <c r="DV342" s="40"/>
      <c r="DW342" s="40"/>
      <c r="DX342" s="40"/>
      <c r="DY342" s="40"/>
      <c r="DZ342" s="461"/>
      <c r="EA342" s="40"/>
      <c r="EB342" s="40"/>
      <c r="EC342" s="40"/>
      <c r="ED342" s="40"/>
      <c r="EE342" s="461"/>
      <c r="EF342" s="40"/>
      <c r="EG342" s="40"/>
      <c r="EH342" s="40"/>
      <c r="EI342" s="40"/>
      <c r="EJ342" s="461"/>
      <c r="EK342" s="40"/>
      <c r="EL342" s="40"/>
      <c r="EM342" s="40"/>
      <c r="EN342" s="41"/>
      <c r="EO342" s="244"/>
      <c r="ER342" s="451"/>
      <c r="ES342" s="451"/>
    </row>
    <row r="343" spans="4:149" x14ac:dyDescent="0.2">
      <c r="E343" s="172"/>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19"/>
      <c r="BW343" s="19"/>
      <c r="BX343" s="19"/>
      <c r="BY343" s="19"/>
      <c r="BZ343" s="19"/>
      <c r="CA343" s="19"/>
      <c r="CB343" s="19"/>
      <c r="CC343" s="19"/>
      <c r="CD343" s="19"/>
      <c r="CE343" s="19"/>
      <c r="CF343" s="19"/>
      <c r="CG343" s="19"/>
      <c r="CH343" s="19"/>
      <c r="CI343" s="19"/>
      <c r="CJ343" s="19"/>
      <c r="CK343" s="19"/>
      <c r="CL343" s="19"/>
      <c r="CM343" s="19"/>
      <c r="CN343" s="19"/>
      <c r="CO343" s="19"/>
      <c r="CP343" s="19"/>
      <c r="CQ343" s="19"/>
      <c r="CR343" s="19"/>
      <c r="CS343" s="19"/>
      <c r="CT343" s="19"/>
      <c r="CU343" s="19"/>
      <c r="CV343" s="19"/>
      <c r="CW343" s="19"/>
      <c r="CX343" s="19"/>
      <c r="CY343" s="19"/>
      <c r="CZ343" s="19"/>
      <c r="DA343" s="19"/>
      <c r="DB343" s="19"/>
      <c r="DC343" s="19"/>
      <c r="DD343" s="19"/>
      <c r="DE343" s="19"/>
      <c r="DF343" s="19"/>
      <c r="DG343" s="19"/>
      <c r="DH343" s="19"/>
      <c r="DI343" s="19"/>
      <c r="DJ343" s="19"/>
      <c r="DK343" s="19"/>
      <c r="DL343" s="19"/>
      <c r="DM343" s="19"/>
      <c r="DN343" s="19"/>
      <c r="DO343" s="19"/>
      <c r="DP343" s="19"/>
      <c r="DQ343" s="19"/>
      <c r="DR343" s="19"/>
      <c r="DS343" s="19"/>
      <c r="DT343" s="19"/>
      <c r="DU343" s="19"/>
      <c r="DV343" s="19"/>
      <c r="DW343" s="19"/>
      <c r="DX343" s="19"/>
      <c r="DY343" s="19"/>
      <c r="DZ343" s="19"/>
      <c r="EA343" s="19"/>
      <c r="EB343" s="19"/>
      <c r="EC343" s="19"/>
      <c r="ED343" s="19"/>
      <c r="EE343" s="19"/>
      <c r="EF343" s="19"/>
      <c r="EG343" s="19"/>
      <c r="EH343" s="19"/>
      <c r="EI343" s="19"/>
      <c r="EJ343" s="19"/>
      <c r="EK343" s="19"/>
      <c r="EL343" s="19"/>
      <c r="EM343" s="19"/>
      <c r="EN343" s="19"/>
    </row>
    <row r="344" spans="4:149" x14ac:dyDescent="0.2">
      <c r="E344" s="12"/>
      <c r="EL344" s="19"/>
    </row>
    <row r="345" spans="4:149" s="243" customFormat="1" x14ac:dyDescent="0.2"/>
    <row r="346" spans="4:149" s="243" customFormat="1" x14ac:dyDescent="0.2"/>
    <row r="347" spans="4:149" s="243" customFormat="1" x14ac:dyDescent="0.2"/>
    <row r="348" spans="4:149" s="243" customFormat="1" x14ac:dyDescent="0.2"/>
    <row r="349" spans="4:149" s="243" customFormat="1" x14ac:dyDescent="0.2"/>
    <row r="350" spans="4:149" s="243" customFormat="1" x14ac:dyDescent="0.2"/>
    <row r="351" spans="4:149" s="243" customFormat="1" x14ac:dyDescent="0.2"/>
    <row r="352" spans="4:149" s="243" customFormat="1" x14ac:dyDescent="0.2"/>
    <row r="353" s="243" customFormat="1" x14ac:dyDescent="0.2"/>
    <row r="354" s="243" customFormat="1" x14ac:dyDescent="0.2"/>
    <row r="355" s="243" customFormat="1" x14ac:dyDescent="0.2"/>
    <row r="356" s="243" customFormat="1" x14ac:dyDescent="0.2"/>
    <row r="357" s="243" customFormat="1" x14ac:dyDescent="0.2"/>
    <row r="358" s="243" customFormat="1" x14ac:dyDescent="0.2"/>
    <row r="359" s="243" customFormat="1" x14ac:dyDescent="0.2"/>
    <row r="360" s="243" customFormat="1" x14ac:dyDescent="0.2"/>
    <row r="361" s="243" customFormat="1" x14ac:dyDescent="0.2"/>
    <row r="362" s="243" customFormat="1" x14ac:dyDescent="0.2"/>
    <row r="363" s="243" customFormat="1" x14ac:dyDescent="0.2"/>
    <row r="364" s="243" customFormat="1" x14ac:dyDescent="0.2"/>
    <row r="365" s="243" customFormat="1" x14ac:dyDescent="0.2"/>
    <row r="366" s="243" customFormat="1" x14ac:dyDescent="0.2"/>
    <row r="367" s="243" customFormat="1" x14ac:dyDescent="0.2"/>
    <row r="368" s="243" customFormat="1" x14ac:dyDescent="0.2"/>
    <row r="369" s="243" customFormat="1" x14ac:dyDescent="0.2"/>
    <row r="370" s="243" customFormat="1" x14ac:dyDescent="0.2"/>
    <row r="371" s="243" customFormat="1" x14ac:dyDescent="0.2"/>
    <row r="372" s="243" customFormat="1" x14ac:dyDescent="0.2"/>
    <row r="373" s="243" customFormat="1" x14ac:dyDescent="0.2"/>
    <row r="374" s="243" customFormat="1" x14ac:dyDescent="0.2"/>
    <row r="375" s="243" customFormat="1" x14ac:dyDescent="0.2"/>
    <row r="376" s="243" customFormat="1" x14ac:dyDescent="0.2"/>
    <row r="377" s="243" customFormat="1" x14ac:dyDescent="0.2"/>
    <row r="378" s="243" customFormat="1" x14ac:dyDescent="0.2"/>
    <row r="379" s="243" customFormat="1" x14ac:dyDescent="0.2"/>
    <row r="380" s="243" customFormat="1" x14ac:dyDescent="0.2"/>
    <row r="381" s="243" customFormat="1" x14ac:dyDescent="0.2"/>
    <row r="382" s="243" customFormat="1" x14ac:dyDescent="0.2"/>
    <row r="383" s="243" customFormat="1" x14ac:dyDescent="0.2"/>
    <row r="384" s="243" customFormat="1" x14ac:dyDescent="0.2"/>
    <row r="385" s="243" customFormat="1" x14ac:dyDescent="0.2"/>
    <row r="386" s="243" customFormat="1" x14ac:dyDescent="0.2"/>
    <row r="387" s="243" customFormat="1" x14ac:dyDescent="0.2"/>
    <row r="388" s="243" customFormat="1" x14ac:dyDescent="0.2"/>
    <row r="389" s="243" customFormat="1" x14ac:dyDescent="0.2"/>
    <row r="390" s="243" customFormat="1" x14ac:dyDescent="0.2"/>
    <row r="391" s="243" customFormat="1" x14ac:dyDescent="0.2"/>
    <row r="392" s="243" customFormat="1" x14ac:dyDescent="0.2"/>
    <row r="393" s="243" customFormat="1" x14ac:dyDescent="0.2"/>
    <row r="394" s="243" customFormat="1" x14ac:dyDescent="0.2"/>
    <row r="395" s="243" customFormat="1" x14ac:dyDescent="0.2"/>
    <row r="396" s="243" customFormat="1" x14ac:dyDescent="0.2"/>
    <row r="397" s="243" customFormat="1" x14ac:dyDescent="0.2"/>
    <row r="398" s="243" customFormat="1" x14ac:dyDescent="0.2"/>
    <row r="399" s="243" customFormat="1" x14ac:dyDescent="0.2"/>
    <row r="400" s="243" customFormat="1" x14ac:dyDescent="0.2"/>
    <row r="401" s="243" customFormat="1" x14ac:dyDescent="0.2"/>
    <row r="402" s="243" customFormat="1" x14ac:dyDescent="0.2"/>
    <row r="403" s="243" customFormat="1" x14ac:dyDescent="0.2"/>
    <row r="404" s="243" customFormat="1" x14ac:dyDescent="0.2"/>
    <row r="405" s="243" customFormat="1" x14ac:dyDescent="0.2"/>
    <row r="406" s="243" customFormat="1" x14ac:dyDescent="0.2"/>
    <row r="407" s="243" customFormat="1" x14ac:dyDescent="0.2"/>
    <row r="408" s="243" customFormat="1" x14ac:dyDescent="0.2"/>
    <row r="409" s="243" customFormat="1" x14ac:dyDescent="0.2"/>
    <row r="410" s="243" customFormat="1" x14ac:dyDescent="0.2"/>
    <row r="411" s="243" customFormat="1" x14ac:dyDescent="0.2"/>
    <row r="412" s="243" customFormat="1" x14ac:dyDescent="0.2"/>
    <row r="413" s="243" customFormat="1" x14ac:dyDescent="0.2"/>
    <row r="414" s="243" customFormat="1" x14ac:dyDescent="0.2"/>
    <row r="415" s="243" customFormat="1" x14ac:dyDescent="0.2"/>
    <row r="416" s="243" customFormat="1" x14ac:dyDescent="0.2"/>
    <row r="417" s="243" customFormat="1" x14ac:dyDescent="0.2"/>
    <row r="418" s="243" customFormat="1" x14ac:dyDescent="0.2"/>
    <row r="419" s="243" customFormat="1" x14ac:dyDescent="0.2"/>
    <row r="420" s="243" customFormat="1" x14ac:dyDescent="0.2"/>
    <row r="421" s="243" customFormat="1" x14ac:dyDescent="0.2"/>
    <row r="422" s="243" customFormat="1" x14ac:dyDescent="0.2"/>
    <row r="423" s="243" customFormat="1" x14ac:dyDescent="0.2"/>
    <row r="424" s="243" customFormat="1" x14ac:dyDescent="0.2"/>
    <row r="425" s="243" customFormat="1" x14ac:dyDescent="0.2"/>
    <row r="426" s="243" customFormat="1" x14ac:dyDescent="0.2"/>
    <row r="427" s="243" customFormat="1" x14ac:dyDescent="0.2"/>
    <row r="428" s="243" customFormat="1" x14ac:dyDescent="0.2"/>
    <row r="429" s="243" customFormat="1" x14ac:dyDescent="0.2"/>
    <row r="430" s="243" customFormat="1" x14ac:dyDescent="0.2"/>
    <row r="431" s="243" customFormat="1" x14ac:dyDescent="0.2"/>
    <row r="432" s="243" customFormat="1" x14ac:dyDescent="0.2"/>
    <row r="433" s="243" customFormat="1" x14ac:dyDescent="0.2"/>
    <row r="434" s="243" customFormat="1" x14ac:dyDescent="0.2"/>
    <row r="435" s="243" customFormat="1" x14ac:dyDescent="0.2"/>
    <row r="436" s="243" customFormat="1" x14ac:dyDescent="0.2"/>
    <row r="437" s="243" customFormat="1" x14ac:dyDescent="0.2"/>
    <row r="438" s="243" customFormat="1" x14ac:dyDescent="0.2"/>
    <row r="439" s="243" customFormat="1" x14ac:dyDescent="0.2"/>
    <row r="440" s="243" customFormat="1" x14ac:dyDescent="0.2"/>
    <row r="441" s="243" customFormat="1" x14ac:dyDescent="0.2"/>
    <row r="442" s="243" customFormat="1" x14ac:dyDescent="0.2"/>
    <row r="443" s="243" customFormat="1" x14ac:dyDescent="0.2"/>
    <row r="444" s="243" customFormat="1" x14ac:dyDescent="0.2"/>
    <row r="445" s="243" customFormat="1" x14ac:dyDescent="0.2"/>
    <row r="446" s="243" customFormat="1" x14ac:dyDescent="0.2"/>
    <row r="447" s="243" customFormat="1" x14ac:dyDescent="0.2"/>
    <row r="448" s="243" customFormat="1" x14ac:dyDescent="0.2"/>
    <row r="449" s="243" customFormat="1" x14ac:dyDescent="0.2"/>
    <row r="450" s="243" customFormat="1" x14ac:dyDescent="0.2"/>
    <row r="451" s="243" customFormat="1" x14ac:dyDescent="0.2"/>
    <row r="452" s="243" customFormat="1" x14ac:dyDescent="0.2"/>
    <row r="453" s="243" customFormat="1" x14ac:dyDescent="0.2"/>
    <row r="454" s="243" customFormat="1" x14ac:dyDescent="0.2"/>
    <row r="455" s="243" customFormat="1" x14ac:dyDescent="0.2"/>
    <row r="456" s="243" customFormat="1" x14ac:dyDescent="0.2"/>
    <row r="457" s="243" customFormat="1" x14ac:dyDescent="0.2"/>
    <row r="458" s="243" customFormat="1" x14ac:dyDescent="0.2"/>
    <row r="459" s="243" customFormat="1" x14ac:dyDescent="0.2"/>
    <row r="460" s="243" customFormat="1" x14ac:dyDescent="0.2"/>
    <row r="461" s="243" customFormat="1" x14ac:dyDescent="0.2"/>
    <row r="462" s="243" customFormat="1" x14ac:dyDescent="0.2"/>
    <row r="463" s="243" customFormat="1" x14ac:dyDescent="0.2"/>
    <row r="464" s="243" customFormat="1" x14ac:dyDescent="0.2"/>
    <row r="465" s="243" customFormat="1" x14ac:dyDescent="0.2"/>
    <row r="466" s="243" customFormat="1" x14ac:dyDescent="0.2"/>
    <row r="467" s="243" customFormat="1" x14ac:dyDescent="0.2"/>
    <row r="468" s="243" customFormat="1" x14ac:dyDescent="0.2"/>
    <row r="469" s="243" customFormat="1" x14ac:dyDescent="0.2"/>
    <row r="470" s="243" customFormat="1" x14ac:dyDescent="0.2"/>
    <row r="471" s="243" customFormat="1" x14ac:dyDescent="0.2"/>
    <row r="472" s="243" customFormat="1" x14ac:dyDescent="0.2"/>
    <row r="473" s="243" customFormat="1" x14ac:dyDescent="0.2"/>
    <row r="474" s="243" customFormat="1" x14ac:dyDescent="0.2"/>
    <row r="475" s="243" customFormat="1" x14ac:dyDescent="0.2"/>
    <row r="476" s="243" customFormat="1" x14ac:dyDescent="0.2"/>
    <row r="477" s="243" customFormat="1" x14ac:dyDescent="0.2"/>
    <row r="478" s="243" customFormat="1" x14ac:dyDescent="0.2"/>
    <row r="479" s="243" customFormat="1" x14ac:dyDescent="0.2"/>
    <row r="480" s="243" customFormat="1" x14ac:dyDescent="0.2"/>
    <row r="481" s="243" customFormat="1" x14ac:dyDescent="0.2"/>
    <row r="482" s="243" customFormat="1" x14ac:dyDescent="0.2"/>
    <row r="483" s="243" customFormat="1" x14ac:dyDescent="0.2"/>
    <row r="484" s="243" customFormat="1" x14ac:dyDescent="0.2"/>
    <row r="485" s="243" customFormat="1" x14ac:dyDescent="0.2"/>
    <row r="486" s="243" customFormat="1" x14ac:dyDescent="0.2"/>
    <row r="487" s="243" customFormat="1" x14ac:dyDescent="0.2"/>
    <row r="488" s="243" customFormat="1" x14ac:dyDescent="0.2"/>
    <row r="489" s="243" customFormat="1" x14ac:dyDescent="0.2"/>
    <row r="490" s="243" customFormat="1" x14ac:dyDescent="0.2"/>
    <row r="491" s="243" customFormat="1" x14ac:dyDescent="0.2"/>
    <row r="492" s="243" customFormat="1" x14ac:dyDescent="0.2"/>
    <row r="493" s="243" customFormat="1" x14ac:dyDescent="0.2"/>
    <row r="494" s="243" customFormat="1" x14ac:dyDescent="0.2"/>
    <row r="495" s="243" customFormat="1" x14ac:dyDescent="0.2"/>
    <row r="496" s="243" customFormat="1" x14ac:dyDescent="0.2"/>
    <row r="497" s="243" customFormat="1" x14ac:dyDescent="0.2"/>
    <row r="498" s="243" customFormat="1" x14ac:dyDescent="0.2"/>
    <row r="499" s="243" customFormat="1" x14ac:dyDescent="0.2"/>
    <row r="500" s="243" customFormat="1" x14ac:dyDescent="0.2"/>
    <row r="501" s="243" customFormat="1" x14ac:dyDescent="0.2"/>
    <row r="502" s="243" customFormat="1" x14ac:dyDescent="0.2"/>
    <row r="503" s="243" customFormat="1" x14ac:dyDescent="0.2"/>
    <row r="504" s="243" customFormat="1" x14ac:dyDescent="0.2"/>
    <row r="505" s="243" customFormat="1" x14ac:dyDescent="0.2"/>
    <row r="506" s="243" customFormat="1" x14ac:dyDescent="0.2"/>
    <row r="507" s="243" customFormat="1" x14ac:dyDescent="0.2"/>
    <row r="508" s="243" customFormat="1" x14ac:dyDescent="0.2"/>
    <row r="509" s="243" customFormat="1" x14ac:dyDescent="0.2"/>
    <row r="510" s="243" customFormat="1" x14ac:dyDescent="0.2"/>
    <row r="511" s="243" customFormat="1" x14ac:dyDescent="0.2"/>
    <row r="512" s="243" customFormat="1" x14ac:dyDescent="0.2"/>
    <row r="513" s="243" customFormat="1" x14ac:dyDescent="0.2"/>
    <row r="514" s="243" customFormat="1" x14ac:dyDescent="0.2"/>
    <row r="515" s="243" customFormat="1" x14ac:dyDescent="0.2"/>
    <row r="516" s="243" customFormat="1" x14ac:dyDescent="0.2"/>
    <row r="517" s="243" customFormat="1" x14ac:dyDescent="0.2"/>
    <row r="518" s="243" customFormat="1" x14ac:dyDescent="0.2"/>
    <row r="519" s="243" customFormat="1" x14ac:dyDescent="0.2"/>
    <row r="520" s="243" customFormat="1" x14ac:dyDescent="0.2"/>
    <row r="521" s="243" customFormat="1" x14ac:dyDescent="0.2"/>
    <row r="522" s="243" customFormat="1" x14ac:dyDescent="0.2"/>
    <row r="523" s="243" customFormat="1" x14ac:dyDescent="0.2"/>
    <row r="524" s="243" customFormat="1" x14ac:dyDescent="0.2"/>
    <row r="525" s="243" customFormat="1" x14ac:dyDescent="0.2"/>
    <row r="526" s="243" customFormat="1" x14ac:dyDescent="0.2"/>
    <row r="527" s="243" customFormat="1" x14ac:dyDescent="0.2"/>
    <row r="528" s="243" customFormat="1" x14ac:dyDescent="0.2"/>
    <row r="529" s="243" customFormat="1" x14ac:dyDescent="0.2"/>
    <row r="530" s="243" customFormat="1" x14ac:dyDescent="0.2"/>
    <row r="531" s="243" customFormat="1" x14ac:dyDescent="0.2"/>
    <row r="532" s="243" customFormat="1" x14ac:dyDescent="0.2"/>
    <row r="533" s="243" customFormat="1" x14ac:dyDescent="0.2"/>
    <row r="534" s="243" customFormat="1" x14ac:dyDescent="0.2"/>
    <row r="535" s="243" customFormat="1" x14ac:dyDescent="0.2"/>
    <row r="536" s="243" customFormat="1" x14ac:dyDescent="0.2"/>
    <row r="537" s="243" customFormat="1" x14ac:dyDescent="0.2"/>
    <row r="538" s="243" customFormat="1" x14ac:dyDescent="0.2"/>
    <row r="539" s="243" customFormat="1" x14ac:dyDescent="0.2"/>
    <row r="540" s="243" customFormat="1" x14ac:dyDescent="0.2"/>
    <row r="541" s="243" customFormat="1" x14ac:dyDescent="0.2"/>
    <row r="542" s="243" customFormat="1" x14ac:dyDescent="0.2"/>
    <row r="543" s="243" customFormat="1" x14ac:dyDescent="0.2"/>
    <row r="544" s="243" customFormat="1" x14ac:dyDescent="0.2"/>
    <row r="545" s="243" customFormat="1" x14ac:dyDescent="0.2"/>
    <row r="546" s="243" customFormat="1" x14ac:dyDescent="0.2"/>
    <row r="547" s="243" customFormat="1" x14ac:dyDescent="0.2"/>
    <row r="548" s="243" customFormat="1" x14ac:dyDescent="0.2"/>
    <row r="549" s="243" customFormat="1" x14ac:dyDescent="0.2"/>
    <row r="550" s="243" customFormat="1" x14ac:dyDescent="0.2"/>
    <row r="551" s="243" customFormat="1" x14ac:dyDescent="0.2"/>
    <row r="552" s="243" customFormat="1" x14ac:dyDescent="0.2"/>
    <row r="553" s="243" customFormat="1" x14ac:dyDescent="0.2"/>
    <row r="554" s="243" customFormat="1" x14ac:dyDescent="0.2"/>
    <row r="555" s="243" customFormat="1" x14ac:dyDescent="0.2"/>
    <row r="556" s="243" customFormat="1" x14ac:dyDescent="0.2"/>
    <row r="557" s="243" customFormat="1" x14ac:dyDescent="0.2"/>
    <row r="558" s="243" customFormat="1" x14ac:dyDescent="0.2"/>
    <row r="559" s="243" customFormat="1" x14ac:dyDescent="0.2"/>
    <row r="560" s="243" customFormat="1" x14ac:dyDescent="0.2"/>
    <row r="561" s="243" customFormat="1" x14ac:dyDescent="0.2"/>
    <row r="562" s="243" customFormat="1" x14ac:dyDescent="0.2"/>
    <row r="563" s="243" customFormat="1" x14ac:dyDescent="0.2"/>
    <row r="564" s="243" customFormat="1" x14ac:dyDescent="0.2"/>
    <row r="565" s="243" customFormat="1" x14ac:dyDescent="0.2"/>
    <row r="566" s="243" customFormat="1" x14ac:dyDescent="0.2"/>
    <row r="567" s="243" customFormat="1" x14ac:dyDescent="0.2"/>
    <row r="568" s="243" customFormat="1" x14ac:dyDescent="0.2"/>
    <row r="569" s="243" customFormat="1" x14ac:dyDescent="0.2"/>
    <row r="570" s="243" customFormat="1" x14ac:dyDescent="0.2"/>
    <row r="571" s="243" customFormat="1" x14ac:dyDescent="0.2"/>
    <row r="572" s="243" customFormat="1" x14ac:dyDescent="0.2"/>
    <row r="573" s="243" customFormat="1" x14ac:dyDescent="0.2"/>
    <row r="574" s="243" customFormat="1" x14ac:dyDescent="0.2"/>
    <row r="575" s="243" customFormat="1" x14ac:dyDescent="0.2"/>
    <row r="576" s="243" customFormat="1" x14ac:dyDescent="0.2"/>
    <row r="577" s="243" customFormat="1" x14ac:dyDescent="0.2"/>
    <row r="578" s="243" customFormat="1" x14ac:dyDescent="0.2"/>
    <row r="579" s="243" customFormat="1" x14ac:dyDescent="0.2"/>
    <row r="580" s="243" customFormat="1" x14ac:dyDescent="0.2"/>
    <row r="581" s="243" customFormat="1" x14ac:dyDescent="0.2"/>
    <row r="582" s="243" customFormat="1" x14ac:dyDescent="0.2"/>
    <row r="583" s="243" customFormat="1" x14ac:dyDescent="0.2"/>
    <row r="584" s="243" customFormat="1" x14ac:dyDescent="0.2"/>
    <row r="585" s="243" customFormat="1" x14ac:dyDescent="0.2"/>
    <row r="586" s="243" customFormat="1" x14ac:dyDescent="0.2"/>
    <row r="587" s="243" customFormat="1" x14ac:dyDescent="0.2"/>
    <row r="588" s="243" customFormat="1" x14ac:dyDescent="0.2"/>
    <row r="589" s="243" customFormat="1" x14ac:dyDescent="0.2"/>
    <row r="590" s="243" customFormat="1" x14ac:dyDescent="0.2"/>
    <row r="591" s="243" customFormat="1" x14ac:dyDescent="0.2"/>
    <row r="592" s="243" customFormat="1" x14ac:dyDescent="0.2"/>
    <row r="593" s="243" customFormat="1" x14ac:dyDescent="0.2"/>
    <row r="594" s="243" customFormat="1" x14ac:dyDescent="0.2"/>
    <row r="595" s="243" customFormat="1" x14ac:dyDescent="0.2"/>
    <row r="596" s="243" customFormat="1" x14ac:dyDescent="0.2"/>
    <row r="597" s="243" customFormat="1" x14ac:dyDescent="0.2"/>
    <row r="598" s="243" customFormat="1" x14ac:dyDescent="0.2"/>
    <row r="599" s="243" customFormat="1" x14ac:dyDescent="0.2"/>
    <row r="600" s="243" customFormat="1" x14ac:dyDescent="0.2"/>
    <row r="601" s="243" customFormat="1" x14ac:dyDescent="0.2"/>
    <row r="602" s="243" customFormat="1" x14ac:dyDescent="0.2"/>
    <row r="603" s="243" customFormat="1" x14ac:dyDescent="0.2"/>
    <row r="604" s="243" customFormat="1" x14ac:dyDescent="0.2"/>
    <row r="605" s="243" customFormat="1" x14ac:dyDescent="0.2"/>
    <row r="606" s="243" customFormat="1" x14ac:dyDescent="0.2"/>
    <row r="607" s="243" customFormat="1" x14ac:dyDescent="0.2"/>
    <row r="608" s="243" customFormat="1" x14ac:dyDescent="0.2"/>
    <row r="609" s="243" customFormat="1" x14ac:dyDescent="0.2"/>
    <row r="610" s="243" customFormat="1" x14ac:dyDescent="0.2"/>
    <row r="611" s="243" customFormat="1" x14ac:dyDescent="0.2"/>
    <row r="612" s="243" customFormat="1" x14ac:dyDescent="0.2"/>
    <row r="613" s="243" customFormat="1" x14ac:dyDescent="0.2"/>
    <row r="614" s="243" customFormat="1" x14ac:dyDescent="0.2"/>
    <row r="615" s="243" customFormat="1" x14ac:dyDescent="0.2"/>
    <row r="616" s="243" customFormat="1" x14ac:dyDescent="0.2"/>
    <row r="617" s="243" customFormat="1" x14ac:dyDescent="0.2"/>
    <row r="618" s="243" customFormat="1" x14ac:dyDescent="0.2"/>
    <row r="619" s="243" customFormat="1" x14ac:dyDescent="0.2"/>
    <row r="620" s="243" customFormat="1" x14ac:dyDescent="0.2"/>
    <row r="621" s="243" customFormat="1" x14ac:dyDescent="0.2"/>
    <row r="622" s="243" customFormat="1" x14ac:dyDescent="0.2"/>
    <row r="623" s="243" customFormat="1" x14ac:dyDescent="0.2"/>
    <row r="624" s="243" customFormat="1" x14ac:dyDescent="0.2"/>
    <row r="625" s="243" customFormat="1" x14ac:dyDescent="0.2"/>
    <row r="626" s="243" customFormat="1" x14ac:dyDescent="0.2"/>
    <row r="627" s="243" customFormat="1" x14ac:dyDescent="0.2"/>
    <row r="628" s="243" customFormat="1" x14ac:dyDescent="0.2"/>
    <row r="629" s="243" customFormat="1" x14ac:dyDescent="0.2"/>
    <row r="630" s="243" customFormat="1" x14ac:dyDescent="0.2"/>
    <row r="631" s="243" customFormat="1" x14ac:dyDescent="0.2"/>
    <row r="632" s="243" customFormat="1" x14ac:dyDescent="0.2"/>
    <row r="633" s="243" customFormat="1" x14ac:dyDescent="0.2"/>
    <row r="634" s="243" customFormat="1" x14ac:dyDescent="0.2"/>
    <row r="635" s="243" customFormat="1" x14ac:dyDescent="0.2"/>
    <row r="636" s="243" customFormat="1" x14ac:dyDescent="0.2"/>
    <row r="637" s="243" customFormat="1" x14ac:dyDescent="0.2"/>
    <row r="638" s="243" customFormat="1" x14ac:dyDescent="0.2"/>
    <row r="639" s="243" customFormat="1" x14ac:dyDescent="0.2"/>
    <row r="640" s="243" customFormat="1" x14ac:dyDescent="0.2"/>
    <row r="641" s="243" customFormat="1" x14ac:dyDescent="0.2"/>
    <row r="642" s="243" customFormat="1" x14ac:dyDescent="0.2"/>
    <row r="643" s="243" customFormat="1" x14ac:dyDescent="0.2"/>
    <row r="644" s="243" customFormat="1" x14ac:dyDescent="0.2"/>
    <row r="645" s="243" customFormat="1" x14ac:dyDescent="0.2"/>
    <row r="646" s="243" customFormat="1" x14ac:dyDescent="0.2"/>
    <row r="647" s="243" customFormat="1" x14ac:dyDescent="0.2"/>
    <row r="648" s="243" customFormat="1" x14ac:dyDescent="0.2"/>
    <row r="649" s="243" customFormat="1" x14ac:dyDescent="0.2"/>
    <row r="650" s="243" customFormat="1" x14ac:dyDescent="0.2"/>
    <row r="651" s="243" customFormat="1" x14ac:dyDescent="0.2"/>
    <row r="652" s="243" customFormat="1" x14ac:dyDescent="0.2"/>
    <row r="653" s="243" customFormat="1" x14ac:dyDescent="0.2"/>
    <row r="654" s="243" customFormat="1" x14ac:dyDescent="0.2"/>
    <row r="655" s="243" customFormat="1" x14ac:dyDescent="0.2"/>
    <row r="656" s="243" customFormat="1" x14ac:dyDescent="0.2"/>
    <row r="657" s="243" customFormat="1" x14ac:dyDescent="0.2"/>
    <row r="658" s="243" customFormat="1" x14ac:dyDescent="0.2"/>
    <row r="659" s="243" customFormat="1" x14ac:dyDescent="0.2"/>
    <row r="660" s="243" customFormat="1" x14ac:dyDescent="0.2"/>
    <row r="661" s="243" customFormat="1" x14ac:dyDescent="0.2"/>
    <row r="662" s="243" customFormat="1" x14ac:dyDescent="0.2"/>
    <row r="663" s="243" customFormat="1" x14ac:dyDescent="0.2"/>
    <row r="664" s="243" customFormat="1" x14ac:dyDescent="0.2"/>
    <row r="665" s="243" customFormat="1" x14ac:dyDescent="0.2"/>
    <row r="666" s="243" customFormat="1" x14ac:dyDescent="0.2"/>
    <row r="667" s="243" customFormat="1" x14ac:dyDescent="0.2"/>
    <row r="668" s="243" customFormat="1" x14ac:dyDescent="0.2"/>
    <row r="669" s="243" customFormat="1" x14ac:dyDescent="0.2"/>
    <row r="670" s="243" customFormat="1" x14ac:dyDescent="0.2"/>
    <row r="671" s="243" customFormat="1" x14ac:dyDescent="0.2"/>
    <row r="672" s="243" customFormat="1" x14ac:dyDescent="0.2"/>
    <row r="673" s="243" customFormat="1" x14ac:dyDescent="0.2"/>
    <row r="674" s="243" customFormat="1" x14ac:dyDescent="0.2"/>
    <row r="675" s="243" customFormat="1" x14ac:dyDescent="0.2"/>
    <row r="676" s="243" customFormat="1" x14ac:dyDescent="0.2"/>
    <row r="677" s="243" customFormat="1" x14ac:dyDescent="0.2"/>
    <row r="678" s="243" customFormat="1" x14ac:dyDescent="0.2"/>
    <row r="679" s="243" customFormat="1" x14ac:dyDescent="0.2"/>
    <row r="680" s="243" customFormat="1" x14ac:dyDescent="0.2"/>
    <row r="681" s="243" customFormat="1" x14ac:dyDescent="0.2"/>
    <row r="682" s="243" customFormat="1" x14ac:dyDescent="0.2"/>
    <row r="683" s="243" customFormat="1" x14ac:dyDescent="0.2"/>
    <row r="684" s="243" customFormat="1" x14ac:dyDescent="0.2"/>
    <row r="685" s="243" customFormat="1" x14ac:dyDescent="0.2"/>
    <row r="686" s="243" customFormat="1" x14ac:dyDescent="0.2"/>
    <row r="687" s="243" customFormat="1" x14ac:dyDescent="0.2"/>
    <row r="688" s="243" customFormat="1" x14ac:dyDescent="0.2"/>
    <row r="689" s="243" customFormat="1" x14ac:dyDescent="0.2"/>
  </sheetData>
  <pageMargins left="0.7" right="0.7" top="0.75" bottom="0.75" header="0.3" footer="0.3"/>
  <pageSetup paperSize="9" scale="47" orientation="portrait" r:id="rId1"/>
  <rowBreaks count="2" manualBreakCount="2">
    <brk id="178" max="16383" man="1"/>
    <brk id="34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EQ166"/>
  <sheetViews>
    <sheetView view="pageBreakPreview" zoomScaleNormal="100" zoomScaleSheetLayoutView="100" workbookViewId="0">
      <selection activeCell="BZ77" sqref="BZ77"/>
    </sheetView>
  </sheetViews>
  <sheetFormatPr defaultColWidth="10" defaultRowHeight="12.75" x14ac:dyDescent="0.2"/>
  <cols>
    <col min="1" max="1" width="1.85546875" style="12" customWidth="1"/>
    <col min="2" max="3" width="1" style="12" customWidth="1"/>
    <col min="4" max="4" width="34" style="12" customWidth="1"/>
    <col min="5" max="6" width="1" style="12" customWidth="1"/>
    <col min="7" max="7" width="17.85546875" style="12" customWidth="1"/>
    <col min="8" max="9" width="1" style="12" customWidth="1"/>
    <col min="10" max="11" width="1" style="12" hidden="1" customWidth="1"/>
    <col min="12" max="12" width="17.85546875" style="12" hidden="1" customWidth="1"/>
    <col min="13" max="16" width="1" style="12" hidden="1" customWidth="1"/>
    <col min="17" max="17" width="17.85546875" style="12" hidden="1" customWidth="1"/>
    <col min="18" max="21" width="1" style="12" hidden="1" customWidth="1"/>
    <col min="22" max="22" width="17.85546875" style="12" hidden="1" customWidth="1"/>
    <col min="23" max="26" width="1" style="12" hidden="1" customWidth="1"/>
    <col min="27" max="27" width="17.85546875" style="12" hidden="1" customWidth="1"/>
    <col min="28" max="31" width="1" style="12" hidden="1" customWidth="1"/>
    <col min="32" max="32" width="17.85546875" style="12" hidden="1" customWidth="1"/>
    <col min="33" max="36" width="1" style="12" hidden="1" customWidth="1"/>
    <col min="37" max="37" width="17.85546875" style="12" hidden="1" customWidth="1"/>
    <col min="38" max="41" width="1" style="12" hidden="1" customWidth="1"/>
    <col min="42" max="42" width="17.85546875" style="12" hidden="1" customWidth="1"/>
    <col min="43" max="46" width="1" style="12" hidden="1" customWidth="1"/>
    <col min="47" max="47" width="17.85546875" style="12" hidden="1" customWidth="1"/>
    <col min="48" max="51" width="1" style="12" hidden="1" customWidth="1"/>
    <col min="52" max="52" width="17.85546875" style="12" hidden="1" customWidth="1"/>
    <col min="53" max="56" width="1" style="12" hidden="1" customWidth="1"/>
    <col min="57" max="57" width="17.85546875" style="12" hidden="1" customWidth="1"/>
    <col min="58" max="61" width="1" style="12" hidden="1" customWidth="1"/>
    <col min="62" max="62" width="17.85546875" style="12" hidden="1" customWidth="1"/>
    <col min="63" max="64" width="1" style="12" hidden="1" customWidth="1"/>
    <col min="65" max="66" width="1" style="12" customWidth="1"/>
    <col min="67" max="67" width="17.85546875" style="12" customWidth="1"/>
    <col min="68" max="71" width="1" style="12" customWidth="1"/>
    <col min="72" max="72" width="17.85546875" style="12" customWidth="1"/>
    <col min="73" max="76" width="1" style="12" customWidth="1"/>
    <col min="77" max="77" width="17.85546875" style="12" customWidth="1"/>
    <col min="78" max="79" width="1" style="12" customWidth="1"/>
    <col min="80" max="81" width="1" style="12" hidden="1" customWidth="1"/>
    <col min="82" max="82" width="17.85546875" style="12" hidden="1" customWidth="1"/>
    <col min="83" max="86" width="1" style="12" hidden="1" customWidth="1"/>
    <col min="87" max="87" width="17.85546875" style="12" hidden="1" customWidth="1"/>
    <col min="88" max="91" width="1" style="12" hidden="1" customWidth="1"/>
    <col min="92" max="92" width="17.85546875" style="12" hidden="1" customWidth="1"/>
    <col min="93" max="96" width="1" style="12" hidden="1" customWidth="1"/>
    <col min="97" max="97" width="17.85546875" style="12" hidden="1" customWidth="1"/>
    <col min="98" max="101" width="1" style="12" hidden="1" customWidth="1"/>
    <col min="102" max="102" width="17.85546875" style="12" hidden="1" customWidth="1"/>
    <col min="103" max="106" width="1" style="12" hidden="1" customWidth="1"/>
    <col min="107" max="107" width="17.85546875" style="12" hidden="1" customWidth="1"/>
    <col min="108" max="111" width="1" style="12" hidden="1" customWidth="1"/>
    <col min="112" max="112" width="17.85546875" style="12" hidden="1" customWidth="1"/>
    <col min="113" max="116" width="1" style="12" hidden="1" customWidth="1"/>
    <col min="117" max="117" width="17.85546875" style="12" hidden="1" customWidth="1"/>
    <col min="118" max="121" width="1" style="12" hidden="1" customWidth="1"/>
    <col min="122" max="122" width="17.85546875" style="12" hidden="1" customWidth="1"/>
    <col min="123" max="126" width="1" style="12" hidden="1" customWidth="1"/>
    <col min="127" max="127" width="17.85546875" style="12" hidden="1" customWidth="1"/>
    <col min="128" max="131" width="1" style="12" hidden="1" customWidth="1"/>
    <col min="132" max="132" width="17.85546875" style="12" hidden="1" customWidth="1"/>
    <col min="133" max="134" width="1" style="12" hidden="1" customWidth="1"/>
    <col min="135" max="136" width="1" style="12" customWidth="1"/>
    <col min="137" max="137" width="17.85546875" style="12" customWidth="1"/>
    <col min="138" max="141" width="1" style="12" customWidth="1"/>
    <col min="142" max="142" width="17.85546875" style="12" customWidth="1"/>
    <col min="143" max="143" width="1" style="12" customWidth="1"/>
    <col min="144" max="144" width="2" style="12" customWidth="1"/>
    <col min="145" max="145" width="6.42578125" style="12" customWidth="1"/>
    <col min="146" max="146" width="17.42578125" style="12" customWidth="1"/>
    <col min="147" max="147" width="12.28515625" style="12" customWidth="1"/>
    <col min="148" max="256" width="10" style="12"/>
    <col min="257" max="257" width="1.85546875" style="12" customWidth="1"/>
    <col min="258" max="259" width="1" style="12" customWidth="1"/>
    <col min="260" max="260" width="34" style="12" customWidth="1"/>
    <col min="261" max="262" width="1" style="12" customWidth="1"/>
    <col min="263" max="263" width="17.85546875" style="12" customWidth="1"/>
    <col min="264" max="265" width="1" style="12" customWidth="1"/>
    <col min="266" max="320" width="0" style="12" hidden="1" customWidth="1"/>
    <col min="321" max="322" width="1" style="12" customWidth="1"/>
    <col min="323" max="323" width="17.85546875" style="12" customWidth="1"/>
    <col min="324" max="327" width="1" style="12" customWidth="1"/>
    <col min="328" max="328" width="17.85546875" style="12" customWidth="1"/>
    <col min="329" max="332" width="1" style="12" customWidth="1"/>
    <col min="333" max="333" width="17.85546875" style="12" customWidth="1"/>
    <col min="334" max="335" width="1" style="12" customWidth="1"/>
    <col min="336" max="390" width="0" style="12" hidden="1" customWidth="1"/>
    <col min="391" max="392" width="1" style="12" customWidth="1"/>
    <col min="393" max="393" width="17.85546875" style="12" customWidth="1"/>
    <col min="394" max="397" width="1" style="12" customWidth="1"/>
    <col min="398" max="398" width="17.85546875" style="12" customWidth="1"/>
    <col min="399" max="399" width="1" style="12" customWidth="1"/>
    <col min="400" max="400" width="2" style="12" customWidth="1"/>
    <col min="401" max="401" width="6.42578125" style="12" customWidth="1"/>
    <col min="402" max="402" width="17.42578125" style="12" customWidth="1"/>
    <col min="403" max="403" width="12.28515625" style="12" customWidth="1"/>
    <col min="404" max="512" width="10" style="12"/>
    <col min="513" max="513" width="1.85546875" style="12" customWidth="1"/>
    <col min="514" max="515" width="1" style="12" customWidth="1"/>
    <col min="516" max="516" width="34" style="12" customWidth="1"/>
    <col min="517" max="518" width="1" style="12" customWidth="1"/>
    <col min="519" max="519" width="17.85546875" style="12" customWidth="1"/>
    <col min="520" max="521" width="1" style="12" customWidth="1"/>
    <col min="522" max="576" width="0" style="12" hidden="1" customWidth="1"/>
    <col min="577" max="578" width="1" style="12" customWidth="1"/>
    <col min="579" max="579" width="17.85546875" style="12" customWidth="1"/>
    <col min="580" max="583" width="1" style="12" customWidth="1"/>
    <col min="584" max="584" width="17.85546875" style="12" customWidth="1"/>
    <col min="585" max="588" width="1" style="12" customWidth="1"/>
    <col min="589" max="589" width="17.85546875" style="12" customWidth="1"/>
    <col min="590" max="591" width="1" style="12" customWidth="1"/>
    <col min="592" max="646" width="0" style="12" hidden="1" customWidth="1"/>
    <col min="647" max="648" width="1" style="12" customWidth="1"/>
    <col min="649" max="649" width="17.85546875" style="12" customWidth="1"/>
    <col min="650" max="653" width="1" style="12" customWidth="1"/>
    <col min="654" max="654" width="17.85546875" style="12" customWidth="1"/>
    <col min="655" max="655" width="1" style="12" customWidth="1"/>
    <col min="656" max="656" width="2" style="12" customWidth="1"/>
    <col min="657" max="657" width="6.42578125" style="12" customWidth="1"/>
    <col min="658" max="658" width="17.42578125" style="12" customWidth="1"/>
    <col min="659" max="659" width="12.28515625" style="12" customWidth="1"/>
    <col min="660" max="768" width="10" style="12"/>
    <col min="769" max="769" width="1.85546875" style="12" customWidth="1"/>
    <col min="770" max="771" width="1" style="12" customWidth="1"/>
    <col min="772" max="772" width="34" style="12" customWidth="1"/>
    <col min="773" max="774" width="1" style="12" customWidth="1"/>
    <col min="775" max="775" width="17.85546875" style="12" customWidth="1"/>
    <col min="776" max="777" width="1" style="12" customWidth="1"/>
    <col min="778" max="832" width="0" style="12" hidden="1" customWidth="1"/>
    <col min="833" max="834" width="1" style="12" customWidth="1"/>
    <col min="835" max="835" width="17.85546875" style="12" customWidth="1"/>
    <col min="836" max="839" width="1" style="12" customWidth="1"/>
    <col min="840" max="840" width="17.85546875" style="12" customWidth="1"/>
    <col min="841" max="844" width="1" style="12" customWidth="1"/>
    <col min="845" max="845" width="17.85546875" style="12" customWidth="1"/>
    <col min="846" max="847" width="1" style="12" customWidth="1"/>
    <col min="848" max="902" width="0" style="12" hidden="1" customWidth="1"/>
    <col min="903" max="904" width="1" style="12" customWidth="1"/>
    <col min="905" max="905" width="17.85546875" style="12" customWidth="1"/>
    <col min="906" max="909" width="1" style="12" customWidth="1"/>
    <col min="910" max="910" width="17.85546875" style="12" customWidth="1"/>
    <col min="911" max="911" width="1" style="12" customWidth="1"/>
    <col min="912" max="912" width="2" style="12" customWidth="1"/>
    <col min="913" max="913" width="6.42578125" style="12" customWidth="1"/>
    <col min="914" max="914" width="17.42578125" style="12" customWidth="1"/>
    <col min="915" max="915" width="12.28515625" style="12" customWidth="1"/>
    <col min="916" max="1024" width="10" style="12"/>
    <col min="1025" max="1025" width="1.85546875" style="12" customWidth="1"/>
    <col min="1026" max="1027" width="1" style="12" customWidth="1"/>
    <col min="1028" max="1028" width="34" style="12" customWidth="1"/>
    <col min="1029" max="1030" width="1" style="12" customWidth="1"/>
    <col min="1031" max="1031" width="17.85546875" style="12" customWidth="1"/>
    <col min="1032" max="1033" width="1" style="12" customWidth="1"/>
    <col min="1034" max="1088" width="0" style="12" hidden="1" customWidth="1"/>
    <col min="1089" max="1090" width="1" style="12" customWidth="1"/>
    <col min="1091" max="1091" width="17.85546875" style="12" customWidth="1"/>
    <col min="1092" max="1095" width="1" style="12" customWidth="1"/>
    <col min="1096" max="1096" width="17.85546875" style="12" customWidth="1"/>
    <col min="1097" max="1100" width="1" style="12" customWidth="1"/>
    <col min="1101" max="1101" width="17.85546875" style="12" customWidth="1"/>
    <col min="1102" max="1103" width="1" style="12" customWidth="1"/>
    <col min="1104" max="1158" width="0" style="12" hidden="1" customWidth="1"/>
    <col min="1159" max="1160" width="1" style="12" customWidth="1"/>
    <col min="1161" max="1161" width="17.85546875" style="12" customWidth="1"/>
    <col min="1162" max="1165" width="1" style="12" customWidth="1"/>
    <col min="1166" max="1166" width="17.85546875" style="12" customWidth="1"/>
    <col min="1167" max="1167" width="1" style="12" customWidth="1"/>
    <col min="1168" max="1168" width="2" style="12" customWidth="1"/>
    <col min="1169" max="1169" width="6.42578125" style="12" customWidth="1"/>
    <col min="1170" max="1170" width="17.42578125" style="12" customWidth="1"/>
    <col min="1171" max="1171" width="12.28515625" style="12" customWidth="1"/>
    <col min="1172" max="1280" width="10" style="12"/>
    <col min="1281" max="1281" width="1.85546875" style="12" customWidth="1"/>
    <col min="1282" max="1283" width="1" style="12" customWidth="1"/>
    <col min="1284" max="1284" width="34" style="12" customWidth="1"/>
    <col min="1285" max="1286" width="1" style="12" customWidth="1"/>
    <col min="1287" max="1287" width="17.85546875" style="12" customWidth="1"/>
    <col min="1288" max="1289" width="1" style="12" customWidth="1"/>
    <col min="1290" max="1344" width="0" style="12" hidden="1" customWidth="1"/>
    <col min="1345" max="1346" width="1" style="12" customWidth="1"/>
    <col min="1347" max="1347" width="17.85546875" style="12" customWidth="1"/>
    <col min="1348" max="1351" width="1" style="12" customWidth="1"/>
    <col min="1352" max="1352" width="17.85546875" style="12" customWidth="1"/>
    <col min="1353" max="1356" width="1" style="12" customWidth="1"/>
    <col min="1357" max="1357" width="17.85546875" style="12" customWidth="1"/>
    <col min="1358" max="1359" width="1" style="12" customWidth="1"/>
    <col min="1360" max="1414" width="0" style="12" hidden="1" customWidth="1"/>
    <col min="1415" max="1416" width="1" style="12" customWidth="1"/>
    <col min="1417" max="1417" width="17.85546875" style="12" customWidth="1"/>
    <col min="1418" max="1421" width="1" style="12" customWidth="1"/>
    <col min="1422" max="1422" width="17.85546875" style="12" customWidth="1"/>
    <col min="1423" max="1423" width="1" style="12" customWidth="1"/>
    <col min="1424" max="1424" width="2" style="12" customWidth="1"/>
    <col min="1425" max="1425" width="6.42578125" style="12" customWidth="1"/>
    <col min="1426" max="1426" width="17.42578125" style="12" customWidth="1"/>
    <col min="1427" max="1427" width="12.28515625" style="12" customWidth="1"/>
    <col min="1428" max="1536" width="10" style="12"/>
    <col min="1537" max="1537" width="1.85546875" style="12" customWidth="1"/>
    <col min="1538" max="1539" width="1" style="12" customWidth="1"/>
    <col min="1540" max="1540" width="34" style="12" customWidth="1"/>
    <col min="1541" max="1542" width="1" style="12" customWidth="1"/>
    <col min="1543" max="1543" width="17.85546875" style="12" customWidth="1"/>
    <col min="1544" max="1545" width="1" style="12" customWidth="1"/>
    <col min="1546" max="1600" width="0" style="12" hidden="1" customWidth="1"/>
    <col min="1601" max="1602" width="1" style="12" customWidth="1"/>
    <col min="1603" max="1603" width="17.85546875" style="12" customWidth="1"/>
    <col min="1604" max="1607" width="1" style="12" customWidth="1"/>
    <col min="1608" max="1608" width="17.85546875" style="12" customWidth="1"/>
    <col min="1609" max="1612" width="1" style="12" customWidth="1"/>
    <col min="1613" max="1613" width="17.85546875" style="12" customWidth="1"/>
    <col min="1614" max="1615" width="1" style="12" customWidth="1"/>
    <col min="1616" max="1670" width="0" style="12" hidden="1" customWidth="1"/>
    <col min="1671" max="1672" width="1" style="12" customWidth="1"/>
    <col min="1673" max="1673" width="17.85546875" style="12" customWidth="1"/>
    <col min="1674" max="1677" width="1" style="12" customWidth="1"/>
    <col min="1678" max="1678" width="17.85546875" style="12" customWidth="1"/>
    <col min="1679" max="1679" width="1" style="12" customWidth="1"/>
    <col min="1680" max="1680" width="2" style="12" customWidth="1"/>
    <col min="1681" max="1681" width="6.42578125" style="12" customWidth="1"/>
    <col min="1682" max="1682" width="17.42578125" style="12" customWidth="1"/>
    <col min="1683" max="1683" width="12.28515625" style="12" customWidth="1"/>
    <col min="1684" max="1792" width="10" style="12"/>
    <col min="1793" max="1793" width="1.85546875" style="12" customWidth="1"/>
    <col min="1794" max="1795" width="1" style="12" customWidth="1"/>
    <col min="1796" max="1796" width="34" style="12" customWidth="1"/>
    <col min="1797" max="1798" width="1" style="12" customWidth="1"/>
    <col min="1799" max="1799" width="17.85546875" style="12" customWidth="1"/>
    <col min="1800" max="1801" width="1" style="12" customWidth="1"/>
    <col min="1802" max="1856" width="0" style="12" hidden="1" customWidth="1"/>
    <col min="1857" max="1858" width="1" style="12" customWidth="1"/>
    <col min="1859" max="1859" width="17.85546875" style="12" customWidth="1"/>
    <col min="1860" max="1863" width="1" style="12" customWidth="1"/>
    <col min="1864" max="1864" width="17.85546875" style="12" customWidth="1"/>
    <col min="1865" max="1868" width="1" style="12" customWidth="1"/>
    <col min="1869" max="1869" width="17.85546875" style="12" customWidth="1"/>
    <col min="1870" max="1871" width="1" style="12" customWidth="1"/>
    <col min="1872" max="1926" width="0" style="12" hidden="1" customWidth="1"/>
    <col min="1927" max="1928" width="1" style="12" customWidth="1"/>
    <col min="1929" max="1929" width="17.85546875" style="12" customWidth="1"/>
    <col min="1930" max="1933" width="1" style="12" customWidth="1"/>
    <col min="1934" max="1934" width="17.85546875" style="12" customWidth="1"/>
    <col min="1935" max="1935" width="1" style="12" customWidth="1"/>
    <col min="1936" max="1936" width="2" style="12" customWidth="1"/>
    <col min="1937" max="1937" width="6.42578125" style="12" customWidth="1"/>
    <col min="1938" max="1938" width="17.42578125" style="12" customWidth="1"/>
    <col min="1939" max="1939" width="12.28515625" style="12" customWidth="1"/>
    <col min="1940" max="2048" width="10" style="12"/>
    <col min="2049" max="2049" width="1.85546875" style="12" customWidth="1"/>
    <col min="2050" max="2051" width="1" style="12" customWidth="1"/>
    <col min="2052" max="2052" width="34" style="12" customWidth="1"/>
    <col min="2053" max="2054" width="1" style="12" customWidth="1"/>
    <col min="2055" max="2055" width="17.85546875" style="12" customWidth="1"/>
    <col min="2056" max="2057" width="1" style="12" customWidth="1"/>
    <col min="2058" max="2112" width="0" style="12" hidden="1" customWidth="1"/>
    <col min="2113" max="2114" width="1" style="12" customWidth="1"/>
    <col min="2115" max="2115" width="17.85546875" style="12" customWidth="1"/>
    <col min="2116" max="2119" width="1" style="12" customWidth="1"/>
    <col min="2120" max="2120" width="17.85546875" style="12" customWidth="1"/>
    <col min="2121" max="2124" width="1" style="12" customWidth="1"/>
    <col min="2125" max="2125" width="17.85546875" style="12" customWidth="1"/>
    <col min="2126" max="2127" width="1" style="12" customWidth="1"/>
    <col min="2128" max="2182" width="0" style="12" hidden="1" customWidth="1"/>
    <col min="2183" max="2184" width="1" style="12" customWidth="1"/>
    <col min="2185" max="2185" width="17.85546875" style="12" customWidth="1"/>
    <col min="2186" max="2189" width="1" style="12" customWidth="1"/>
    <col min="2190" max="2190" width="17.85546875" style="12" customWidth="1"/>
    <col min="2191" max="2191" width="1" style="12" customWidth="1"/>
    <col min="2192" max="2192" width="2" style="12" customWidth="1"/>
    <col min="2193" max="2193" width="6.42578125" style="12" customWidth="1"/>
    <col min="2194" max="2194" width="17.42578125" style="12" customWidth="1"/>
    <col min="2195" max="2195" width="12.28515625" style="12" customWidth="1"/>
    <col min="2196" max="2304" width="10" style="12"/>
    <col min="2305" max="2305" width="1.85546875" style="12" customWidth="1"/>
    <col min="2306" max="2307" width="1" style="12" customWidth="1"/>
    <col min="2308" max="2308" width="34" style="12" customWidth="1"/>
    <col min="2309" max="2310" width="1" style="12" customWidth="1"/>
    <col min="2311" max="2311" width="17.85546875" style="12" customWidth="1"/>
    <col min="2312" max="2313" width="1" style="12" customWidth="1"/>
    <col min="2314" max="2368" width="0" style="12" hidden="1" customWidth="1"/>
    <col min="2369" max="2370" width="1" style="12" customWidth="1"/>
    <col min="2371" max="2371" width="17.85546875" style="12" customWidth="1"/>
    <col min="2372" max="2375" width="1" style="12" customWidth="1"/>
    <col min="2376" max="2376" width="17.85546875" style="12" customWidth="1"/>
    <col min="2377" max="2380" width="1" style="12" customWidth="1"/>
    <col min="2381" max="2381" width="17.85546875" style="12" customWidth="1"/>
    <col min="2382" max="2383" width="1" style="12" customWidth="1"/>
    <col min="2384" max="2438" width="0" style="12" hidden="1" customWidth="1"/>
    <col min="2439" max="2440" width="1" style="12" customWidth="1"/>
    <col min="2441" max="2441" width="17.85546875" style="12" customWidth="1"/>
    <col min="2442" max="2445" width="1" style="12" customWidth="1"/>
    <col min="2446" max="2446" width="17.85546875" style="12" customWidth="1"/>
    <col min="2447" max="2447" width="1" style="12" customWidth="1"/>
    <col min="2448" max="2448" width="2" style="12" customWidth="1"/>
    <col min="2449" max="2449" width="6.42578125" style="12" customWidth="1"/>
    <col min="2450" max="2450" width="17.42578125" style="12" customWidth="1"/>
    <col min="2451" max="2451" width="12.28515625" style="12" customWidth="1"/>
    <col min="2452" max="2560" width="10" style="12"/>
    <col min="2561" max="2561" width="1.85546875" style="12" customWidth="1"/>
    <col min="2562" max="2563" width="1" style="12" customWidth="1"/>
    <col min="2564" max="2564" width="34" style="12" customWidth="1"/>
    <col min="2565" max="2566" width="1" style="12" customWidth="1"/>
    <col min="2567" max="2567" width="17.85546875" style="12" customWidth="1"/>
    <col min="2568" max="2569" width="1" style="12" customWidth="1"/>
    <col min="2570" max="2624" width="0" style="12" hidden="1" customWidth="1"/>
    <col min="2625" max="2626" width="1" style="12" customWidth="1"/>
    <col min="2627" max="2627" width="17.85546875" style="12" customWidth="1"/>
    <col min="2628" max="2631" width="1" style="12" customWidth="1"/>
    <col min="2632" max="2632" width="17.85546875" style="12" customWidth="1"/>
    <col min="2633" max="2636" width="1" style="12" customWidth="1"/>
    <col min="2637" max="2637" width="17.85546875" style="12" customWidth="1"/>
    <col min="2638" max="2639" width="1" style="12" customWidth="1"/>
    <col min="2640" max="2694" width="0" style="12" hidden="1" customWidth="1"/>
    <col min="2695" max="2696" width="1" style="12" customWidth="1"/>
    <col min="2697" max="2697" width="17.85546875" style="12" customWidth="1"/>
    <col min="2698" max="2701" width="1" style="12" customWidth="1"/>
    <col min="2702" max="2702" width="17.85546875" style="12" customWidth="1"/>
    <col min="2703" max="2703" width="1" style="12" customWidth="1"/>
    <col min="2704" max="2704" width="2" style="12" customWidth="1"/>
    <col min="2705" max="2705" width="6.42578125" style="12" customWidth="1"/>
    <col min="2706" max="2706" width="17.42578125" style="12" customWidth="1"/>
    <col min="2707" max="2707" width="12.28515625" style="12" customWidth="1"/>
    <col min="2708" max="2816" width="10" style="12"/>
    <col min="2817" max="2817" width="1.85546875" style="12" customWidth="1"/>
    <col min="2818" max="2819" width="1" style="12" customWidth="1"/>
    <col min="2820" max="2820" width="34" style="12" customWidth="1"/>
    <col min="2821" max="2822" width="1" style="12" customWidth="1"/>
    <col min="2823" max="2823" width="17.85546875" style="12" customWidth="1"/>
    <col min="2824" max="2825" width="1" style="12" customWidth="1"/>
    <col min="2826" max="2880" width="0" style="12" hidden="1" customWidth="1"/>
    <col min="2881" max="2882" width="1" style="12" customWidth="1"/>
    <col min="2883" max="2883" width="17.85546875" style="12" customWidth="1"/>
    <col min="2884" max="2887" width="1" style="12" customWidth="1"/>
    <col min="2888" max="2888" width="17.85546875" style="12" customWidth="1"/>
    <col min="2889" max="2892" width="1" style="12" customWidth="1"/>
    <col min="2893" max="2893" width="17.85546875" style="12" customWidth="1"/>
    <col min="2894" max="2895" width="1" style="12" customWidth="1"/>
    <col min="2896" max="2950" width="0" style="12" hidden="1" customWidth="1"/>
    <col min="2951" max="2952" width="1" style="12" customWidth="1"/>
    <col min="2953" max="2953" width="17.85546875" style="12" customWidth="1"/>
    <col min="2954" max="2957" width="1" style="12" customWidth="1"/>
    <col min="2958" max="2958" width="17.85546875" style="12" customWidth="1"/>
    <col min="2959" max="2959" width="1" style="12" customWidth="1"/>
    <col min="2960" max="2960" width="2" style="12" customWidth="1"/>
    <col min="2961" max="2961" width="6.42578125" style="12" customWidth="1"/>
    <col min="2962" max="2962" width="17.42578125" style="12" customWidth="1"/>
    <col min="2963" max="2963" width="12.28515625" style="12" customWidth="1"/>
    <col min="2964" max="3072" width="10" style="12"/>
    <col min="3073" max="3073" width="1.85546875" style="12" customWidth="1"/>
    <col min="3074" max="3075" width="1" style="12" customWidth="1"/>
    <col min="3076" max="3076" width="34" style="12" customWidth="1"/>
    <col min="3077" max="3078" width="1" style="12" customWidth="1"/>
    <col min="3079" max="3079" width="17.85546875" style="12" customWidth="1"/>
    <col min="3080" max="3081" width="1" style="12" customWidth="1"/>
    <col min="3082" max="3136" width="0" style="12" hidden="1" customWidth="1"/>
    <col min="3137" max="3138" width="1" style="12" customWidth="1"/>
    <col min="3139" max="3139" width="17.85546875" style="12" customWidth="1"/>
    <col min="3140" max="3143" width="1" style="12" customWidth="1"/>
    <col min="3144" max="3144" width="17.85546875" style="12" customWidth="1"/>
    <col min="3145" max="3148" width="1" style="12" customWidth="1"/>
    <col min="3149" max="3149" width="17.85546875" style="12" customWidth="1"/>
    <col min="3150" max="3151" width="1" style="12" customWidth="1"/>
    <col min="3152" max="3206" width="0" style="12" hidden="1" customWidth="1"/>
    <col min="3207" max="3208" width="1" style="12" customWidth="1"/>
    <col min="3209" max="3209" width="17.85546875" style="12" customWidth="1"/>
    <col min="3210" max="3213" width="1" style="12" customWidth="1"/>
    <col min="3214" max="3214" width="17.85546875" style="12" customWidth="1"/>
    <col min="3215" max="3215" width="1" style="12" customWidth="1"/>
    <col min="3216" max="3216" width="2" style="12" customWidth="1"/>
    <col min="3217" max="3217" width="6.42578125" style="12" customWidth="1"/>
    <col min="3218" max="3218" width="17.42578125" style="12" customWidth="1"/>
    <col min="3219" max="3219" width="12.28515625" style="12" customWidth="1"/>
    <col min="3220" max="3328" width="10" style="12"/>
    <col min="3329" max="3329" width="1.85546875" style="12" customWidth="1"/>
    <col min="3330" max="3331" width="1" style="12" customWidth="1"/>
    <col min="3332" max="3332" width="34" style="12" customWidth="1"/>
    <col min="3333" max="3334" width="1" style="12" customWidth="1"/>
    <col min="3335" max="3335" width="17.85546875" style="12" customWidth="1"/>
    <col min="3336" max="3337" width="1" style="12" customWidth="1"/>
    <col min="3338" max="3392" width="0" style="12" hidden="1" customWidth="1"/>
    <col min="3393" max="3394" width="1" style="12" customWidth="1"/>
    <col min="3395" max="3395" width="17.85546875" style="12" customWidth="1"/>
    <col min="3396" max="3399" width="1" style="12" customWidth="1"/>
    <col min="3400" max="3400" width="17.85546875" style="12" customWidth="1"/>
    <col min="3401" max="3404" width="1" style="12" customWidth="1"/>
    <col min="3405" max="3405" width="17.85546875" style="12" customWidth="1"/>
    <col min="3406" max="3407" width="1" style="12" customWidth="1"/>
    <col min="3408" max="3462" width="0" style="12" hidden="1" customWidth="1"/>
    <col min="3463" max="3464" width="1" style="12" customWidth="1"/>
    <col min="3465" max="3465" width="17.85546875" style="12" customWidth="1"/>
    <col min="3466" max="3469" width="1" style="12" customWidth="1"/>
    <col min="3470" max="3470" width="17.85546875" style="12" customWidth="1"/>
    <col min="3471" max="3471" width="1" style="12" customWidth="1"/>
    <col min="3472" max="3472" width="2" style="12" customWidth="1"/>
    <col min="3473" max="3473" width="6.42578125" style="12" customWidth="1"/>
    <col min="3474" max="3474" width="17.42578125" style="12" customWidth="1"/>
    <col min="3475" max="3475" width="12.28515625" style="12" customWidth="1"/>
    <col min="3476" max="3584" width="10" style="12"/>
    <col min="3585" max="3585" width="1.85546875" style="12" customWidth="1"/>
    <col min="3586" max="3587" width="1" style="12" customWidth="1"/>
    <col min="3588" max="3588" width="34" style="12" customWidth="1"/>
    <col min="3589" max="3590" width="1" style="12" customWidth="1"/>
    <col min="3591" max="3591" width="17.85546875" style="12" customWidth="1"/>
    <col min="3592" max="3593" width="1" style="12" customWidth="1"/>
    <col min="3594" max="3648" width="0" style="12" hidden="1" customWidth="1"/>
    <col min="3649" max="3650" width="1" style="12" customWidth="1"/>
    <col min="3651" max="3651" width="17.85546875" style="12" customWidth="1"/>
    <col min="3652" max="3655" width="1" style="12" customWidth="1"/>
    <col min="3656" max="3656" width="17.85546875" style="12" customWidth="1"/>
    <col min="3657" max="3660" width="1" style="12" customWidth="1"/>
    <col min="3661" max="3661" width="17.85546875" style="12" customWidth="1"/>
    <col min="3662" max="3663" width="1" style="12" customWidth="1"/>
    <col min="3664" max="3718" width="0" style="12" hidden="1" customWidth="1"/>
    <col min="3719" max="3720" width="1" style="12" customWidth="1"/>
    <col min="3721" max="3721" width="17.85546875" style="12" customWidth="1"/>
    <col min="3722" max="3725" width="1" style="12" customWidth="1"/>
    <col min="3726" max="3726" width="17.85546875" style="12" customWidth="1"/>
    <col min="3727" max="3727" width="1" style="12" customWidth="1"/>
    <col min="3728" max="3728" width="2" style="12" customWidth="1"/>
    <col min="3729" max="3729" width="6.42578125" style="12" customWidth="1"/>
    <col min="3730" max="3730" width="17.42578125" style="12" customWidth="1"/>
    <col min="3731" max="3731" width="12.28515625" style="12" customWidth="1"/>
    <col min="3732" max="3840" width="10" style="12"/>
    <col min="3841" max="3841" width="1.85546875" style="12" customWidth="1"/>
    <col min="3842" max="3843" width="1" style="12" customWidth="1"/>
    <col min="3844" max="3844" width="34" style="12" customWidth="1"/>
    <col min="3845" max="3846" width="1" style="12" customWidth="1"/>
    <col min="3847" max="3847" width="17.85546875" style="12" customWidth="1"/>
    <col min="3848" max="3849" width="1" style="12" customWidth="1"/>
    <col min="3850" max="3904" width="0" style="12" hidden="1" customWidth="1"/>
    <col min="3905" max="3906" width="1" style="12" customWidth="1"/>
    <col min="3907" max="3907" width="17.85546875" style="12" customWidth="1"/>
    <col min="3908" max="3911" width="1" style="12" customWidth="1"/>
    <col min="3912" max="3912" width="17.85546875" style="12" customWidth="1"/>
    <col min="3913" max="3916" width="1" style="12" customWidth="1"/>
    <col min="3917" max="3917" width="17.85546875" style="12" customWidth="1"/>
    <col min="3918" max="3919" width="1" style="12" customWidth="1"/>
    <col min="3920" max="3974" width="0" style="12" hidden="1" customWidth="1"/>
    <col min="3975" max="3976" width="1" style="12" customWidth="1"/>
    <col min="3977" max="3977" width="17.85546875" style="12" customWidth="1"/>
    <col min="3978" max="3981" width="1" style="12" customWidth="1"/>
    <col min="3982" max="3982" width="17.85546875" style="12" customWidth="1"/>
    <col min="3983" max="3983" width="1" style="12" customWidth="1"/>
    <col min="3984" max="3984" width="2" style="12" customWidth="1"/>
    <col min="3985" max="3985" width="6.42578125" style="12" customWidth="1"/>
    <col min="3986" max="3986" width="17.42578125" style="12" customWidth="1"/>
    <col min="3987" max="3987" width="12.28515625" style="12" customWidth="1"/>
    <col min="3988" max="4096" width="10" style="12"/>
    <col min="4097" max="4097" width="1.85546875" style="12" customWidth="1"/>
    <col min="4098" max="4099" width="1" style="12" customWidth="1"/>
    <col min="4100" max="4100" width="34" style="12" customWidth="1"/>
    <col min="4101" max="4102" width="1" style="12" customWidth="1"/>
    <col min="4103" max="4103" width="17.85546875" style="12" customWidth="1"/>
    <col min="4104" max="4105" width="1" style="12" customWidth="1"/>
    <col min="4106" max="4160" width="0" style="12" hidden="1" customWidth="1"/>
    <col min="4161" max="4162" width="1" style="12" customWidth="1"/>
    <col min="4163" max="4163" width="17.85546875" style="12" customWidth="1"/>
    <col min="4164" max="4167" width="1" style="12" customWidth="1"/>
    <col min="4168" max="4168" width="17.85546875" style="12" customWidth="1"/>
    <col min="4169" max="4172" width="1" style="12" customWidth="1"/>
    <col min="4173" max="4173" width="17.85546875" style="12" customWidth="1"/>
    <col min="4174" max="4175" width="1" style="12" customWidth="1"/>
    <col min="4176" max="4230" width="0" style="12" hidden="1" customWidth="1"/>
    <col min="4231" max="4232" width="1" style="12" customWidth="1"/>
    <col min="4233" max="4233" width="17.85546875" style="12" customWidth="1"/>
    <col min="4234" max="4237" width="1" style="12" customWidth="1"/>
    <col min="4238" max="4238" width="17.85546875" style="12" customWidth="1"/>
    <col min="4239" max="4239" width="1" style="12" customWidth="1"/>
    <col min="4240" max="4240" width="2" style="12" customWidth="1"/>
    <col min="4241" max="4241" width="6.42578125" style="12" customWidth="1"/>
    <col min="4242" max="4242" width="17.42578125" style="12" customWidth="1"/>
    <col min="4243" max="4243" width="12.28515625" style="12" customWidth="1"/>
    <col min="4244" max="4352" width="10" style="12"/>
    <col min="4353" max="4353" width="1.85546875" style="12" customWidth="1"/>
    <col min="4354" max="4355" width="1" style="12" customWidth="1"/>
    <col min="4356" max="4356" width="34" style="12" customWidth="1"/>
    <col min="4357" max="4358" width="1" style="12" customWidth="1"/>
    <col min="4359" max="4359" width="17.85546875" style="12" customWidth="1"/>
    <col min="4360" max="4361" width="1" style="12" customWidth="1"/>
    <col min="4362" max="4416" width="0" style="12" hidden="1" customWidth="1"/>
    <col min="4417" max="4418" width="1" style="12" customWidth="1"/>
    <col min="4419" max="4419" width="17.85546875" style="12" customWidth="1"/>
    <col min="4420" max="4423" width="1" style="12" customWidth="1"/>
    <col min="4424" max="4424" width="17.85546875" style="12" customWidth="1"/>
    <col min="4425" max="4428" width="1" style="12" customWidth="1"/>
    <col min="4429" max="4429" width="17.85546875" style="12" customWidth="1"/>
    <col min="4430" max="4431" width="1" style="12" customWidth="1"/>
    <col min="4432" max="4486" width="0" style="12" hidden="1" customWidth="1"/>
    <col min="4487" max="4488" width="1" style="12" customWidth="1"/>
    <col min="4489" max="4489" width="17.85546875" style="12" customWidth="1"/>
    <col min="4490" max="4493" width="1" style="12" customWidth="1"/>
    <col min="4494" max="4494" width="17.85546875" style="12" customWidth="1"/>
    <col min="4495" max="4495" width="1" style="12" customWidth="1"/>
    <col min="4496" max="4496" width="2" style="12" customWidth="1"/>
    <col min="4497" max="4497" width="6.42578125" style="12" customWidth="1"/>
    <col min="4498" max="4498" width="17.42578125" style="12" customWidth="1"/>
    <col min="4499" max="4499" width="12.28515625" style="12" customWidth="1"/>
    <col min="4500" max="4608" width="10" style="12"/>
    <col min="4609" max="4609" width="1.85546875" style="12" customWidth="1"/>
    <col min="4610" max="4611" width="1" style="12" customWidth="1"/>
    <col min="4612" max="4612" width="34" style="12" customWidth="1"/>
    <col min="4613" max="4614" width="1" style="12" customWidth="1"/>
    <col min="4615" max="4615" width="17.85546875" style="12" customWidth="1"/>
    <col min="4616" max="4617" width="1" style="12" customWidth="1"/>
    <col min="4618" max="4672" width="0" style="12" hidden="1" customWidth="1"/>
    <col min="4673" max="4674" width="1" style="12" customWidth="1"/>
    <col min="4675" max="4675" width="17.85546875" style="12" customWidth="1"/>
    <col min="4676" max="4679" width="1" style="12" customWidth="1"/>
    <col min="4680" max="4680" width="17.85546875" style="12" customWidth="1"/>
    <col min="4681" max="4684" width="1" style="12" customWidth="1"/>
    <col min="4685" max="4685" width="17.85546875" style="12" customWidth="1"/>
    <col min="4686" max="4687" width="1" style="12" customWidth="1"/>
    <col min="4688" max="4742" width="0" style="12" hidden="1" customWidth="1"/>
    <col min="4743" max="4744" width="1" style="12" customWidth="1"/>
    <col min="4745" max="4745" width="17.85546875" style="12" customWidth="1"/>
    <col min="4746" max="4749" width="1" style="12" customWidth="1"/>
    <col min="4750" max="4750" width="17.85546875" style="12" customWidth="1"/>
    <col min="4751" max="4751" width="1" style="12" customWidth="1"/>
    <col min="4752" max="4752" width="2" style="12" customWidth="1"/>
    <col min="4753" max="4753" width="6.42578125" style="12" customWidth="1"/>
    <col min="4754" max="4754" width="17.42578125" style="12" customWidth="1"/>
    <col min="4755" max="4755" width="12.28515625" style="12" customWidth="1"/>
    <col min="4756" max="4864" width="10" style="12"/>
    <col min="4865" max="4865" width="1.85546875" style="12" customWidth="1"/>
    <col min="4866" max="4867" width="1" style="12" customWidth="1"/>
    <col min="4868" max="4868" width="34" style="12" customWidth="1"/>
    <col min="4869" max="4870" width="1" style="12" customWidth="1"/>
    <col min="4871" max="4871" width="17.85546875" style="12" customWidth="1"/>
    <col min="4872" max="4873" width="1" style="12" customWidth="1"/>
    <col min="4874" max="4928" width="0" style="12" hidden="1" customWidth="1"/>
    <col min="4929" max="4930" width="1" style="12" customWidth="1"/>
    <col min="4931" max="4931" width="17.85546875" style="12" customWidth="1"/>
    <col min="4932" max="4935" width="1" style="12" customWidth="1"/>
    <col min="4936" max="4936" width="17.85546875" style="12" customWidth="1"/>
    <col min="4937" max="4940" width="1" style="12" customWidth="1"/>
    <col min="4941" max="4941" width="17.85546875" style="12" customWidth="1"/>
    <col min="4942" max="4943" width="1" style="12" customWidth="1"/>
    <col min="4944" max="4998" width="0" style="12" hidden="1" customWidth="1"/>
    <col min="4999" max="5000" width="1" style="12" customWidth="1"/>
    <col min="5001" max="5001" width="17.85546875" style="12" customWidth="1"/>
    <col min="5002" max="5005" width="1" style="12" customWidth="1"/>
    <col min="5006" max="5006" width="17.85546875" style="12" customWidth="1"/>
    <col min="5007" max="5007" width="1" style="12" customWidth="1"/>
    <col min="5008" max="5008" width="2" style="12" customWidth="1"/>
    <col min="5009" max="5009" width="6.42578125" style="12" customWidth="1"/>
    <col min="5010" max="5010" width="17.42578125" style="12" customWidth="1"/>
    <col min="5011" max="5011" width="12.28515625" style="12" customWidth="1"/>
    <col min="5012" max="5120" width="10" style="12"/>
    <col min="5121" max="5121" width="1.85546875" style="12" customWidth="1"/>
    <col min="5122" max="5123" width="1" style="12" customWidth="1"/>
    <col min="5124" max="5124" width="34" style="12" customWidth="1"/>
    <col min="5125" max="5126" width="1" style="12" customWidth="1"/>
    <col min="5127" max="5127" width="17.85546875" style="12" customWidth="1"/>
    <col min="5128" max="5129" width="1" style="12" customWidth="1"/>
    <col min="5130" max="5184" width="0" style="12" hidden="1" customWidth="1"/>
    <col min="5185" max="5186" width="1" style="12" customWidth="1"/>
    <col min="5187" max="5187" width="17.85546875" style="12" customWidth="1"/>
    <col min="5188" max="5191" width="1" style="12" customWidth="1"/>
    <col min="5192" max="5192" width="17.85546875" style="12" customWidth="1"/>
    <col min="5193" max="5196" width="1" style="12" customWidth="1"/>
    <col min="5197" max="5197" width="17.85546875" style="12" customWidth="1"/>
    <col min="5198" max="5199" width="1" style="12" customWidth="1"/>
    <col min="5200" max="5254" width="0" style="12" hidden="1" customWidth="1"/>
    <col min="5255" max="5256" width="1" style="12" customWidth="1"/>
    <col min="5257" max="5257" width="17.85546875" style="12" customWidth="1"/>
    <col min="5258" max="5261" width="1" style="12" customWidth="1"/>
    <col min="5262" max="5262" width="17.85546875" style="12" customWidth="1"/>
    <col min="5263" max="5263" width="1" style="12" customWidth="1"/>
    <col min="5264" max="5264" width="2" style="12" customWidth="1"/>
    <col min="5265" max="5265" width="6.42578125" style="12" customWidth="1"/>
    <col min="5266" max="5266" width="17.42578125" style="12" customWidth="1"/>
    <col min="5267" max="5267" width="12.28515625" style="12" customWidth="1"/>
    <col min="5268" max="5376" width="10" style="12"/>
    <col min="5377" max="5377" width="1.85546875" style="12" customWidth="1"/>
    <col min="5378" max="5379" width="1" style="12" customWidth="1"/>
    <col min="5380" max="5380" width="34" style="12" customWidth="1"/>
    <col min="5381" max="5382" width="1" style="12" customWidth="1"/>
    <col min="5383" max="5383" width="17.85546875" style="12" customWidth="1"/>
    <col min="5384" max="5385" width="1" style="12" customWidth="1"/>
    <col min="5386" max="5440" width="0" style="12" hidden="1" customWidth="1"/>
    <col min="5441" max="5442" width="1" style="12" customWidth="1"/>
    <col min="5443" max="5443" width="17.85546875" style="12" customWidth="1"/>
    <col min="5444" max="5447" width="1" style="12" customWidth="1"/>
    <col min="5448" max="5448" width="17.85546875" style="12" customWidth="1"/>
    <col min="5449" max="5452" width="1" style="12" customWidth="1"/>
    <col min="5453" max="5453" width="17.85546875" style="12" customWidth="1"/>
    <col min="5454" max="5455" width="1" style="12" customWidth="1"/>
    <col min="5456" max="5510" width="0" style="12" hidden="1" customWidth="1"/>
    <col min="5511" max="5512" width="1" style="12" customWidth="1"/>
    <col min="5513" max="5513" width="17.85546875" style="12" customWidth="1"/>
    <col min="5514" max="5517" width="1" style="12" customWidth="1"/>
    <col min="5518" max="5518" width="17.85546875" style="12" customWidth="1"/>
    <col min="5519" max="5519" width="1" style="12" customWidth="1"/>
    <col min="5520" max="5520" width="2" style="12" customWidth="1"/>
    <col min="5521" max="5521" width="6.42578125" style="12" customWidth="1"/>
    <col min="5522" max="5522" width="17.42578125" style="12" customWidth="1"/>
    <col min="5523" max="5523" width="12.28515625" style="12" customWidth="1"/>
    <col min="5524" max="5632" width="10" style="12"/>
    <col min="5633" max="5633" width="1.85546875" style="12" customWidth="1"/>
    <col min="5634" max="5635" width="1" style="12" customWidth="1"/>
    <col min="5636" max="5636" width="34" style="12" customWidth="1"/>
    <col min="5637" max="5638" width="1" style="12" customWidth="1"/>
    <col min="5639" max="5639" width="17.85546875" style="12" customWidth="1"/>
    <col min="5640" max="5641" width="1" style="12" customWidth="1"/>
    <col min="5642" max="5696" width="0" style="12" hidden="1" customWidth="1"/>
    <col min="5697" max="5698" width="1" style="12" customWidth="1"/>
    <col min="5699" max="5699" width="17.85546875" style="12" customWidth="1"/>
    <col min="5700" max="5703" width="1" style="12" customWidth="1"/>
    <col min="5704" max="5704" width="17.85546875" style="12" customWidth="1"/>
    <col min="5705" max="5708" width="1" style="12" customWidth="1"/>
    <col min="5709" max="5709" width="17.85546875" style="12" customWidth="1"/>
    <col min="5710" max="5711" width="1" style="12" customWidth="1"/>
    <col min="5712" max="5766" width="0" style="12" hidden="1" customWidth="1"/>
    <col min="5767" max="5768" width="1" style="12" customWidth="1"/>
    <col min="5769" max="5769" width="17.85546875" style="12" customWidth="1"/>
    <col min="5770" max="5773" width="1" style="12" customWidth="1"/>
    <col min="5774" max="5774" width="17.85546875" style="12" customWidth="1"/>
    <col min="5775" max="5775" width="1" style="12" customWidth="1"/>
    <col min="5776" max="5776" width="2" style="12" customWidth="1"/>
    <col min="5777" max="5777" width="6.42578125" style="12" customWidth="1"/>
    <col min="5778" max="5778" width="17.42578125" style="12" customWidth="1"/>
    <col min="5779" max="5779" width="12.28515625" style="12" customWidth="1"/>
    <col min="5780" max="5888" width="10" style="12"/>
    <col min="5889" max="5889" width="1.85546875" style="12" customWidth="1"/>
    <col min="5890" max="5891" width="1" style="12" customWidth="1"/>
    <col min="5892" max="5892" width="34" style="12" customWidth="1"/>
    <col min="5893" max="5894" width="1" style="12" customWidth="1"/>
    <col min="5895" max="5895" width="17.85546875" style="12" customWidth="1"/>
    <col min="5896" max="5897" width="1" style="12" customWidth="1"/>
    <col min="5898" max="5952" width="0" style="12" hidden="1" customWidth="1"/>
    <col min="5953" max="5954" width="1" style="12" customWidth="1"/>
    <col min="5955" max="5955" width="17.85546875" style="12" customWidth="1"/>
    <col min="5956" max="5959" width="1" style="12" customWidth="1"/>
    <col min="5960" max="5960" width="17.85546875" style="12" customWidth="1"/>
    <col min="5961" max="5964" width="1" style="12" customWidth="1"/>
    <col min="5965" max="5965" width="17.85546875" style="12" customWidth="1"/>
    <col min="5966" max="5967" width="1" style="12" customWidth="1"/>
    <col min="5968" max="6022" width="0" style="12" hidden="1" customWidth="1"/>
    <col min="6023" max="6024" width="1" style="12" customWidth="1"/>
    <col min="6025" max="6025" width="17.85546875" style="12" customWidth="1"/>
    <col min="6026" max="6029" width="1" style="12" customWidth="1"/>
    <col min="6030" max="6030" width="17.85546875" style="12" customWidth="1"/>
    <col min="6031" max="6031" width="1" style="12" customWidth="1"/>
    <col min="6032" max="6032" width="2" style="12" customWidth="1"/>
    <col min="6033" max="6033" width="6.42578125" style="12" customWidth="1"/>
    <col min="6034" max="6034" width="17.42578125" style="12" customWidth="1"/>
    <col min="6035" max="6035" width="12.28515625" style="12" customWidth="1"/>
    <col min="6036" max="6144" width="10" style="12"/>
    <col min="6145" max="6145" width="1.85546875" style="12" customWidth="1"/>
    <col min="6146" max="6147" width="1" style="12" customWidth="1"/>
    <col min="6148" max="6148" width="34" style="12" customWidth="1"/>
    <col min="6149" max="6150" width="1" style="12" customWidth="1"/>
    <col min="6151" max="6151" width="17.85546875" style="12" customWidth="1"/>
    <col min="6152" max="6153" width="1" style="12" customWidth="1"/>
    <col min="6154" max="6208" width="0" style="12" hidden="1" customWidth="1"/>
    <col min="6209" max="6210" width="1" style="12" customWidth="1"/>
    <col min="6211" max="6211" width="17.85546875" style="12" customWidth="1"/>
    <col min="6212" max="6215" width="1" style="12" customWidth="1"/>
    <col min="6216" max="6216" width="17.85546875" style="12" customWidth="1"/>
    <col min="6217" max="6220" width="1" style="12" customWidth="1"/>
    <col min="6221" max="6221" width="17.85546875" style="12" customWidth="1"/>
    <col min="6222" max="6223" width="1" style="12" customWidth="1"/>
    <col min="6224" max="6278" width="0" style="12" hidden="1" customWidth="1"/>
    <col min="6279" max="6280" width="1" style="12" customWidth="1"/>
    <col min="6281" max="6281" width="17.85546875" style="12" customWidth="1"/>
    <col min="6282" max="6285" width="1" style="12" customWidth="1"/>
    <col min="6286" max="6286" width="17.85546875" style="12" customWidth="1"/>
    <col min="6287" max="6287" width="1" style="12" customWidth="1"/>
    <col min="6288" max="6288" width="2" style="12" customWidth="1"/>
    <col min="6289" max="6289" width="6.42578125" style="12" customWidth="1"/>
    <col min="6290" max="6290" width="17.42578125" style="12" customWidth="1"/>
    <col min="6291" max="6291" width="12.28515625" style="12" customWidth="1"/>
    <col min="6292" max="6400" width="10" style="12"/>
    <col min="6401" max="6401" width="1.85546875" style="12" customWidth="1"/>
    <col min="6402" max="6403" width="1" style="12" customWidth="1"/>
    <col min="6404" max="6404" width="34" style="12" customWidth="1"/>
    <col min="6405" max="6406" width="1" style="12" customWidth="1"/>
    <col min="6407" max="6407" width="17.85546875" style="12" customWidth="1"/>
    <col min="6408" max="6409" width="1" style="12" customWidth="1"/>
    <col min="6410" max="6464" width="0" style="12" hidden="1" customWidth="1"/>
    <col min="6465" max="6466" width="1" style="12" customWidth="1"/>
    <col min="6467" max="6467" width="17.85546875" style="12" customWidth="1"/>
    <col min="6468" max="6471" width="1" style="12" customWidth="1"/>
    <col min="6472" max="6472" width="17.85546875" style="12" customWidth="1"/>
    <col min="6473" max="6476" width="1" style="12" customWidth="1"/>
    <col min="6477" max="6477" width="17.85546875" style="12" customWidth="1"/>
    <col min="6478" max="6479" width="1" style="12" customWidth="1"/>
    <col min="6480" max="6534" width="0" style="12" hidden="1" customWidth="1"/>
    <col min="6535" max="6536" width="1" style="12" customWidth="1"/>
    <col min="6537" max="6537" width="17.85546875" style="12" customWidth="1"/>
    <col min="6538" max="6541" width="1" style="12" customWidth="1"/>
    <col min="6542" max="6542" width="17.85546875" style="12" customWidth="1"/>
    <col min="6543" max="6543" width="1" style="12" customWidth="1"/>
    <col min="6544" max="6544" width="2" style="12" customWidth="1"/>
    <col min="6545" max="6545" width="6.42578125" style="12" customWidth="1"/>
    <col min="6546" max="6546" width="17.42578125" style="12" customWidth="1"/>
    <col min="6547" max="6547" width="12.28515625" style="12" customWidth="1"/>
    <col min="6548" max="6656" width="10" style="12"/>
    <col min="6657" max="6657" width="1.85546875" style="12" customWidth="1"/>
    <col min="6658" max="6659" width="1" style="12" customWidth="1"/>
    <col min="6660" max="6660" width="34" style="12" customWidth="1"/>
    <col min="6661" max="6662" width="1" style="12" customWidth="1"/>
    <col min="6663" max="6663" width="17.85546875" style="12" customWidth="1"/>
    <col min="6664" max="6665" width="1" style="12" customWidth="1"/>
    <col min="6666" max="6720" width="0" style="12" hidden="1" customWidth="1"/>
    <col min="6721" max="6722" width="1" style="12" customWidth="1"/>
    <col min="6723" max="6723" width="17.85546875" style="12" customWidth="1"/>
    <col min="6724" max="6727" width="1" style="12" customWidth="1"/>
    <col min="6728" max="6728" width="17.85546875" style="12" customWidth="1"/>
    <col min="6729" max="6732" width="1" style="12" customWidth="1"/>
    <col min="6733" max="6733" width="17.85546875" style="12" customWidth="1"/>
    <col min="6734" max="6735" width="1" style="12" customWidth="1"/>
    <col min="6736" max="6790" width="0" style="12" hidden="1" customWidth="1"/>
    <col min="6791" max="6792" width="1" style="12" customWidth="1"/>
    <col min="6793" max="6793" width="17.85546875" style="12" customWidth="1"/>
    <col min="6794" max="6797" width="1" style="12" customWidth="1"/>
    <col min="6798" max="6798" width="17.85546875" style="12" customWidth="1"/>
    <col min="6799" max="6799" width="1" style="12" customWidth="1"/>
    <col min="6800" max="6800" width="2" style="12" customWidth="1"/>
    <col min="6801" max="6801" width="6.42578125" style="12" customWidth="1"/>
    <col min="6802" max="6802" width="17.42578125" style="12" customWidth="1"/>
    <col min="6803" max="6803" width="12.28515625" style="12" customWidth="1"/>
    <col min="6804" max="6912" width="10" style="12"/>
    <col min="6913" max="6913" width="1.85546875" style="12" customWidth="1"/>
    <col min="6914" max="6915" width="1" style="12" customWidth="1"/>
    <col min="6916" max="6916" width="34" style="12" customWidth="1"/>
    <col min="6917" max="6918" width="1" style="12" customWidth="1"/>
    <col min="6919" max="6919" width="17.85546875" style="12" customWidth="1"/>
    <col min="6920" max="6921" width="1" style="12" customWidth="1"/>
    <col min="6922" max="6976" width="0" style="12" hidden="1" customWidth="1"/>
    <col min="6977" max="6978" width="1" style="12" customWidth="1"/>
    <col min="6979" max="6979" width="17.85546875" style="12" customWidth="1"/>
    <col min="6980" max="6983" width="1" style="12" customWidth="1"/>
    <col min="6984" max="6984" width="17.85546875" style="12" customWidth="1"/>
    <col min="6985" max="6988" width="1" style="12" customWidth="1"/>
    <col min="6989" max="6989" width="17.85546875" style="12" customWidth="1"/>
    <col min="6990" max="6991" width="1" style="12" customWidth="1"/>
    <col min="6992" max="7046" width="0" style="12" hidden="1" customWidth="1"/>
    <col min="7047" max="7048" width="1" style="12" customWidth="1"/>
    <col min="7049" max="7049" width="17.85546875" style="12" customWidth="1"/>
    <col min="7050" max="7053" width="1" style="12" customWidth="1"/>
    <col min="7054" max="7054" width="17.85546875" style="12" customWidth="1"/>
    <col min="7055" max="7055" width="1" style="12" customWidth="1"/>
    <col min="7056" max="7056" width="2" style="12" customWidth="1"/>
    <col min="7057" max="7057" width="6.42578125" style="12" customWidth="1"/>
    <col min="7058" max="7058" width="17.42578125" style="12" customWidth="1"/>
    <col min="7059" max="7059" width="12.28515625" style="12" customWidth="1"/>
    <col min="7060" max="7168" width="10" style="12"/>
    <col min="7169" max="7169" width="1.85546875" style="12" customWidth="1"/>
    <col min="7170" max="7171" width="1" style="12" customWidth="1"/>
    <col min="7172" max="7172" width="34" style="12" customWidth="1"/>
    <col min="7173" max="7174" width="1" style="12" customWidth="1"/>
    <col min="7175" max="7175" width="17.85546875" style="12" customWidth="1"/>
    <col min="7176" max="7177" width="1" style="12" customWidth="1"/>
    <col min="7178" max="7232" width="0" style="12" hidden="1" customWidth="1"/>
    <col min="7233" max="7234" width="1" style="12" customWidth="1"/>
    <col min="7235" max="7235" width="17.85546875" style="12" customWidth="1"/>
    <col min="7236" max="7239" width="1" style="12" customWidth="1"/>
    <col min="7240" max="7240" width="17.85546875" style="12" customWidth="1"/>
    <col min="7241" max="7244" width="1" style="12" customWidth="1"/>
    <col min="7245" max="7245" width="17.85546875" style="12" customWidth="1"/>
    <col min="7246" max="7247" width="1" style="12" customWidth="1"/>
    <col min="7248" max="7302" width="0" style="12" hidden="1" customWidth="1"/>
    <col min="7303" max="7304" width="1" style="12" customWidth="1"/>
    <col min="7305" max="7305" width="17.85546875" style="12" customWidth="1"/>
    <col min="7306" max="7309" width="1" style="12" customWidth="1"/>
    <col min="7310" max="7310" width="17.85546875" style="12" customWidth="1"/>
    <col min="7311" max="7311" width="1" style="12" customWidth="1"/>
    <col min="7312" max="7312" width="2" style="12" customWidth="1"/>
    <col min="7313" max="7313" width="6.42578125" style="12" customWidth="1"/>
    <col min="7314" max="7314" width="17.42578125" style="12" customWidth="1"/>
    <col min="7315" max="7315" width="12.28515625" style="12" customWidth="1"/>
    <col min="7316" max="7424" width="10" style="12"/>
    <col min="7425" max="7425" width="1.85546875" style="12" customWidth="1"/>
    <col min="7426" max="7427" width="1" style="12" customWidth="1"/>
    <col min="7428" max="7428" width="34" style="12" customWidth="1"/>
    <col min="7429" max="7430" width="1" style="12" customWidth="1"/>
    <col min="7431" max="7431" width="17.85546875" style="12" customWidth="1"/>
    <col min="7432" max="7433" width="1" style="12" customWidth="1"/>
    <col min="7434" max="7488" width="0" style="12" hidden="1" customWidth="1"/>
    <col min="7489" max="7490" width="1" style="12" customWidth="1"/>
    <col min="7491" max="7491" width="17.85546875" style="12" customWidth="1"/>
    <col min="7492" max="7495" width="1" style="12" customWidth="1"/>
    <col min="7496" max="7496" width="17.85546875" style="12" customWidth="1"/>
    <col min="7497" max="7500" width="1" style="12" customWidth="1"/>
    <col min="7501" max="7501" width="17.85546875" style="12" customWidth="1"/>
    <col min="7502" max="7503" width="1" style="12" customWidth="1"/>
    <col min="7504" max="7558" width="0" style="12" hidden="1" customWidth="1"/>
    <col min="7559" max="7560" width="1" style="12" customWidth="1"/>
    <col min="7561" max="7561" width="17.85546875" style="12" customWidth="1"/>
    <col min="7562" max="7565" width="1" style="12" customWidth="1"/>
    <col min="7566" max="7566" width="17.85546875" style="12" customWidth="1"/>
    <col min="7567" max="7567" width="1" style="12" customWidth="1"/>
    <col min="7568" max="7568" width="2" style="12" customWidth="1"/>
    <col min="7569" max="7569" width="6.42578125" style="12" customWidth="1"/>
    <col min="7570" max="7570" width="17.42578125" style="12" customWidth="1"/>
    <col min="7571" max="7571" width="12.28515625" style="12" customWidth="1"/>
    <col min="7572" max="7680" width="10" style="12"/>
    <col min="7681" max="7681" width="1.85546875" style="12" customWidth="1"/>
    <col min="7682" max="7683" width="1" style="12" customWidth="1"/>
    <col min="7684" max="7684" width="34" style="12" customWidth="1"/>
    <col min="7685" max="7686" width="1" style="12" customWidth="1"/>
    <col min="7687" max="7687" width="17.85546875" style="12" customWidth="1"/>
    <col min="7688" max="7689" width="1" style="12" customWidth="1"/>
    <col min="7690" max="7744" width="0" style="12" hidden="1" customWidth="1"/>
    <col min="7745" max="7746" width="1" style="12" customWidth="1"/>
    <col min="7747" max="7747" width="17.85546875" style="12" customWidth="1"/>
    <col min="7748" max="7751" width="1" style="12" customWidth="1"/>
    <col min="7752" max="7752" width="17.85546875" style="12" customWidth="1"/>
    <col min="7753" max="7756" width="1" style="12" customWidth="1"/>
    <col min="7757" max="7757" width="17.85546875" style="12" customWidth="1"/>
    <col min="7758" max="7759" width="1" style="12" customWidth="1"/>
    <col min="7760" max="7814" width="0" style="12" hidden="1" customWidth="1"/>
    <col min="7815" max="7816" width="1" style="12" customWidth="1"/>
    <col min="7817" max="7817" width="17.85546875" style="12" customWidth="1"/>
    <col min="7818" max="7821" width="1" style="12" customWidth="1"/>
    <col min="7822" max="7822" width="17.85546875" style="12" customWidth="1"/>
    <col min="7823" max="7823" width="1" style="12" customWidth="1"/>
    <col min="7824" max="7824" width="2" style="12" customWidth="1"/>
    <col min="7825" max="7825" width="6.42578125" style="12" customWidth="1"/>
    <col min="7826" max="7826" width="17.42578125" style="12" customWidth="1"/>
    <col min="7827" max="7827" width="12.28515625" style="12" customWidth="1"/>
    <col min="7828" max="7936" width="10" style="12"/>
    <col min="7937" max="7937" width="1.85546875" style="12" customWidth="1"/>
    <col min="7938" max="7939" width="1" style="12" customWidth="1"/>
    <col min="7940" max="7940" width="34" style="12" customWidth="1"/>
    <col min="7941" max="7942" width="1" style="12" customWidth="1"/>
    <col min="7943" max="7943" width="17.85546875" style="12" customWidth="1"/>
    <col min="7944" max="7945" width="1" style="12" customWidth="1"/>
    <col min="7946" max="8000" width="0" style="12" hidden="1" customWidth="1"/>
    <col min="8001" max="8002" width="1" style="12" customWidth="1"/>
    <col min="8003" max="8003" width="17.85546875" style="12" customWidth="1"/>
    <col min="8004" max="8007" width="1" style="12" customWidth="1"/>
    <col min="8008" max="8008" width="17.85546875" style="12" customWidth="1"/>
    <col min="8009" max="8012" width="1" style="12" customWidth="1"/>
    <col min="8013" max="8013" width="17.85546875" style="12" customWidth="1"/>
    <col min="8014" max="8015" width="1" style="12" customWidth="1"/>
    <col min="8016" max="8070" width="0" style="12" hidden="1" customWidth="1"/>
    <col min="8071" max="8072" width="1" style="12" customWidth="1"/>
    <col min="8073" max="8073" width="17.85546875" style="12" customWidth="1"/>
    <col min="8074" max="8077" width="1" style="12" customWidth="1"/>
    <col min="8078" max="8078" width="17.85546875" style="12" customWidth="1"/>
    <col min="8079" max="8079" width="1" style="12" customWidth="1"/>
    <col min="8080" max="8080" width="2" style="12" customWidth="1"/>
    <col min="8081" max="8081" width="6.42578125" style="12" customWidth="1"/>
    <col min="8082" max="8082" width="17.42578125" style="12" customWidth="1"/>
    <col min="8083" max="8083" width="12.28515625" style="12" customWidth="1"/>
    <col min="8084" max="8192" width="10" style="12"/>
    <col min="8193" max="8193" width="1.85546875" style="12" customWidth="1"/>
    <col min="8194" max="8195" width="1" style="12" customWidth="1"/>
    <col min="8196" max="8196" width="34" style="12" customWidth="1"/>
    <col min="8197" max="8198" width="1" style="12" customWidth="1"/>
    <col min="8199" max="8199" width="17.85546875" style="12" customWidth="1"/>
    <col min="8200" max="8201" width="1" style="12" customWidth="1"/>
    <col min="8202" max="8256" width="0" style="12" hidden="1" customWidth="1"/>
    <col min="8257" max="8258" width="1" style="12" customWidth="1"/>
    <col min="8259" max="8259" width="17.85546875" style="12" customWidth="1"/>
    <col min="8260" max="8263" width="1" style="12" customWidth="1"/>
    <col min="8264" max="8264" width="17.85546875" style="12" customWidth="1"/>
    <col min="8265" max="8268" width="1" style="12" customWidth="1"/>
    <col min="8269" max="8269" width="17.85546875" style="12" customWidth="1"/>
    <col min="8270" max="8271" width="1" style="12" customWidth="1"/>
    <col min="8272" max="8326" width="0" style="12" hidden="1" customWidth="1"/>
    <col min="8327" max="8328" width="1" style="12" customWidth="1"/>
    <col min="8329" max="8329" width="17.85546875" style="12" customWidth="1"/>
    <col min="8330" max="8333" width="1" style="12" customWidth="1"/>
    <col min="8334" max="8334" width="17.85546875" style="12" customWidth="1"/>
    <col min="8335" max="8335" width="1" style="12" customWidth="1"/>
    <col min="8336" max="8336" width="2" style="12" customWidth="1"/>
    <col min="8337" max="8337" width="6.42578125" style="12" customWidth="1"/>
    <col min="8338" max="8338" width="17.42578125" style="12" customWidth="1"/>
    <col min="8339" max="8339" width="12.28515625" style="12" customWidth="1"/>
    <col min="8340" max="8448" width="10" style="12"/>
    <col min="8449" max="8449" width="1.85546875" style="12" customWidth="1"/>
    <col min="8450" max="8451" width="1" style="12" customWidth="1"/>
    <col min="8452" max="8452" width="34" style="12" customWidth="1"/>
    <col min="8453" max="8454" width="1" style="12" customWidth="1"/>
    <col min="8455" max="8455" width="17.85546875" style="12" customWidth="1"/>
    <col min="8456" max="8457" width="1" style="12" customWidth="1"/>
    <col min="8458" max="8512" width="0" style="12" hidden="1" customWidth="1"/>
    <col min="8513" max="8514" width="1" style="12" customWidth="1"/>
    <col min="8515" max="8515" width="17.85546875" style="12" customWidth="1"/>
    <col min="8516" max="8519" width="1" style="12" customWidth="1"/>
    <col min="8520" max="8520" width="17.85546875" style="12" customWidth="1"/>
    <col min="8521" max="8524" width="1" style="12" customWidth="1"/>
    <col min="8525" max="8525" width="17.85546875" style="12" customWidth="1"/>
    <col min="8526" max="8527" width="1" style="12" customWidth="1"/>
    <col min="8528" max="8582" width="0" style="12" hidden="1" customWidth="1"/>
    <col min="8583" max="8584" width="1" style="12" customWidth="1"/>
    <col min="8585" max="8585" width="17.85546875" style="12" customWidth="1"/>
    <col min="8586" max="8589" width="1" style="12" customWidth="1"/>
    <col min="8590" max="8590" width="17.85546875" style="12" customWidth="1"/>
    <col min="8591" max="8591" width="1" style="12" customWidth="1"/>
    <col min="8592" max="8592" width="2" style="12" customWidth="1"/>
    <col min="8593" max="8593" width="6.42578125" style="12" customWidth="1"/>
    <col min="8594" max="8594" width="17.42578125" style="12" customWidth="1"/>
    <col min="8595" max="8595" width="12.28515625" style="12" customWidth="1"/>
    <col min="8596" max="8704" width="10" style="12"/>
    <col min="8705" max="8705" width="1.85546875" style="12" customWidth="1"/>
    <col min="8706" max="8707" width="1" style="12" customWidth="1"/>
    <col min="8708" max="8708" width="34" style="12" customWidth="1"/>
    <col min="8709" max="8710" width="1" style="12" customWidth="1"/>
    <col min="8711" max="8711" width="17.85546875" style="12" customWidth="1"/>
    <col min="8712" max="8713" width="1" style="12" customWidth="1"/>
    <col min="8714" max="8768" width="0" style="12" hidden="1" customWidth="1"/>
    <col min="8769" max="8770" width="1" style="12" customWidth="1"/>
    <col min="8771" max="8771" width="17.85546875" style="12" customWidth="1"/>
    <col min="8772" max="8775" width="1" style="12" customWidth="1"/>
    <col min="8776" max="8776" width="17.85546875" style="12" customWidth="1"/>
    <col min="8777" max="8780" width="1" style="12" customWidth="1"/>
    <col min="8781" max="8781" width="17.85546875" style="12" customWidth="1"/>
    <col min="8782" max="8783" width="1" style="12" customWidth="1"/>
    <col min="8784" max="8838" width="0" style="12" hidden="1" customWidth="1"/>
    <col min="8839" max="8840" width="1" style="12" customWidth="1"/>
    <col min="8841" max="8841" width="17.85546875" style="12" customWidth="1"/>
    <col min="8842" max="8845" width="1" style="12" customWidth="1"/>
    <col min="8846" max="8846" width="17.85546875" style="12" customWidth="1"/>
    <col min="8847" max="8847" width="1" style="12" customWidth="1"/>
    <col min="8848" max="8848" width="2" style="12" customWidth="1"/>
    <col min="8849" max="8849" width="6.42578125" style="12" customWidth="1"/>
    <col min="8850" max="8850" width="17.42578125" style="12" customWidth="1"/>
    <col min="8851" max="8851" width="12.28515625" style="12" customWidth="1"/>
    <col min="8852" max="8960" width="10" style="12"/>
    <col min="8961" max="8961" width="1.85546875" style="12" customWidth="1"/>
    <col min="8962" max="8963" width="1" style="12" customWidth="1"/>
    <col min="8964" max="8964" width="34" style="12" customWidth="1"/>
    <col min="8965" max="8966" width="1" style="12" customWidth="1"/>
    <col min="8967" max="8967" width="17.85546875" style="12" customWidth="1"/>
    <col min="8968" max="8969" width="1" style="12" customWidth="1"/>
    <col min="8970" max="9024" width="0" style="12" hidden="1" customWidth="1"/>
    <col min="9025" max="9026" width="1" style="12" customWidth="1"/>
    <col min="9027" max="9027" width="17.85546875" style="12" customWidth="1"/>
    <col min="9028" max="9031" width="1" style="12" customWidth="1"/>
    <col min="9032" max="9032" width="17.85546875" style="12" customWidth="1"/>
    <col min="9033" max="9036" width="1" style="12" customWidth="1"/>
    <col min="9037" max="9037" width="17.85546875" style="12" customWidth="1"/>
    <col min="9038" max="9039" width="1" style="12" customWidth="1"/>
    <col min="9040" max="9094" width="0" style="12" hidden="1" customWidth="1"/>
    <col min="9095" max="9096" width="1" style="12" customWidth="1"/>
    <col min="9097" max="9097" width="17.85546875" style="12" customWidth="1"/>
    <col min="9098" max="9101" width="1" style="12" customWidth="1"/>
    <col min="9102" max="9102" width="17.85546875" style="12" customWidth="1"/>
    <col min="9103" max="9103" width="1" style="12" customWidth="1"/>
    <col min="9104" max="9104" width="2" style="12" customWidth="1"/>
    <col min="9105" max="9105" width="6.42578125" style="12" customWidth="1"/>
    <col min="9106" max="9106" width="17.42578125" style="12" customWidth="1"/>
    <col min="9107" max="9107" width="12.28515625" style="12" customWidth="1"/>
    <col min="9108" max="9216" width="10" style="12"/>
    <col min="9217" max="9217" width="1.85546875" style="12" customWidth="1"/>
    <col min="9218" max="9219" width="1" style="12" customWidth="1"/>
    <col min="9220" max="9220" width="34" style="12" customWidth="1"/>
    <col min="9221" max="9222" width="1" style="12" customWidth="1"/>
    <col min="9223" max="9223" width="17.85546875" style="12" customWidth="1"/>
    <col min="9224" max="9225" width="1" style="12" customWidth="1"/>
    <col min="9226" max="9280" width="0" style="12" hidden="1" customWidth="1"/>
    <col min="9281" max="9282" width="1" style="12" customWidth="1"/>
    <col min="9283" max="9283" width="17.85546875" style="12" customWidth="1"/>
    <col min="9284" max="9287" width="1" style="12" customWidth="1"/>
    <col min="9288" max="9288" width="17.85546875" style="12" customWidth="1"/>
    <col min="9289" max="9292" width="1" style="12" customWidth="1"/>
    <col min="9293" max="9293" width="17.85546875" style="12" customWidth="1"/>
    <col min="9294" max="9295" width="1" style="12" customWidth="1"/>
    <col min="9296" max="9350" width="0" style="12" hidden="1" customWidth="1"/>
    <col min="9351" max="9352" width="1" style="12" customWidth="1"/>
    <col min="9353" max="9353" width="17.85546875" style="12" customWidth="1"/>
    <col min="9354" max="9357" width="1" style="12" customWidth="1"/>
    <col min="9358" max="9358" width="17.85546875" style="12" customWidth="1"/>
    <col min="9359" max="9359" width="1" style="12" customWidth="1"/>
    <col min="9360" max="9360" width="2" style="12" customWidth="1"/>
    <col min="9361" max="9361" width="6.42578125" style="12" customWidth="1"/>
    <col min="9362" max="9362" width="17.42578125" style="12" customWidth="1"/>
    <col min="9363" max="9363" width="12.28515625" style="12" customWidth="1"/>
    <col min="9364" max="9472" width="10" style="12"/>
    <col min="9473" max="9473" width="1.85546875" style="12" customWidth="1"/>
    <col min="9474" max="9475" width="1" style="12" customWidth="1"/>
    <col min="9476" max="9476" width="34" style="12" customWidth="1"/>
    <col min="9477" max="9478" width="1" style="12" customWidth="1"/>
    <col min="9479" max="9479" width="17.85546875" style="12" customWidth="1"/>
    <col min="9480" max="9481" width="1" style="12" customWidth="1"/>
    <col min="9482" max="9536" width="0" style="12" hidden="1" customWidth="1"/>
    <col min="9537" max="9538" width="1" style="12" customWidth="1"/>
    <col min="9539" max="9539" width="17.85546875" style="12" customWidth="1"/>
    <col min="9540" max="9543" width="1" style="12" customWidth="1"/>
    <col min="9544" max="9544" width="17.85546875" style="12" customWidth="1"/>
    <col min="9545" max="9548" width="1" style="12" customWidth="1"/>
    <col min="9549" max="9549" width="17.85546875" style="12" customWidth="1"/>
    <col min="9550" max="9551" width="1" style="12" customWidth="1"/>
    <col min="9552" max="9606" width="0" style="12" hidden="1" customWidth="1"/>
    <col min="9607" max="9608" width="1" style="12" customWidth="1"/>
    <col min="9609" max="9609" width="17.85546875" style="12" customWidth="1"/>
    <col min="9610" max="9613" width="1" style="12" customWidth="1"/>
    <col min="9614" max="9614" width="17.85546875" style="12" customWidth="1"/>
    <col min="9615" max="9615" width="1" style="12" customWidth="1"/>
    <col min="9616" max="9616" width="2" style="12" customWidth="1"/>
    <col min="9617" max="9617" width="6.42578125" style="12" customWidth="1"/>
    <col min="9618" max="9618" width="17.42578125" style="12" customWidth="1"/>
    <col min="9619" max="9619" width="12.28515625" style="12" customWidth="1"/>
    <col min="9620" max="9728" width="10" style="12"/>
    <col min="9729" max="9729" width="1.85546875" style="12" customWidth="1"/>
    <col min="9730" max="9731" width="1" style="12" customWidth="1"/>
    <col min="9732" max="9732" width="34" style="12" customWidth="1"/>
    <col min="9733" max="9734" width="1" style="12" customWidth="1"/>
    <col min="9735" max="9735" width="17.85546875" style="12" customWidth="1"/>
    <col min="9736" max="9737" width="1" style="12" customWidth="1"/>
    <col min="9738" max="9792" width="0" style="12" hidden="1" customWidth="1"/>
    <col min="9793" max="9794" width="1" style="12" customWidth="1"/>
    <col min="9795" max="9795" width="17.85546875" style="12" customWidth="1"/>
    <col min="9796" max="9799" width="1" style="12" customWidth="1"/>
    <col min="9800" max="9800" width="17.85546875" style="12" customWidth="1"/>
    <col min="9801" max="9804" width="1" style="12" customWidth="1"/>
    <col min="9805" max="9805" width="17.85546875" style="12" customWidth="1"/>
    <col min="9806" max="9807" width="1" style="12" customWidth="1"/>
    <col min="9808" max="9862" width="0" style="12" hidden="1" customWidth="1"/>
    <col min="9863" max="9864" width="1" style="12" customWidth="1"/>
    <col min="9865" max="9865" width="17.85546875" style="12" customWidth="1"/>
    <col min="9866" max="9869" width="1" style="12" customWidth="1"/>
    <col min="9870" max="9870" width="17.85546875" style="12" customWidth="1"/>
    <col min="9871" max="9871" width="1" style="12" customWidth="1"/>
    <col min="9872" max="9872" width="2" style="12" customWidth="1"/>
    <col min="9873" max="9873" width="6.42578125" style="12" customWidth="1"/>
    <col min="9874" max="9874" width="17.42578125" style="12" customWidth="1"/>
    <col min="9875" max="9875" width="12.28515625" style="12" customWidth="1"/>
    <col min="9876" max="9984" width="10" style="12"/>
    <col min="9985" max="9985" width="1.85546875" style="12" customWidth="1"/>
    <col min="9986" max="9987" width="1" style="12" customWidth="1"/>
    <col min="9988" max="9988" width="34" style="12" customWidth="1"/>
    <col min="9989" max="9990" width="1" style="12" customWidth="1"/>
    <col min="9991" max="9991" width="17.85546875" style="12" customWidth="1"/>
    <col min="9992" max="9993" width="1" style="12" customWidth="1"/>
    <col min="9994" max="10048" width="0" style="12" hidden="1" customWidth="1"/>
    <col min="10049" max="10050" width="1" style="12" customWidth="1"/>
    <col min="10051" max="10051" width="17.85546875" style="12" customWidth="1"/>
    <col min="10052" max="10055" width="1" style="12" customWidth="1"/>
    <col min="10056" max="10056" width="17.85546875" style="12" customWidth="1"/>
    <col min="10057" max="10060" width="1" style="12" customWidth="1"/>
    <col min="10061" max="10061" width="17.85546875" style="12" customWidth="1"/>
    <col min="10062" max="10063" width="1" style="12" customWidth="1"/>
    <col min="10064" max="10118" width="0" style="12" hidden="1" customWidth="1"/>
    <col min="10119" max="10120" width="1" style="12" customWidth="1"/>
    <col min="10121" max="10121" width="17.85546875" style="12" customWidth="1"/>
    <col min="10122" max="10125" width="1" style="12" customWidth="1"/>
    <col min="10126" max="10126" width="17.85546875" style="12" customWidth="1"/>
    <col min="10127" max="10127" width="1" style="12" customWidth="1"/>
    <col min="10128" max="10128" width="2" style="12" customWidth="1"/>
    <col min="10129" max="10129" width="6.42578125" style="12" customWidth="1"/>
    <col min="10130" max="10130" width="17.42578125" style="12" customWidth="1"/>
    <col min="10131" max="10131" width="12.28515625" style="12" customWidth="1"/>
    <col min="10132" max="10240" width="10" style="12"/>
    <col min="10241" max="10241" width="1.85546875" style="12" customWidth="1"/>
    <col min="10242" max="10243" width="1" style="12" customWidth="1"/>
    <col min="10244" max="10244" width="34" style="12" customWidth="1"/>
    <col min="10245" max="10246" width="1" style="12" customWidth="1"/>
    <col min="10247" max="10247" width="17.85546875" style="12" customWidth="1"/>
    <col min="10248" max="10249" width="1" style="12" customWidth="1"/>
    <col min="10250" max="10304" width="0" style="12" hidden="1" customWidth="1"/>
    <col min="10305" max="10306" width="1" style="12" customWidth="1"/>
    <col min="10307" max="10307" width="17.85546875" style="12" customWidth="1"/>
    <col min="10308" max="10311" width="1" style="12" customWidth="1"/>
    <col min="10312" max="10312" width="17.85546875" style="12" customWidth="1"/>
    <col min="10313" max="10316" width="1" style="12" customWidth="1"/>
    <col min="10317" max="10317" width="17.85546875" style="12" customWidth="1"/>
    <col min="10318" max="10319" width="1" style="12" customWidth="1"/>
    <col min="10320" max="10374" width="0" style="12" hidden="1" customWidth="1"/>
    <col min="10375" max="10376" width="1" style="12" customWidth="1"/>
    <col min="10377" max="10377" width="17.85546875" style="12" customWidth="1"/>
    <col min="10378" max="10381" width="1" style="12" customWidth="1"/>
    <col min="10382" max="10382" width="17.85546875" style="12" customWidth="1"/>
    <col min="10383" max="10383" width="1" style="12" customWidth="1"/>
    <col min="10384" max="10384" width="2" style="12" customWidth="1"/>
    <col min="10385" max="10385" width="6.42578125" style="12" customWidth="1"/>
    <col min="10386" max="10386" width="17.42578125" style="12" customWidth="1"/>
    <col min="10387" max="10387" width="12.28515625" style="12" customWidth="1"/>
    <col min="10388" max="10496" width="10" style="12"/>
    <col min="10497" max="10497" width="1.85546875" style="12" customWidth="1"/>
    <col min="10498" max="10499" width="1" style="12" customWidth="1"/>
    <col min="10500" max="10500" width="34" style="12" customWidth="1"/>
    <col min="10501" max="10502" width="1" style="12" customWidth="1"/>
    <col min="10503" max="10503" width="17.85546875" style="12" customWidth="1"/>
    <col min="10504" max="10505" width="1" style="12" customWidth="1"/>
    <col min="10506" max="10560" width="0" style="12" hidden="1" customWidth="1"/>
    <col min="10561" max="10562" width="1" style="12" customWidth="1"/>
    <col min="10563" max="10563" width="17.85546875" style="12" customWidth="1"/>
    <col min="10564" max="10567" width="1" style="12" customWidth="1"/>
    <col min="10568" max="10568" width="17.85546875" style="12" customWidth="1"/>
    <col min="10569" max="10572" width="1" style="12" customWidth="1"/>
    <col min="10573" max="10573" width="17.85546875" style="12" customWidth="1"/>
    <col min="10574" max="10575" width="1" style="12" customWidth="1"/>
    <col min="10576" max="10630" width="0" style="12" hidden="1" customWidth="1"/>
    <col min="10631" max="10632" width="1" style="12" customWidth="1"/>
    <col min="10633" max="10633" width="17.85546875" style="12" customWidth="1"/>
    <col min="10634" max="10637" width="1" style="12" customWidth="1"/>
    <col min="10638" max="10638" width="17.85546875" style="12" customWidth="1"/>
    <col min="10639" max="10639" width="1" style="12" customWidth="1"/>
    <col min="10640" max="10640" width="2" style="12" customWidth="1"/>
    <col min="10641" max="10641" width="6.42578125" style="12" customWidth="1"/>
    <col min="10642" max="10642" width="17.42578125" style="12" customWidth="1"/>
    <col min="10643" max="10643" width="12.28515625" style="12" customWidth="1"/>
    <col min="10644" max="10752" width="10" style="12"/>
    <col min="10753" max="10753" width="1.85546875" style="12" customWidth="1"/>
    <col min="10754" max="10755" width="1" style="12" customWidth="1"/>
    <col min="10756" max="10756" width="34" style="12" customWidth="1"/>
    <col min="10757" max="10758" width="1" style="12" customWidth="1"/>
    <col min="10759" max="10759" width="17.85546875" style="12" customWidth="1"/>
    <col min="10760" max="10761" width="1" style="12" customWidth="1"/>
    <col min="10762" max="10816" width="0" style="12" hidden="1" customWidth="1"/>
    <col min="10817" max="10818" width="1" style="12" customWidth="1"/>
    <col min="10819" max="10819" width="17.85546875" style="12" customWidth="1"/>
    <col min="10820" max="10823" width="1" style="12" customWidth="1"/>
    <col min="10824" max="10824" width="17.85546875" style="12" customWidth="1"/>
    <col min="10825" max="10828" width="1" style="12" customWidth="1"/>
    <col min="10829" max="10829" width="17.85546875" style="12" customWidth="1"/>
    <col min="10830" max="10831" width="1" style="12" customWidth="1"/>
    <col min="10832" max="10886" width="0" style="12" hidden="1" customWidth="1"/>
    <col min="10887" max="10888" width="1" style="12" customWidth="1"/>
    <col min="10889" max="10889" width="17.85546875" style="12" customWidth="1"/>
    <col min="10890" max="10893" width="1" style="12" customWidth="1"/>
    <col min="10894" max="10894" width="17.85546875" style="12" customWidth="1"/>
    <col min="10895" max="10895" width="1" style="12" customWidth="1"/>
    <col min="10896" max="10896" width="2" style="12" customWidth="1"/>
    <col min="10897" max="10897" width="6.42578125" style="12" customWidth="1"/>
    <col min="10898" max="10898" width="17.42578125" style="12" customWidth="1"/>
    <col min="10899" max="10899" width="12.28515625" style="12" customWidth="1"/>
    <col min="10900" max="11008" width="10" style="12"/>
    <col min="11009" max="11009" width="1.85546875" style="12" customWidth="1"/>
    <col min="11010" max="11011" width="1" style="12" customWidth="1"/>
    <col min="11012" max="11012" width="34" style="12" customWidth="1"/>
    <col min="11013" max="11014" width="1" style="12" customWidth="1"/>
    <col min="11015" max="11015" width="17.85546875" style="12" customWidth="1"/>
    <col min="11016" max="11017" width="1" style="12" customWidth="1"/>
    <col min="11018" max="11072" width="0" style="12" hidden="1" customWidth="1"/>
    <col min="11073" max="11074" width="1" style="12" customWidth="1"/>
    <col min="11075" max="11075" width="17.85546875" style="12" customWidth="1"/>
    <col min="11076" max="11079" width="1" style="12" customWidth="1"/>
    <col min="11080" max="11080" width="17.85546875" style="12" customWidth="1"/>
    <col min="11081" max="11084" width="1" style="12" customWidth="1"/>
    <col min="11085" max="11085" width="17.85546875" style="12" customWidth="1"/>
    <col min="11086" max="11087" width="1" style="12" customWidth="1"/>
    <col min="11088" max="11142" width="0" style="12" hidden="1" customWidth="1"/>
    <col min="11143" max="11144" width="1" style="12" customWidth="1"/>
    <col min="11145" max="11145" width="17.85546875" style="12" customWidth="1"/>
    <col min="11146" max="11149" width="1" style="12" customWidth="1"/>
    <col min="11150" max="11150" width="17.85546875" style="12" customWidth="1"/>
    <col min="11151" max="11151" width="1" style="12" customWidth="1"/>
    <col min="11152" max="11152" width="2" style="12" customWidth="1"/>
    <col min="11153" max="11153" width="6.42578125" style="12" customWidth="1"/>
    <col min="11154" max="11154" width="17.42578125" style="12" customWidth="1"/>
    <col min="11155" max="11155" width="12.28515625" style="12" customWidth="1"/>
    <col min="11156" max="11264" width="10" style="12"/>
    <col min="11265" max="11265" width="1.85546875" style="12" customWidth="1"/>
    <col min="11266" max="11267" width="1" style="12" customWidth="1"/>
    <col min="11268" max="11268" width="34" style="12" customWidth="1"/>
    <col min="11269" max="11270" width="1" style="12" customWidth="1"/>
    <col min="11271" max="11271" width="17.85546875" style="12" customWidth="1"/>
    <col min="11272" max="11273" width="1" style="12" customWidth="1"/>
    <col min="11274" max="11328" width="0" style="12" hidden="1" customWidth="1"/>
    <col min="11329" max="11330" width="1" style="12" customWidth="1"/>
    <col min="11331" max="11331" width="17.85546875" style="12" customWidth="1"/>
    <col min="11332" max="11335" width="1" style="12" customWidth="1"/>
    <col min="11336" max="11336" width="17.85546875" style="12" customWidth="1"/>
    <col min="11337" max="11340" width="1" style="12" customWidth="1"/>
    <col min="11341" max="11341" width="17.85546875" style="12" customWidth="1"/>
    <col min="11342" max="11343" width="1" style="12" customWidth="1"/>
    <col min="11344" max="11398" width="0" style="12" hidden="1" customWidth="1"/>
    <col min="11399" max="11400" width="1" style="12" customWidth="1"/>
    <col min="11401" max="11401" width="17.85546875" style="12" customWidth="1"/>
    <col min="11402" max="11405" width="1" style="12" customWidth="1"/>
    <col min="11406" max="11406" width="17.85546875" style="12" customWidth="1"/>
    <col min="11407" max="11407" width="1" style="12" customWidth="1"/>
    <col min="11408" max="11408" width="2" style="12" customWidth="1"/>
    <col min="11409" max="11409" width="6.42578125" style="12" customWidth="1"/>
    <col min="11410" max="11410" width="17.42578125" style="12" customWidth="1"/>
    <col min="11411" max="11411" width="12.28515625" style="12" customWidth="1"/>
    <col min="11412" max="11520" width="10" style="12"/>
    <col min="11521" max="11521" width="1.85546875" style="12" customWidth="1"/>
    <col min="11522" max="11523" width="1" style="12" customWidth="1"/>
    <col min="11524" max="11524" width="34" style="12" customWidth="1"/>
    <col min="11525" max="11526" width="1" style="12" customWidth="1"/>
    <col min="11527" max="11527" width="17.85546875" style="12" customWidth="1"/>
    <col min="11528" max="11529" width="1" style="12" customWidth="1"/>
    <col min="11530" max="11584" width="0" style="12" hidden="1" customWidth="1"/>
    <col min="11585" max="11586" width="1" style="12" customWidth="1"/>
    <col min="11587" max="11587" width="17.85546875" style="12" customWidth="1"/>
    <col min="11588" max="11591" width="1" style="12" customWidth="1"/>
    <col min="11592" max="11592" width="17.85546875" style="12" customWidth="1"/>
    <col min="11593" max="11596" width="1" style="12" customWidth="1"/>
    <col min="11597" max="11597" width="17.85546875" style="12" customWidth="1"/>
    <col min="11598" max="11599" width="1" style="12" customWidth="1"/>
    <col min="11600" max="11654" width="0" style="12" hidden="1" customWidth="1"/>
    <col min="11655" max="11656" width="1" style="12" customWidth="1"/>
    <col min="11657" max="11657" width="17.85546875" style="12" customWidth="1"/>
    <col min="11658" max="11661" width="1" style="12" customWidth="1"/>
    <col min="11662" max="11662" width="17.85546875" style="12" customWidth="1"/>
    <col min="11663" max="11663" width="1" style="12" customWidth="1"/>
    <col min="11664" max="11664" width="2" style="12" customWidth="1"/>
    <col min="11665" max="11665" width="6.42578125" style="12" customWidth="1"/>
    <col min="11666" max="11666" width="17.42578125" style="12" customWidth="1"/>
    <col min="11667" max="11667" width="12.28515625" style="12" customWidth="1"/>
    <col min="11668" max="11776" width="10" style="12"/>
    <col min="11777" max="11777" width="1.85546875" style="12" customWidth="1"/>
    <col min="11778" max="11779" width="1" style="12" customWidth="1"/>
    <col min="11780" max="11780" width="34" style="12" customWidth="1"/>
    <col min="11781" max="11782" width="1" style="12" customWidth="1"/>
    <col min="11783" max="11783" width="17.85546875" style="12" customWidth="1"/>
    <col min="11784" max="11785" width="1" style="12" customWidth="1"/>
    <col min="11786" max="11840" width="0" style="12" hidden="1" customWidth="1"/>
    <col min="11841" max="11842" width="1" style="12" customWidth="1"/>
    <col min="11843" max="11843" width="17.85546875" style="12" customWidth="1"/>
    <col min="11844" max="11847" width="1" style="12" customWidth="1"/>
    <col min="11848" max="11848" width="17.85546875" style="12" customWidth="1"/>
    <col min="11849" max="11852" width="1" style="12" customWidth="1"/>
    <col min="11853" max="11853" width="17.85546875" style="12" customWidth="1"/>
    <col min="11854" max="11855" width="1" style="12" customWidth="1"/>
    <col min="11856" max="11910" width="0" style="12" hidden="1" customWidth="1"/>
    <col min="11911" max="11912" width="1" style="12" customWidth="1"/>
    <col min="11913" max="11913" width="17.85546875" style="12" customWidth="1"/>
    <col min="11914" max="11917" width="1" style="12" customWidth="1"/>
    <col min="11918" max="11918" width="17.85546875" style="12" customWidth="1"/>
    <col min="11919" max="11919" width="1" style="12" customWidth="1"/>
    <col min="11920" max="11920" width="2" style="12" customWidth="1"/>
    <col min="11921" max="11921" width="6.42578125" style="12" customWidth="1"/>
    <col min="11922" max="11922" width="17.42578125" style="12" customWidth="1"/>
    <col min="11923" max="11923" width="12.28515625" style="12" customWidth="1"/>
    <col min="11924" max="12032" width="10" style="12"/>
    <col min="12033" max="12033" width="1.85546875" style="12" customWidth="1"/>
    <col min="12034" max="12035" width="1" style="12" customWidth="1"/>
    <col min="12036" max="12036" width="34" style="12" customWidth="1"/>
    <col min="12037" max="12038" width="1" style="12" customWidth="1"/>
    <col min="12039" max="12039" width="17.85546875" style="12" customWidth="1"/>
    <col min="12040" max="12041" width="1" style="12" customWidth="1"/>
    <col min="12042" max="12096" width="0" style="12" hidden="1" customWidth="1"/>
    <col min="12097" max="12098" width="1" style="12" customWidth="1"/>
    <col min="12099" max="12099" width="17.85546875" style="12" customWidth="1"/>
    <col min="12100" max="12103" width="1" style="12" customWidth="1"/>
    <col min="12104" max="12104" width="17.85546875" style="12" customWidth="1"/>
    <col min="12105" max="12108" width="1" style="12" customWidth="1"/>
    <col min="12109" max="12109" width="17.85546875" style="12" customWidth="1"/>
    <col min="12110" max="12111" width="1" style="12" customWidth="1"/>
    <col min="12112" max="12166" width="0" style="12" hidden="1" customWidth="1"/>
    <col min="12167" max="12168" width="1" style="12" customWidth="1"/>
    <col min="12169" max="12169" width="17.85546875" style="12" customWidth="1"/>
    <col min="12170" max="12173" width="1" style="12" customWidth="1"/>
    <col min="12174" max="12174" width="17.85546875" style="12" customWidth="1"/>
    <col min="12175" max="12175" width="1" style="12" customWidth="1"/>
    <col min="12176" max="12176" width="2" style="12" customWidth="1"/>
    <col min="12177" max="12177" width="6.42578125" style="12" customWidth="1"/>
    <col min="12178" max="12178" width="17.42578125" style="12" customWidth="1"/>
    <col min="12179" max="12179" width="12.28515625" style="12" customWidth="1"/>
    <col min="12180" max="12288" width="10" style="12"/>
    <col min="12289" max="12289" width="1.85546875" style="12" customWidth="1"/>
    <col min="12290" max="12291" width="1" style="12" customWidth="1"/>
    <col min="12292" max="12292" width="34" style="12" customWidth="1"/>
    <col min="12293" max="12294" width="1" style="12" customWidth="1"/>
    <col min="12295" max="12295" width="17.85546875" style="12" customWidth="1"/>
    <col min="12296" max="12297" width="1" style="12" customWidth="1"/>
    <col min="12298" max="12352" width="0" style="12" hidden="1" customWidth="1"/>
    <col min="12353" max="12354" width="1" style="12" customWidth="1"/>
    <col min="12355" max="12355" width="17.85546875" style="12" customWidth="1"/>
    <col min="12356" max="12359" width="1" style="12" customWidth="1"/>
    <col min="12360" max="12360" width="17.85546875" style="12" customWidth="1"/>
    <col min="12361" max="12364" width="1" style="12" customWidth="1"/>
    <col min="12365" max="12365" width="17.85546875" style="12" customWidth="1"/>
    <col min="12366" max="12367" width="1" style="12" customWidth="1"/>
    <col min="12368" max="12422" width="0" style="12" hidden="1" customWidth="1"/>
    <col min="12423" max="12424" width="1" style="12" customWidth="1"/>
    <col min="12425" max="12425" width="17.85546875" style="12" customWidth="1"/>
    <col min="12426" max="12429" width="1" style="12" customWidth="1"/>
    <col min="12430" max="12430" width="17.85546875" style="12" customWidth="1"/>
    <col min="12431" max="12431" width="1" style="12" customWidth="1"/>
    <col min="12432" max="12432" width="2" style="12" customWidth="1"/>
    <col min="12433" max="12433" width="6.42578125" style="12" customWidth="1"/>
    <col min="12434" max="12434" width="17.42578125" style="12" customWidth="1"/>
    <col min="12435" max="12435" width="12.28515625" style="12" customWidth="1"/>
    <col min="12436" max="12544" width="10" style="12"/>
    <col min="12545" max="12545" width="1.85546875" style="12" customWidth="1"/>
    <col min="12546" max="12547" width="1" style="12" customWidth="1"/>
    <col min="12548" max="12548" width="34" style="12" customWidth="1"/>
    <col min="12549" max="12550" width="1" style="12" customWidth="1"/>
    <col min="12551" max="12551" width="17.85546875" style="12" customWidth="1"/>
    <col min="12552" max="12553" width="1" style="12" customWidth="1"/>
    <col min="12554" max="12608" width="0" style="12" hidden="1" customWidth="1"/>
    <col min="12609" max="12610" width="1" style="12" customWidth="1"/>
    <col min="12611" max="12611" width="17.85546875" style="12" customWidth="1"/>
    <col min="12612" max="12615" width="1" style="12" customWidth="1"/>
    <col min="12616" max="12616" width="17.85546875" style="12" customWidth="1"/>
    <col min="12617" max="12620" width="1" style="12" customWidth="1"/>
    <col min="12621" max="12621" width="17.85546875" style="12" customWidth="1"/>
    <col min="12622" max="12623" width="1" style="12" customWidth="1"/>
    <col min="12624" max="12678" width="0" style="12" hidden="1" customWidth="1"/>
    <col min="12679" max="12680" width="1" style="12" customWidth="1"/>
    <col min="12681" max="12681" width="17.85546875" style="12" customWidth="1"/>
    <col min="12682" max="12685" width="1" style="12" customWidth="1"/>
    <col min="12686" max="12686" width="17.85546875" style="12" customWidth="1"/>
    <col min="12687" max="12687" width="1" style="12" customWidth="1"/>
    <col min="12688" max="12688" width="2" style="12" customWidth="1"/>
    <col min="12689" max="12689" width="6.42578125" style="12" customWidth="1"/>
    <col min="12690" max="12690" width="17.42578125" style="12" customWidth="1"/>
    <col min="12691" max="12691" width="12.28515625" style="12" customWidth="1"/>
    <col min="12692" max="12800" width="10" style="12"/>
    <col min="12801" max="12801" width="1.85546875" style="12" customWidth="1"/>
    <col min="12802" max="12803" width="1" style="12" customWidth="1"/>
    <col min="12804" max="12804" width="34" style="12" customWidth="1"/>
    <col min="12805" max="12806" width="1" style="12" customWidth="1"/>
    <col min="12807" max="12807" width="17.85546875" style="12" customWidth="1"/>
    <col min="12808" max="12809" width="1" style="12" customWidth="1"/>
    <col min="12810" max="12864" width="0" style="12" hidden="1" customWidth="1"/>
    <col min="12865" max="12866" width="1" style="12" customWidth="1"/>
    <col min="12867" max="12867" width="17.85546875" style="12" customWidth="1"/>
    <col min="12868" max="12871" width="1" style="12" customWidth="1"/>
    <col min="12872" max="12872" width="17.85546875" style="12" customWidth="1"/>
    <col min="12873" max="12876" width="1" style="12" customWidth="1"/>
    <col min="12877" max="12877" width="17.85546875" style="12" customWidth="1"/>
    <col min="12878" max="12879" width="1" style="12" customWidth="1"/>
    <col min="12880" max="12934" width="0" style="12" hidden="1" customWidth="1"/>
    <col min="12935" max="12936" width="1" style="12" customWidth="1"/>
    <col min="12937" max="12937" width="17.85546875" style="12" customWidth="1"/>
    <col min="12938" max="12941" width="1" style="12" customWidth="1"/>
    <col min="12942" max="12942" width="17.85546875" style="12" customWidth="1"/>
    <col min="12943" max="12943" width="1" style="12" customWidth="1"/>
    <col min="12944" max="12944" width="2" style="12" customWidth="1"/>
    <col min="12945" max="12945" width="6.42578125" style="12" customWidth="1"/>
    <col min="12946" max="12946" width="17.42578125" style="12" customWidth="1"/>
    <col min="12947" max="12947" width="12.28515625" style="12" customWidth="1"/>
    <col min="12948" max="13056" width="10" style="12"/>
    <col min="13057" max="13057" width="1.85546875" style="12" customWidth="1"/>
    <col min="13058" max="13059" width="1" style="12" customWidth="1"/>
    <col min="13060" max="13060" width="34" style="12" customWidth="1"/>
    <col min="13061" max="13062" width="1" style="12" customWidth="1"/>
    <col min="13063" max="13063" width="17.85546875" style="12" customWidth="1"/>
    <col min="13064" max="13065" width="1" style="12" customWidth="1"/>
    <col min="13066" max="13120" width="0" style="12" hidden="1" customWidth="1"/>
    <col min="13121" max="13122" width="1" style="12" customWidth="1"/>
    <col min="13123" max="13123" width="17.85546875" style="12" customWidth="1"/>
    <col min="13124" max="13127" width="1" style="12" customWidth="1"/>
    <col min="13128" max="13128" width="17.85546875" style="12" customWidth="1"/>
    <col min="13129" max="13132" width="1" style="12" customWidth="1"/>
    <col min="13133" max="13133" width="17.85546875" style="12" customWidth="1"/>
    <col min="13134" max="13135" width="1" style="12" customWidth="1"/>
    <col min="13136" max="13190" width="0" style="12" hidden="1" customWidth="1"/>
    <col min="13191" max="13192" width="1" style="12" customWidth="1"/>
    <col min="13193" max="13193" width="17.85546875" style="12" customWidth="1"/>
    <col min="13194" max="13197" width="1" style="12" customWidth="1"/>
    <col min="13198" max="13198" width="17.85546875" style="12" customWidth="1"/>
    <col min="13199" max="13199" width="1" style="12" customWidth="1"/>
    <col min="13200" max="13200" width="2" style="12" customWidth="1"/>
    <col min="13201" max="13201" width="6.42578125" style="12" customWidth="1"/>
    <col min="13202" max="13202" width="17.42578125" style="12" customWidth="1"/>
    <col min="13203" max="13203" width="12.28515625" style="12" customWidth="1"/>
    <col min="13204" max="13312" width="10" style="12"/>
    <col min="13313" max="13313" width="1.85546875" style="12" customWidth="1"/>
    <col min="13314" max="13315" width="1" style="12" customWidth="1"/>
    <col min="13316" max="13316" width="34" style="12" customWidth="1"/>
    <col min="13317" max="13318" width="1" style="12" customWidth="1"/>
    <col min="13319" max="13319" width="17.85546875" style="12" customWidth="1"/>
    <col min="13320" max="13321" width="1" style="12" customWidth="1"/>
    <col min="13322" max="13376" width="0" style="12" hidden="1" customWidth="1"/>
    <col min="13377" max="13378" width="1" style="12" customWidth="1"/>
    <col min="13379" max="13379" width="17.85546875" style="12" customWidth="1"/>
    <col min="13380" max="13383" width="1" style="12" customWidth="1"/>
    <col min="13384" max="13384" width="17.85546875" style="12" customWidth="1"/>
    <col min="13385" max="13388" width="1" style="12" customWidth="1"/>
    <col min="13389" max="13389" width="17.85546875" style="12" customWidth="1"/>
    <col min="13390" max="13391" width="1" style="12" customWidth="1"/>
    <col min="13392" max="13446" width="0" style="12" hidden="1" customWidth="1"/>
    <col min="13447" max="13448" width="1" style="12" customWidth="1"/>
    <col min="13449" max="13449" width="17.85546875" style="12" customWidth="1"/>
    <col min="13450" max="13453" width="1" style="12" customWidth="1"/>
    <col min="13454" max="13454" width="17.85546875" style="12" customWidth="1"/>
    <col min="13455" max="13455" width="1" style="12" customWidth="1"/>
    <col min="13456" max="13456" width="2" style="12" customWidth="1"/>
    <col min="13457" max="13457" width="6.42578125" style="12" customWidth="1"/>
    <col min="13458" max="13458" width="17.42578125" style="12" customWidth="1"/>
    <col min="13459" max="13459" width="12.28515625" style="12" customWidth="1"/>
    <col min="13460" max="13568" width="10" style="12"/>
    <col min="13569" max="13569" width="1.85546875" style="12" customWidth="1"/>
    <col min="13570" max="13571" width="1" style="12" customWidth="1"/>
    <col min="13572" max="13572" width="34" style="12" customWidth="1"/>
    <col min="13573" max="13574" width="1" style="12" customWidth="1"/>
    <col min="13575" max="13575" width="17.85546875" style="12" customWidth="1"/>
    <col min="13576" max="13577" width="1" style="12" customWidth="1"/>
    <col min="13578" max="13632" width="0" style="12" hidden="1" customWidth="1"/>
    <col min="13633" max="13634" width="1" style="12" customWidth="1"/>
    <col min="13635" max="13635" width="17.85546875" style="12" customWidth="1"/>
    <col min="13636" max="13639" width="1" style="12" customWidth="1"/>
    <col min="13640" max="13640" width="17.85546875" style="12" customWidth="1"/>
    <col min="13641" max="13644" width="1" style="12" customWidth="1"/>
    <col min="13645" max="13645" width="17.85546875" style="12" customWidth="1"/>
    <col min="13646" max="13647" width="1" style="12" customWidth="1"/>
    <col min="13648" max="13702" width="0" style="12" hidden="1" customWidth="1"/>
    <col min="13703" max="13704" width="1" style="12" customWidth="1"/>
    <col min="13705" max="13705" width="17.85546875" style="12" customWidth="1"/>
    <col min="13706" max="13709" width="1" style="12" customWidth="1"/>
    <col min="13710" max="13710" width="17.85546875" style="12" customWidth="1"/>
    <col min="13711" max="13711" width="1" style="12" customWidth="1"/>
    <col min="13712" max="13712" width="2" style="12" customWidth="1"/>
    <col min="13713" max="13713" width="6.42578125" style="12" customWidth="1"/>
    <col min="13714" max="13714" width="17.42578125" style="12" customWidth="1"/>
    <col min="13715" max="13715" width="12.28515625" style="12" customWidth="1"/>
    <col min="13716" max="13824" width="10" style="12"/>
    <col min="13825" max="13825" width="1.85546875" style="12" customWidth="1"/>
    <col min="13826" max="13827" width="1" style="12" customWidth="1"/>
    <col min="13828" max="13828" width="34" style="12" customWidth="1"/>
    <col min="13829" max="13830" width="1" style="12" customWidth="1"/>
    <col min="13831" max="13831" width="17.85546875" style="12" customWidth="1"/>
    <col min="13832" max="13833" width="1" style="12" customWidth="1"/>
    <col min="13834" max="13888" width="0" style="12" hidden="1" customWidth="1"/>
    <col min="13889" max="13890" width="1" style="12" customWidth="1"/>
    <col min="13891" max="13891" width="17.85546875" style="12" customWidth="1"/>
    <col min="13892" max="13895" width="1" style="12" customWidth="1"/>
    <col min="13896" max="13896" width="17.85546875" style="12" customWidth="1"/>
    <col min="13897" max="13900" width="1" style="12" customWidth="1"/>
    <col min="13901" max="13901" width="17.85546875" style="12" customWidth="1"/>
    <col min="13902" max="13903" width="1" style="12" customWidth="1"/>
    <col min="13904" max="13958" width="0" style="12" hidden="1" customWidth="1"/>
    <col min="13959" max="13960" width="1" style="12" customWidth="1"/>
    <col min="13961" max="13961" width="17.85546875" style="12" customWidth="1"/>
    <col min="13962" max="13965" width="1" style="12" customWidth="1"/>
    <col min="13966" max="13966" width="17.85546875" style="12" customWidth="1"/>
    <col min="13967" max="13967" width="1" style="12" customWidth="1"/>
    <col min="13968" max="13968" width="2" style="12" customWidth="1"/>
    <col min="13969" max="13969" width="6.42578125" style="12" customWidth="1"/>
    <col min="13970" max="13970" width="17.42578125" style="12" customWidth="1"/>
    <col min="13971" max="13971" width="12.28515625" style="12" customWidth="1"/>
    <col min="13972" max="14080" width="10" style="12"/>
    <col min="14081" max="14081" width="1.85546875" style="12" customWidth="1"/>
    <col min="14082" max="14083" width="1" style="12" customWidth="1"/>
    <col min="14084" max="14084" width="34" style="12" customWidth="1"/>
    <col min="14085" max="14086" width="1" style="12" customWidth="1"/>
    <col min="14087" max="14087" width="17.85546875" style="12" customWidth="1"/>
    <col min="14088" max="14089" width="1" style="12" customWidth="1"/>
    <col min="14090" max="14144" width="0" style="12" hidden="1" customWidth="1"/>
    <col min="14145" max="14146" width="1" style="12" customWidth="1"/>
    <col min="14147" max="14147" width="17.85546875" style="12" customWidth="1"/>
    <col min="14148" max="14151" width="1" style="12" customWidth="1"/>
    <col min="14152" max="14152" width="17.85546875" style="12" customWidth="1"/>
    <col min="14153" max="14156" width="1" style="12" customWidth="1"/>
    <col min="14157" max="14157" width="17.85546875" style="12" customWidth="1"/>
    <col min="14158" max="14159" width="1" style="12" customWidth="1"/>
    <col min="14160" max="14214" width="0" style="12" hidden="1" customWidth="1"/>
    <col min="14215" max="14216" width="1" style="12" customWidth="1"/>
    <col min="14217" max="14217" width="17.85546875" style="12" customWidth="1"/>
    <col min="14218" max="14221" width="1" style="12" customWidth="1"/>
    <col min="14222" max="14222" width="17.85546875" style="12" customWidth="1"/>
    <col min="14223" max="14223" width="1" style="12" customWidth="1"/>
    <col min="14224" max="14224" width="2" style="12" customWidth="1"/>
    <col min="14225" max="14225" width="6.42578125" style="12" customWidth="1"/>
    <col min="14226" max="14226" width="17.42578125" style="12" customWidth="1"/>
    <col min="14227" max="14227" width="12.28515625" style="12" customWidth="1"/>
    <col min="14228" max="14336" width="10" style="12"/>
    <col min="14337" max="14337" width="1.85546875" style="12" customWidth="1"/>
    <col min="14338" max="14339" width="1" style="12" customWidth="1"/>
    <col min="14340" max="14340" width="34" style="12" customWidth="1"/>
    <col min="14341" max="14342" width="1" style="12" customWidth="1"/>
    <col min="14343" max="14343" width="17.85546875" style="12" customWidth="1"/>
    <col min="14344" max="14345" width="1" style="12" customWidth="1"/>
    <col min="14346" max="14400" width="0" style="12" hidden="1" customWidth="1"/>
    <col min="14401" max="14402" width="1" style="12" customWidth="1"/>
    <col min="14403" max="14403" width="17.85546875" style="12" customWidth="1"/>
    <col min="14404" max="14407" width="1" style="12" customWidth="1"/>
    <col min="14408" max="14408" width="17.85546875" style="12" customWidth="1"/>
    <col min="14409" max="14412" width="1" style="12" customWidth="1"/>
    <col min="14413" max="14413" width="17.85546875" style="12" customWidth="1"/>
    <col min="14414" max="14415" width="1" style="12" customWidth="1"/>
    <col min="14416" max="14470" width="0" style="12" hidden="1" customWidth="1"/>
    <col min="14471" max="14472" width="1" style="12" customWidth="1"/>
    <col min="14473" max="14473" width="17.85546875" style="12" customWidth="1"/>
    <col min="14474" max="14477" width="1" style="12" customWidth="1"/>
    <col min="14478" max="14478" width="17.85546875" style="12" customWidth="1"/>
    <col min="14479" max="14479" width="1" style="12" customWidth="1"/>
    <col min="14480" max="14480" width="2" style="12" customWidth="1"/>
    <col min="14481" max="14481" width="6.42578125" style="12" customWidth="1"/>
    <col min="14482" max="14482" width="17.42578125" style="12" customWidth="1"/>
    <col min="14483" max="14483" width="12.28515625" style="12" customWidth="1"/>
    <col min="14484" max="14592" width="10" style="12"/>
    <col min="14593" max="14593" width="1.85546875" style="12" customWidth="1"/>
    <col min="14594" max="14595" width="1" style="12" customWidth="1"/>
    <col min="14596" max="14596" width="34" style="12" customWidth="1"/>
    <col min="14597" max="14598" width="1" style="12" customWidth="1"/>
    <col min="14599" max="14599" width="17.85546875" style="12" customWidth="1"/>
    <col min="14600" max="14601" width="1" style="12" customWidth="1"/>
    <col min="14602" max="14656" width="0" style="12" hidden="1" customWidth="1"/>
    <col min="14657" max="14658" width="1" style="12" customWidth="1"/>
    <col min="14659" max="14659" width="17.85546875" style="12" customWidth="1"/>
    <col min="14660" max="14663" width="1" style="12" customWidth="1"/>
    <col min="14664" max="14664" width="17.85546875" style="12" customWidth="1"/>
    <col min="14665" max="14668" width="1" style="12" customWidth="1"/>
    <col min="14669" max="14669" width="17.85546875" style="12" customWidth="1"/>
    <col min="14670" max="14671" width="1" style="12" customWidth="1"/>
    <col min="14672" max="14726" width="0" style="12" hidden="1" customWidth="1"/>
    <col min="14727" max="14728" width="1" style="12" customWidth="1"/>
    <col min="14729" max="14729" width="17.85546875" style="12" customWidth="1"/>
    <col min="14730" max="14733" width="1" style="12" customWidth="1"/>
    <col min="14734" max="14734" width="17.85546875" style="12" customWidth="1"/>
    <col min="14735" max="14735" width="1" style="12" customWidth="1"/>
    <col min="14736" max="14736" width="2" style="12" customWidth="1"/>
    <col min="14737" max="14737" width="6.42578125" style="12" customWidth="1"/>
    <col min="14738" max="14738" width="17.42578125" style="12" customWidth="1"/>
    <col min="14739" max="14739" width="12.28515625" style="12" customWidth="1"/>
    <col min="14740" max="14848" width="10" style="12"/>
    <col min="14849" max="14849" width="1.85546875" style="12" customWidth="1"/>
    <col min="14850" max="14851" width="1" style="12" customWidth="1"/>
    <col min="14852" max="14852" width="34" style="12" customWidth="1"/>
    <col min="14853" max="14854" width="1" style="12" customWidth="1"/>
    <col min="14855" max="14855" width="17.85546875" style="12" customWidth="1"/>
    <col min="14856" max="14857" width="1" style="12" customWidth="1"/>
    <col min="14858" max="14912" width="0" style="12" hidden="1" customWidth="1"/>
    <col min="14913" max="14914" width="1" style="12" customWidth="1"/>
    <col min="14915" max="14915" width="17.85546875" style="12" customWidth="1"/>
    <col min="14916" max="14919" width="1" style="12" customWidth="1"/>
    <col min="14920" max="14920" width="17.85546875" style="12" customWidth="1"/>
    <col min="14921" max="14924" width="1" style="12" customWidth="1"/>
    <col min="14925" max="14925" width="17.85546875" style="12" customWidth="1"/>
    <col min="14926" max="14927" width="1" style="12" customWidth="1"/>
    <col min="14928" max="14982" width="0" style="12" hidden="1" customWidth="1"/>
    <col min="14983" max="14984" width="1" style="12" customWidth="1"/>
    <col min="14985" max="14985" width="17.85546875" style="12" customWidth="1"/>
    <col min="14986" max="14989" width="1" style="12" customWidth="1"/>
    <col min="14990" max="14990" width="17.85546875" style="12" customWidth="1"/>
    <col min="14991" max="14991" width="1" style="12" customWidth="1"/>
    <col min="14992" max="14992" width="2" style="12" customWidth="1"/>
    <col min="14993" max="14993" width="6.42578125" style="12" customWidth="1"/>
    <col min="14994" max="14994" width="17.42578125" style="12" customWidth="1"/>
    <col min="14995" max="14995" width="12.28515625" style="12" customWidth="1"/>
    <col min="14996" max="15104" width="10" style="12"/>
    <col min="15105" max="15105" width="1.85546875" style="12" customWidth="1"/>
    <col min="15106" max="15107" width="1" style="12" customWidth="1"/>
    <col min="15108" max="15108" width="34" style="12" customWidth="1"/>
    <col min="15109" max="15110" width="1" style="12" customWidth="1"/>
    <col min="15111" max="15111" width="17.85546875" style="12" customWidth="1"/>
    <col min="15112" max="15113" width="1" style="12" customWidth="1"/>
    <col min="15114" max="15168" width="0" style="12" hidden="1" customWidth="1"/>
    <col min="15169" max="15170" width="1" style="12" customWidth="1"/>
    <col min="15171" max="15171" width="17.85546875" style="12" customWidth="1"/>
    <col min="15172" max="15175" width="1" style="12" customWidth="1"/>
    <col min="15176" max="15176" width="17.85546875" style="12" customWidth="1"/>
    <col min="15177" max="15180" width="1" style="12" customWidth="1"/>
    <col min="15181" max="15181" width="17.85546875" style="12" customWidth="1"/>
    <col min="15182" max="15183" width="1" style="12" customWidth="1"/>
    <col min="15184" max="15238" width="0" style="12" hidden="1" customWidth="1"/>
    <col min="15239" max="15240" width="1" style="12" customWidth="1"/>
    <col min="15241" max="15241" width="17.85546875" style="12" customWidth="1"/>
    <col min="15242" max="15245" width="1" style="12" customWidth="1"/>
    <col min="15246" max="15246" width="17.85546875" style="12" customWidth="1"/>
    <col min="15247" max="15247" width="1" style="12" customWidth="1"/>
    <col min="15248" max="15248" width="2" style="12" customWidth="1"/>
    <col min="15249" max="15249" width="6.42578125" style="12" customWidth="1"/>
    <col min="15250" max="15250" width="17.42578125" style="12" customWidth="1"/>
    <col min="15251" max="15251" width="12.28515625" style="12" customWidth="1"/>
    <col min="15252" max="15360" width="10" style="12"/>
    <col min="15361" max="15361" width="1.85546875" style="12" customWidth="1"/>
    <col min="15362" max="15363" width="1" style="12" customWidth="1"/>
    <col min="15364" max="15364" width="34" style="12" customWidth="1"/>
    <col min="15365" max="15366" width="1" style="12" customWidth="1"/>
    <col min="15367" max="15367" width="17.85546875" style="12" customWidth="1"/>
    <col min="15368" max="15369" width="1" style="12" customWidth="1"/>
    <col min="15370" max="15424" width="0" style="12" hidden="1" customWidth="1"/>
    <col min="15425" max="15426" width="1" style="12" customWidth="1"/>
    <col min="15427" max="15427" width="17.85546875" style="12" customWidth="1"/>
    <col min="15428" max="15431" width="1" style="12" customWidth="1"/>
    <col min="15432" max="15432" width="17.85546875" style="12" customWidth="1"/>
    <col min="15433" max="15436" width="1" style="12" customWidth="1"/>
    <col min="15437" max="15437" width="17.85546875" style="12" customWidth="1"/>
    <col min="15438" max="15439" width="1" style="12" customWidth="1"/>
    <col min="15440" max="15494" width="0" style="12" hidden="1" customWidth="1"/>
    <col min="15495" max="15496" width="1" style="12" customWidth="1"/>
    <col min="15497" max="15497" width="17.85546875" style="12" customWidth="1"/>
    <col min="15498" max="15501" width="1" style="12" customWidth="1"/>
    <col min="15502" max="15502" width="17.85546875" style="12" customWidth="1"/>
    <col min="15503" max="15503" width="1" style="12" customWidth="1"/>
    <col min="15504" max="15504" width="2" style="12" customWidth="1"/>
    <col min="15505" max="15505" width="6.42578125" style="12" customWidth="1"/>
    <col min="15506" max="15506" width="17.42578125" style="12" customWidth="1"/>
    <col min="15507" max="15507" width="12.28515625" style="12" customWidth="1"/>
    <col min="15508" max="15616" width="10" style="12"/>
    <col min="15617" max="15617" width="1.85546875" style="12" customWidth="1"/>
    <col min="15618" max="15619" width="1" style="12" customWidth="1"/>
    <col min="15620" max="15620" width="34" style="12" customWidth="1"/>
    <col min="15621" max="15622" width="1" style="12" customWidth="1"/>
    <col min="15623" max="15623" width="17.85546875" style="12" customWidth="1"/>
    <col min="15624" max="15625" width="1" style="12" customWidth="1"/>
    <col min="15626" max="15680" width="0" style="12" hidden="1" customWidth="1"/>
    <col min="15681" max="15682" width="1" style="12" customWidth="1"/>
    <col min="15683" max="15683" width="17.85546875" style="12" customWidth="1"/>
    <col min="15684" max="15687" width="1" style="12" customWidth="1"/>
    <col min="15688" max="15688" width="17.85546875" style="12" customWidth="1"/>
    <col min="15689" max="15692" width="1" style="12" customWidth="1"/>
    <col min="15693" max="15693" width="17.85546875" style="12" customWidth="1"/>
    <col min="15694" max="15695" width="1" style="12" customWidth="1"/>
    <col min="15696" max="15750" width="0" style="12" hidden="1" customWidth="1"/>
    <col min="15751" max="15752" width="1" style="12" customWidth="1"/>
    <col min="15753" max="15753" width="17.85546875" style="12" customWidth="1"/>
    <col min="15754" max="15757" width="1" style="12" customWidth="1"/>
    <col min="15758" max="15758" width="17.85546875" style="12" customWidth="1"/>
    <col min="15759" max="15759" width="1" style="12" customWidth="1"/>
    <col min="15760" max="15760" width="2" style="12" customWidth="1"/>
    <col min="15761" max="15761" width="6.42578125" style="12" customWidth="1"/>
    <col min="15762" max="15762" width="17.42578125" style="12" customWidth="1"/>
    <col min="15763" max="15763" width="12.28515625" style="12" customWidth="1"/>
    <col min="15764" max="15872" width="10" style="12"/>
    <col min="15873" max="15873" width="1.85546875" style="12" customWidth="1"/>
    <col min="15874" max="15875" width="1" style="12" customWidth="1"/>
    <col min="15876" max="15876" width="34" style="12" customWidth="1"/>
    <col min="15877" max="15878" width="1" style="12" customWidth="1"/>
    <col min="15879" max="15879" width="17.85546875" style="12" customWidth="1"/>
    <col min="15880" max="15881" width="1" style="12" customWidth="1"/>
    <col min="15882" max="15936" width="0" style="12" hidden="1" customWidth="1"/>
    <col min="15937" max="15938" width="1" style="12" customWidth="1"/>
    <col min="15939" max="15939" width="17.85546875" style="12" customWidth="1"/>
    <col min="15940" max="15943" width="1" style="12" customWidth="1"/>
    <col min="15944" max="15944" width="17.85546875" style="12" customWidth="1"/>
    <col min="15945" max="15948" width="1" style="12" customWidth="1"/>
    <col min="15949" max="15949" width="17.85546875" style="12" customWidth="1"/>
    <col min="15950" max="15951" width="1" style="12" customWidth="1"/>
    <col min="15952" max="16006" width="0" style="12" hidden="1" customWidth="1"/>
    <col min="16007" max="16008" width="1" style="12" customWidth="1"/>
    <col min="16009" max="16009" width="17.85546875" style="12" customWidth="1"/>
    <col min="16010" max="16013" width="1" style="12" customWidth="1"/>
    <col min="16014" max="16014" width="17.85546875" style="12" customWidth="1"/>
    <col min="16015" max="16015" width="1" style="12" customWidth="1"/>
    <col min="16016" max="16016" width="2" style="12" customWidth="1"/>
    <col min="16017" max="16017" width="6.42578125" style="12" customWidth="1"/>
    <col min="16018" max="16018" width="17.42578125" style="12" customWidth="1"/>
    <col min="16019" max="16019" width="12.28515625" style="12" customWidth="1"/>
    <col min="16020" max="16128" width="10" style="12"/>
    <col min="16129" max="16129" width="1.85546875" style="12" customWidth="1"/>
    <col min="16130" max="16131" width="1" style="12" customWidth="1"/>
    <col min="16132" max="16132" width="34" style="12" customWidth="1"/>
    <col min="16133" max="16134" width="1" style="12" customWidth="1"/>
    <col min="16135" max="16135" width="17.85546875" style="12" customWidth="1"/>
    <col min="16136" max="16137" width="1" style="12" customWidth="1"/>
    <col min="16138" max="16192" width="0" style="12" hidden="1" customWidth="1"/>
    <col min="16193" max="16194" width="1" style="12" customWidth="1"/>
    <col min="16195" max="16195" width="17.85546875" style="12" customWidth="1"/>
    <col min="16196" max="16199" width="1" style="12" customWidth="1"/>
    <col min="16200" max="16200" width="17.85546875" style="12" customWidth="1"/>
    <col min="16201" max="16204" width="1" style="12" customWidth="1"/>
    <col min="16205" max="16205" width="17.85546875" style="12" customWidth="1"/>
    <col min="16206" max="16207" width="1" style="12" customWidth="1"/>
    <col min="16208" max="16262" width="0" style="12" hidden="1" customWidth="1"/>
    <col min="16263" max="16264" width="1" style="12" customWidth="1"/>
    <col min="16265" max="16265" width="17.85546875" style="12" customWidth="1"/>
    <col min="16266" max="16269" width="1" style="12" customWidth="1"/>
    <col min="16270" max="16270" width="17.85546875" style="12" customWidth="1"/>
    <col min="16271" max="16271" width="1" style="12" customWidth="1"/>
    <col min="16272" max="16272" width="2" style="12" customWidth="1"/>
    <col min="16273" max="16273" width="6.42578125" style="12" customWidth="1"/>
    <col min="16274" max="16274" width="17.42578125" style="12" customWidth="1"/>
    <col min="16275" max="16275" width="12.28515625" style="12" customWidth="1"/>
    <col min="16276" max="16384" width="10" style="12"/>
  </cols>
  <sheetData>
    <row r="1" spans="4:147" x14ac:dyDescent="0.2">
      <c r="M1" s="12">
        <f>1770000000+11234076861+1105000000</f>
        <v>14109076861</v>
      </c>
    </row>
    <row r="2" spans="4:147" ht="5.25" customHeight="1" x14ac:dyDescent="0.2"/>
    <row r="4" spans="4:147" x14ac:dyDescent="0.2">
      <c r="D4" s="451"/>
      <c r="E4" s="451"/>
      <c r="F4" s="451"/>
    </row>
    <row r="7" spans="4:147" ht="15.75" x14ac:dyDescent="0.25">
      <c r="D7" s="216" t="s">
        <v>411</v>
      </c>
      <c r="E7" s="87"/>
      <c r="F7" s="87"/>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c r="EM7" s="90"/>
      <c r="EN7" s="90"/>
    </row>
    <row r="8" spans="4:147" ht="15" customHeight="1" x14ac:dyDescent="0.2">
      <c r="D8" s="119"/>
      <c r="E8" s="276"/>
      <c r="F8" s="438"/>
      <c r="G8" s="785" t="str">
        <f>[51]summary!H8</f>
        <v>2020/21</v>
      </c>
      <c r="H8" s="785"/>
      <c r="I8" s="785"/>
      <c r="J8" s="785"/>
      <c r="K8" s="785"/>
      <c r="L8" s="786"/>
      <c r="M8" s="786"/>
      <c r="N8" s="786"/>
      <c r="O8" s="786"/>
      <c r="P8" s="786"/>
      <c r="Q8" s="786"/>
      <c r="R8" s="786"/>
      <c r="S8" s="786"/>
      <c r="T8" s="786"/>
      <c r="U8" s="786"/>
      <c r="V8" s="786"/>
      <c r="W8" s="786"/>
      <c r="X8" s="786"/>
      <c r="Y8" s="786"/>
      <c r="Z8" s="786"/>
      <c r="AA8" s="786"/>
      <c r="AB8" s="786"/>
      <c r="AC8" s="786"/>
      <c r="AD8" s="786"/>
      <c r="AE8" s="786"/>
      <c r="AF8" s="786"/>
      <c r="AG8" s="786"/>
      <c r="AH8" s="786"/>
      <c r="AI8" s="786"/>
      <c r="AJ8" s="786"/>
      <c r="AK8" s="786"/>
      <c r="AL8" s="786"/>
      <c r="AM8" s="786"/>
      <c r="AN8" s="786"/>
      <c r="AO8" s="786"/>
      <c r="AP8" s="786"/>
      <c r="AQ8" s="786"/>
      <c r="AR8" s="786"/>
      <c r="AS8" s="786"/>
      <c r="AT8" s="786"/>
      <c r="AU8" s="786"/>
      <c r="AV8" s="786"/>
      <c r="AW8" s="786"/>
      <c r="AX8" s="786"/>
      <c r="AY8" s="786"/>
      <c r="AZ8" s="786"/>
      <c r="BA8" s="786"/>
      <c r="BB8" s="786"/>
      <c r="BC8" s="786"/>
      <c r="BD8" s="786"/>
      <c r="BE8" s="786"/>
      <c r="BF8" s="786"/>
      <c r="BG8" s="786"/>
      <c r="BH8" s="786"/>
      <c r="BI8" s="786"/>
      <c r="BJ8" s="786"/>
      <c r="BK8" s="786"/>
      <c r="BL8" s="786"/>
      <c r="BM8" s="786"/>
      <c r="BN8" s="786"/>
      <c r="BO8" s="786"/>
      <c r="BP8" s="786"/>
      <c r="BQ8" s="786"/>
      <c r="BR8" s="786"/>
      <c r="BS8" s="786"/>
      <c r="BT8" s="786"/>
      <c r="BU8" s="303"/>
      <c r="BV8" s="303"/>
      <c r="BW8" s="9"/>
      <c r="BX8" s="303"/>
      <c r="BY8" s="785" t="str">
        <f>[51]summary!BZ8</f>
        <v>2019/20</v>
      </c>
      <c r="BZ8" s="785"/>
      <c r="CA8" s="785"/>
      <c r="CB8" s="785"/>
      <c r="CC8" s="785"/>
      <c r="CD8" s="786"/>
      <c r="CE8" s="786"/>
      <c r="CF8" s="786"/>
      <c r="CG8" s="786"/>
      <c r="CH8" s="786"/>
      <c r="CI8" s="786"/>
      <c r="CJ8" s="786"/>
      <c r="CK8" s="786"/>
      <c r="CL8" s="786"/>
      <c r="CM8" s="786"/>
      <c r="CN8" s="786"/>
      <c r="CO8" s="786"/>
      <c r="CP8" s="786"/>
      <c r="CQ8" s="786"/>
      <c r="CR8" s="786"/>
      <c r="CS8" s="786"/>
      <c r="CT8" s="786"/>
      <c r="CU8" s="786"/>
      <c r="CV8" s="786"/>
      <c r="CW8" s="786"/>
      <c r="CX8" s="786"/>
      <c r="CY8" s="786"/>
      <c r="CZ8" s="786"/>
      <c r="DA8" s="786"/>
      <c r="DB8" s="786"/>
      <c r="DC8" s="786"/>
      <c r="DD8" s="786"/>
      <c r="DE8" s="786"/>
      <c r="DF8" s="786"/>
      <c r="DG8" s="786"/>
      <c r="DH8" s="786"/>
      <c r="DI8" s="786"/>
      <c r="DJ8" s="786"/>
      <c r="DK8" s="786"/>
      <c r="DL8" s="786"/>
      <c r="DM8" s="786"/>
      <c r="DN8" s="786"/>
      <c r="DO8" s="786"/>
      <c r="DP8" s="786"/>
      <c r="DQ8" s="786"/>
      <c r="DR8" s="786"/>
      <c r="DS8" s="786"/>
      <c r="DT8" s="786"/>
      <c r="DU8" s="786"/>
      <c r="DV8" s="786"/>
      <c r="DW8" s="786"/>
      <c r="DX8" s="786"/>
      <c r="DY8" s="786"/>
      <c r="DZ8" s="786"/>
      <c r="EA8" s="786"/>
      <c r="EB8" s="786"/>
      <c r="EC8" s="786"/>
      <c r="ED8" s="786"/>
      <c r="EE8" s="786"/>
      <c r="EF8" s="786"/>
      <c r="EG8" s="786"/>
      <c r="EH8" s="786"/>
      <c r="EI8" s="786"/>
      <c r="EJ8" s="786"/>
      <c r="EK8" s="786"/>
      <c r="EL8" s="786"/>
      <c r="EM8" s="438"/>
      <c r="EN8" s="438"/>
      <c r="EO8" s="244"/>
    </row>
    <row r="9" spans="4:147" ht="18" customHeight="1" x14ac:dyDescent="0.2">
      <c r="D9" s="244"/>
      <c r="E9" s="82"/>
      <c r="G9" s="20" t="str">
        <f>[51]domlongtermissues!G9</f>
        <v>Revised</v>
      </c>
      <c r="H9" s="20"/>
      <c r="I9" s="20"/>
      <c r="J9" s="337"/>
      <c r="K9" s="20"/>
      <c r="L9" s="20" t="s">
        <v>3</v>
      </c>
      <c r="M9" s="20"/>
      <c r="N9" s="20"/>
      <c r="O9" s="337"/>
      <c r="P9" s="20"/>
      <c r="Q9" s="20" t="s">
        <v>4</v>
      </c>
      <c r="R9" s="20"/>
      <c r="S9" s="20"/>
      <c r="T9" s="337"/>
      <c r="U9" s="20"/>
      <c r="V9" s="20" t="s">
        <v>5</v>
      </c>
      <c r="W9" s="20"/>
      <c r="X9" s="20"/>
      <c r="Y9" s="337"/>
      <c r="Z9" s="20"/>
      <c r="AA9" s="20" t="s">
        <v>6</v>
      </c>
      <c r="AB9" s="20"/>
      <c r="AC9" s="20"/>
      <c r="AD9" s="337"/>
      <c r="AE9" s="20"/>
      <c r="AF9" s="20" t="s">
        <v>7</v>
      </c>
      <c r="AG9" s="20"/>
      <c r="AH9" s="20"/>
      <c r="AI9" s="337"/>
      <c r="AJ9" s="20"/>
      <c r="AK9" s="20" t="s">
        <v>8</v>
      </c>
      <c r="AL9" s="20"/>
      <c r="AM9" s="20"/>
      <c r="AN9" s="337"/>
      <c r="AO9" s="20"/>
      <c r="AP9" s="20" t="s">
        <v>9</v>
      </c>
      <c r="AQ9" s="20"/>
      <c r="AR9" s="20"/>
      <c r="AS9" s="337"/>
      <c r="AT9" s="20"/>
      <c r="AU9" s="20" t="s">
        <v>10</v>
      </c>
      <c r="AV9" s="20"/>
      <c r="AW9" s="20"/>
      <c r="AX9" s="337"/>
      <c r="AY9" s="20"/>
      <c r="AZ9" s="20" t="s">
        <v>11</v>
      </c>
      <c r="BA9" s="20"/>
      <c r="BB9" s="20"/>
      <c r="BC9" s="337"/>
      <c r="BD9" s="20"/>
      <c r="BE9" s="20" t="s">
        <v>12</v>
      </c>
      <c r="BF9" s="20"/>
      <c r="BG9" s="20"/>
      <c r="BH9" s="337"/>
      <c r="BI9" s="20"/>
      <c r="BJ9" s="20" t="s">
        <v>13</v>
      </c>
      <c r="BK9" s="20"/>
      <c r="BL9" s="20"/>
      <c r="BM9" s="337"/>
      <c r="BN9" s="20"/>
      <c r="BO9" s="20" t="s">
        <v>14</v>
      </c>
      <c r="BP9" s="20"/>
      <c r="BQ9" s="20"/>
      <c r="BR9" s="337"/>
      <c r="BS9" s="20"/>
      <c r="BT9" s="20" t="s">
        <v>15</v>
      </c>
      <c r="BU9" s="20"/>
      <c r="BV9" s="20"/>
      <c r="BW9" s="290"/>
      <c r="BX9" s="20"/>
      <c r="BY9" s="439" t="str">
        <f>[51]domlongtermissues!BY9</f>
        <v>Audited</v>
      </c>
      <c r="BZ9" s="20"/>
      <c r="CA9" s="20"/>
      <c r="CB9" s="337"/>
      <c r="CC9" s="20"/>
      <c r="CD9" s="20" t="s">
        <v>3</v>
      </c>
      <c r="CE9" s="20"/>
      <c r="CF9" s="20"/>
      <c r="CG9" s="337"/>
      <c r="CH9" s="20"/>
      <c r="CI9" s="20" t="s">
        <v>4</v>
      </c>
      <c r="CJ9" s="20"/>
      <c r="CK9" s="20"/>
      <c r="CL9" s="337"/>
      <c r="CM9" s="20"/>
      <c r="CN9" s="20" t="s">
        <v>5</v>
      </c>
      <c r="CO9" s="20"/>
      <c r="CP9" s="20"/>
      <c r="CQ9" s="337"/>
      <c r="CR9" s="20"/>
      <c r="CS9" s="20" t="s">
        <v>6</v>
      </c>
      <c r="CT9" s="20"/>
      <c r="CU9" s="20"/>
      <c r="CV9" s="337"/>
      <c r="CW9" s="20"/>
      <c r="CX9" s="20" t="s">
        <v>7</v>
      </c>
      <c r="CY9" s="20"/>
      <c r="CZ9" s="20"/>
      <c r="DA9" s="337"/>
      <c r="DB9" s="20"/>
      <c r="DC9" s="20" t="s">
        <v>8</v>
      </c>
      <c r="DD9" s="20"/>
      <c r="DE9" s="20"/>
      <c r="DF9" s="337"/>
      <c r="DG9" s="20"/>
      <c r="DH9" s="20" t="s">
        <v>9</v>
      </c>
      <c r="DI9" s="20"/>
      <c r="DJ9" s="20"/>
      <c r="DK9" s="337"/>
      <c r="DL9" s="20"/>
      <c r="DM9" s="20" t="s">
        <v>10</v>
      </c>
      <c r="DN9" s="20"/>
      <c r="DO9" s="20"/>
      <c r="DP9" s="337"/>
      <c r="DQ9" s="20"/>
      <c r="DR9" s="20" t="s">
        <v>11</v>
      </c>
      <c r="DS9" s="20"/>
      <c r="DT9" s="20"/>
      <c r="DU9" s="337"/>
      <c r="DV9" s="20"/>
      <c r="DW9" s="20" t="s">
        <v>12</v>
      </c>
      <c r="DX9" s="20"/>
      <c r="DY9" s="20"/>
      <c r="DZ9" s="337"/>
      <c r="EA9" s="20"/>
      <c r="EB9" s="20" t="s">
        <v>13</v>
      </c>
      <c r="EC9" s="20"/>
      <c r="ED9" s="20"/>
      <c r="EE9" s="337"/>
      <c r="EF9" s="20"/>
      <c r="EG9" s="20" t="s">
        <v>14</v>
      </c>
      <c r="EH9" s="20"/>
      <c r="EI9" s="20"/>
      <c r="EJ9" s="337"/>
      <c r="EK9" s="20"/>
      <c r="EL9" s="20" t="s">
        <v>15</v>
      </c>
      <c r="EO9" s="244"/>
    </row>
    <row r="10" spans="4:147" x14ac:dyDescent="0.2">
      <c r="D10" s="394" t="s">
        <v>17</v>
      </c>
      <c r="E10" s="312"/>
      <c r="F10" s="415"/>
      <c r="G10" s="405" t="s">
        <v>19</v>
      </c>
      <c r="H10" s="405"/>
      <c r="I10" s="405"/>
      <c r="J10" s="341"/>
      <c r="K10" s="405"/>
      <c r="L10" s="405"/>
      <c r="M10" s="405"/>
      <c r="N10" s="405"/>
      <c r="O10" s="341"/>
      <c r="P10" s="405"/>
      <c r="Q10" s="405"/>
      <c r="R10" s="405"/>
      <c r="S10" s="405"/>
      <c r="T10" s="341"/>
      <c r="U10" s="405"/>
      <c r="V10" s="405"/>
      <c r="W10" s="405"/>
      <c r="X10" s="405"/>
      <c r="Y10" s="341"/>
      <c r="Z10" s="405"/>
      <c r="AA10" s="405"/>
      <c r="AB10" s="405"/>
      <c r="AC10" s="405"/>
      <c r="AD10" s="341"/>
      <c r="AE10" s="405"/>
      <c r="AF10" s="405"/>
      <c r="AG10" s="405"/>
      <c r="AH10" s="405"/>
      <c r="AI10" s="341"/>
      <c r="AJ10" s="405"/>
      <c r="AK10" s="405"/>
      <c r="AL10" s="405"/>
      <c r="AM10" s="405"/>
      <c r="AN10" s="341"/>
      <c r="AO10" s="405"/>
      <c r="AP10" s="405"/>
      <c r="AQ10" s="405"/>
      <c r="AR10" s="405"/>
      <c r="AS10" s="341"/>
      <c r="AT10" s="405"/>
      <c r="AU10" s="405"/>
      <c r="AV10" s="405"/>
      <c r="AW10" s="405"/>
      <c r="AX10" s="341"/>
      <c r="AY10" s="405"/>
      <c r="AZ10" s="405"/>
      <c r="BA10" s="405"/>
      <c r="BB10" s="405"/>
      <c r="BC10" s="341"/>
      <c r="BD10" s="405"/>
      <c r="BE10" s="405"/>
      <c r="BF10" s="405"/>
      <c r="BG10" s="405"/>
      <c r="BH10" s="341"/>
      <c r="BI10" s="405"/>
      <c r="BJ10" s="405"/>
      <c r="BK10" s="405"/>
      <c r="BL10" s="405"/>
      <c r="BM10" s="341"/>
      <c r="BN10" s="405"/>
      <c r="BO10" s="405"/>
      <c r="BP10" s="405"/>
      <c r="BQ10" s="405"/>
      <c r="BR10" s="341"/>
      <c r="BS10" s="405"/>
      <c r="BT10" s="405"/>
      <c r="BU10" s="405"/>
      <c r="BV10" s="405"/>
      <c r="BW10" s="341"/>
      <c r="BX10" s="405"/>
      <c r="BY10" s="405" t="s">
        <v>34</v>
      </c>
      <c r="BZ10" s="405"/>
      <c r="CA10" s="405"/>
      <c r="CB10" s="341"/>
      <c r="CC10" s="405"/>
      <c r="CD10" s="405"/>
      <c r="CE10" s="405"/>
      <c r="CF10" s="405"/>
      <c r="CG10" s="341"/>
      <c r="CH10" s="405"/>
      <c r="CI10" s="405"/>
      <c r="CJ10" s="405"/>
      <c r="CK10" s="405"/>
      <c r="CL10" s="341"/>
      <c r="CM10" s="405"/>
      <c r="CN10" s="405"/>
      <c r="CO10" s="405"/>
      <c r="CP10" s="405"/>
      <c r="CQ10" s="341"/>
      <c r="CR10" s="405"/>
      <c r="CS10" s="405"/>
      <c r="CT10" s="405"/>
      <c r="CU10" s="405"/>
      <c r="CV10" s="341"/>
      <c r="CW10" s="405"/>
      <c r="CX10" s="405"/>
      <c r="CY10" s="405"/>
      <c r="CZ10" s="405"/>
      <c r="DA10" s="341"/>
      <c r="DB10" s="405"/>
      <c r="DC10" s="405"/>
      <c r="DD10" s="405"/>
      <c r="DE10" s="405"/>
      <c r="DF10" s="341"/>
      <c r="DG10" s="405"/>
      <c r="DH10" s="405"/>
      <c r="DI10" s="405"/>
      <c r="DJ10" s="405"/>
      <c r="DK10" s="341"/>
      <c r="DL10" s="405"/>
      <c r="DM10" s="405"/>
      <c r="DN10" s="405"/>
      <c r="DO10" s="405"/>
      <c r="DP10" s="341"/>
      <c r="DQ10" s="405"/>
      <c r="DR10" s="405"/>
      <c r="DS10" s="405"/>
      <c r="DT10" s="405"/>
      <c r="DU10" s="341"/>
      <c r="DV10" s="405"/>
      <c r="DW10" s="405"/>
      <c r="DX10" s="405"/>
      <c r="DY10" s="405"/>
      <c r="DZ10" s="341"/>
      <c r="EA10" s="405"/>
      <c r="EB10" s="405"/>
      <c r="EC10" s="405"/>
      <c r="ED10" s="405"/>
      <c r="EE10" s="341"/>
      <c r="EF10" s="405"/>
      <c r="EG10" s="405"/>
      <c r="EH10" s="405"/>
      <c r="EI10" s="405"/>
      <c r="EJ10" s="341"/>
      <c r="EK10" s="405"/>
      <c r="EL10" s="405"/>
      <c r="EM10" s="438"/>
      <c r="EN10" s="438"/>
      <c r="EO10" s="244"/>
    </row>
    <row r="11" spans="4:147" x14ac:dyDescent="0.2">
      <c r="D11" s="366"/>
      <c r="E11" s="122"/>
      <c r="F11" s="93"/>
      <c r="G11" s="93"/>
      <c r="H11" s="93"/>
      <c r="I11" s="93"/>
      <c r="J11" s="122"/>
      <c r="K11" s="93"/>
      <c r="L11" s="93"/>
      <c r="M11" s="93"/>
      <c r="N11" s="93"/>
      <c r="O11" s="122"/>
      <c r="P11" s="93"/>
      <c r="Q11" s="93"/>
      <c r="R11" s="93"/>
      <c r="S11" s="93"/>
      <c r="T11" s="122"/>
      <c r="U11" s="93"/>
      <c r="V11" s="93"/>
      <c r="W11" s="93"/>
      <c r="X11" s="93"/>
      <c r="Y11" s="122"/>
      <c r="Z11" s="93"/>
      <c r="AA11" s="93"/>
      <c r="AB11" s="93"/>
      <c r="AC11" s="93"/>
      <c r="AD11" s="122"/>
      <c r="AE11" s="93"/>
      <c r="AF11" s="93"/>
      <c r="AG11" s="93"/>
      <c r="AH11" s="93"/>
      <c r="AI11" s="122"/>
      <c r="AJ11" s="93"/>
      <c r="AK11" s="93"/>
      <c r="AL11" s="93"/>
      <c r="AM11" s="93"/>
      <c r="AN11" s="122"/>
      <c r="AO11" s="93"/>
      <c r="AP11" s="93"/>
      <c r="AQ11" s="93"/>
      <c r="AR11" s="93"/>
      <c r="AS11" s="122"/>
      <c r="AT11" s="93"/>
      <c r="AU11" s="93"/>
      <c r="AV11" s="93"/>
      <c r="AW11" s="93"/>
      <c r="AX11" s="122"/>
      <c r="AY11" s="93"/>
      <c r="AZ11" s="93"/>
      <c r="BA11" s="93"/>
      <c r="BB11" s="93"/>
      <c r="BC11" s="122"/>
      <c r="BD11" s="93"/>
      <c r="BE11" s="93"/>
      <c r="BF11" s="93"/>
      <c r="BG11" s="93"/>
      <c r="BH11" s="122"/>
      <c r="BI11" s="93"/>
      <c r="BJ11" s="93"/>
      <c r="BK11" s="93"/>
      <c r="BL11" s="93"/>
      <c r="BM11" s="122"/>
      <c r="BN11" s="93"/>
      <c r="BO11" s="93"/>
      <c r="BP11" s="93"/>
      <c r="BQ11" s="93"/>
      <c r="BR11" s="122"/>
      <c r="BS11" s="93"/>
      <c r="BW11" s="82"/>
      <c r="BY11" s="93"/>
      <c r="BZ11" s="93"/>
      <c r="CA11" s="93"/>
      <c r="CB11" s="122"/>
      <c r="CC11" s="93"/>
      <c r="CD11" s="93"/>
      <c r="CE11" s="93"/>
      <c r="CF11" s="93"/>
      <c r="CG11" s="122"/>
      <c r="CH11" s="93"/>
      <c r="CI11" s="93"/>
      <c r="CJ11" s="93"/>
      <c r="CK11" s="93"/>
      <c r="CL11" s="122"/>
      <c r="CM11" s="93"/>
      <c r="CN11" s="93"/>
      <c r="CO11" s="93"/>
      <c r="CP11" s="93"/>
      <c r="CQ11" s="122"/>
      <c r="CR11" s="93"/>
      <c r="CS11" s="93"/>
      <c r="CT11" s="93"/>
      <c r="CU11" s="93"/>
      <c r="CV11" s="122"/>
      <c r="CW11" s="93"/>
      <c r="CX11" s="93"/>
      <c r="CY11" s="93"/>
      <c r="CZ11" s="93"/>
      <c r="DA11" s="122"/>
      <c r="DB11" s="93"/>
      <c r="DC11" s="93"/>
      <c r="DD11" s="93"/>
      <c r="DE11" s="93"/>
      <c r="DF11" s="122"/>
      <c r="DG11" s="93"/>
      <c r="DH11" s="93"/>
      <c r="DI11" s="93"/>
      <c r="DJ11" s="93"/>
      <c r="DK11" s="122"/>
      <c r="DL11" s="93"/>
      <c r="DM11" s="93"/>
      <c r="DN11" s="93"/>
      <c r="DO11" s="93"/>
      <c r="DP11" s="122"/>
      <c r="DQ11" s="93"/>
      <c r="DR11" s="93"/>
      <c r="DS11" s="93"/>
      <c r="DT11" s="93"/>
      <c r="DU11" s="122"/>
      <c r="DV11" s="93"/>
      <c r="DW11" s="93"/>
      <c r="DX11" s="93"/>
      <c r="DY11" s="93"/>
      <c r="DZ11" s="122"/>
      <c r="EA11" s="93"/>
      <c r="EB11" s="93"/>
      <c r="EC11" s="93"/>
      <c r="ED11" s="93"/>
      <c r="EE11" s="122"/>
      <c r="EF11" s="93"/>
      <c r="EG11" s="93"/>
      <c r="EH11" s="93"/>
      <c r="EI11" s="93"/>
      <c r="EJ11" s="122"/>
      <c r="EK11" s="93"/>
      <c r="EO11" s="244"/>
    </row>
    <row r="12" spans="4:147" s="451" customFormat="1" x14ac:dyDescent="0.2">
      <c r="D12" s="484" t="s">
        <v>412</v>
      </c>
      <c r="E12" s="138"/>
      <c r="G12" s="22">
        <f>SUM(G13:G16)</f>
        <v>58373268</v>
      </c>
      <c r="H12" s="22"/>
      <c r="I12" s="22"/>
      <c r="J12" s="186"/>
      <c r="K12" s="22"/>
      <c r="L12" s="283">
        <f>SUM(L13:L16)</f>
        <v>1687473</v>
      </c>
      <c r="M12" s="283"/>
      <c r="N12" s="283"/>
      <c r="O12" s="83"/>
      <c r="P12" s="283"/>
      <c r="Q12" s="283">
        <f>SUM(Q13:Q16)</f>
        <v>364729</v>
      </c>
      <c r="R12" s="283"/>
      <c r="S12" s="283"/>
      <c r="T12" s="83"/>
      <c r="U12" s="283"/>
      <c r="V12" s="283">
        <f>SUM(V13:V16)</f>
        <v>141048</v>
      </c>
      <c r="W12" s="283"/>
      <c r="X12" s="283"/>
      <c r="Y12" s="83"/>
      <c r="Z12" s="283"/>
      <c r="AA12" s="283">
        <f>SUM(AA13:AA16)</f>
        <v>339545</v>
      </c>
      <c r="AB12" s="283"/>
      <c r="AC12" s="283"/>
      <c r="AD12" s="83"/>
      <c r="AE12" s="283"/>
      <c r="AF12" s="283">
        <f>SUM(AF13:AF16)</f>
        <v>253446</v>
      </c>
      <c r="AG12" s="283"/>
      <c r="AH12" s="283"/>
      <c r="AI12" s="83"/>
      <c r="AJ12" s="283"/>
      <c r="AK12" s="283">
        <f>SUM(AK13:AK16)</f>
        <v>241575</v>
      </c>
      <c r="AL12" s="283"/>
      <c r="AM12" s="283"/>
      <c r="AN12" s="83"/>
      <c r="AO12" s="283"/>
      <c r="AP12" s="283">
        <f>SUM(AP13:AP16)</f>
        <v>333330</v>
      </c>
      <c r="AQ12" s="283"/>
      <c r="AR12" s="283"/>
      <c r="AS12" s="83"/>
      <c r="AT12" s="283"/>
      <c r="AU12" s="283">
        <f>SUM(AU13:AU16)</f>
        <v>314155</v>
      </c>
      <c r="AV12" s="283"/>
      <c r="AW12" s="283"/>
      <c r="AX12" s="83"/>
      <c r="AY12" s="283"/>
      <c r="AZ12" s="283">
        <f>SUM(AZ13:AZ16)</f>
        <v>350295</v>
      </c>
      <c r="BA12" s="283"/>
      <c r="BB12" s="283"/>
      <c r="BC12" s="83"/>
      <c r="BD12" s="283"/>
      <c r="BE12" s="283">
        <f>SUM(BE13:BE16)</f>
        <v>530634</v>
      </c>
      <c r="BF12" s="283"/>
      <c r="BG12" s="283"/>
      <c r="BH12" s="83"/>
      <c r="BI12" s="283"/>
      <c r="BJ12" s="283">
        <f>SUM(BJ13:BJ16)</f>
        <v>8365260</v>
      </c>
      <c r="BK12" s="283"/>
      <c r="BL12" s="283"/>
      <c r="BM12" s="83"/>
      <c r="BN12" s="283"/>
      <c r="BO12" s="283">
        <f>SUM(BO13:BO16)</f>
        <v>51998097</v>
      </c>
      <c r="BP12" s="283"/>
      <c r="BQ12" s="283"/>
      <c r="BR12" s="83"/>
      <c r="BS12" s="283"/>
      <c r="BT12" s="283">
        <f>SUM(BT13:BT16)</f>
        <v>64919587</v>
      </c>
      <c r="BU12" s="283"/>
      <c r="BV12" s="283"/>
      <c r="BW12" s="83"/>
      <c r="BX12" s="283"/>
      <c r="BY12" s="283">
        <f>SUM(BY13:BY16)</f>
        <v>36583937</v>
      </c>
      <c r="BZ12" s="22"/>
      <c r="CA12" s="22"/>
      <c r="CB12" s="186"/>
      <c r="CC12" s="22"/>
      <c r="CD12" s="283">
        <f>SUM(CD13:CD16)</f>
        <v>3444201</v>
      </c>
      <c r="CE12" s="283"/>
      <c r="CF12" s="283"/>
      <c r="CG12" s="83"/>
      <c r="CH12" s="283"/>
      <c r="CI12" s="283">
        <f>SUM(CI13:CI16)</f>
        <v>13049394</v>
      </c>
      <c r="CJ12" s="283"/>
      <c r="CK12" s="283"/>
      <c r="CL12" s="83"/>
      <c r="CM12" s="283"/>
      <c r="CN12" s="283">
        <f>SUM(CN13:CN16)</f>
        <v>251090</v>
      </c>
      <c r="CO12" s="283"/>
      <c r="CP12" s="283"/>
      <c r="CQ12" s="83"/>
      <c r="CR12" s="283"/>
      <c r="CS12" s="283">
        <f>SUM(CS13:CS16)</f>
        <v>239599</v>
      </c>
      <c r="CT12" s="283"/>
      <c r="CU12" s="283"/>
      <c r="CV12" s="83"/>
      <c r="CW12" s="283"/>
      <c r="CX12" s="283">
        <f>SUM(CX13:CX16)</f>
        <v>606220</v>
      </c>
      <c r="CY12" s="283"/>
      <c r="CZ12" s="283"/>
      <c r="DA12" s="83"/>
      <c r="DB12" s="283"/>
      <c r="DC12" s="283">
        <f>SUM(DC13:DC16)</f>
        <v>699411</v>
      </c>
      <c r="DD12" s="283"/>
      <c r="DE12" s="283"/>
      <c r="DF12" s="83"/>
      <c r="DG12" s="283"/>
      <c r="DH12" s="283">
        <f>SUM(DH13:DH16)</f>
        <v>190972</v>
      </c>
      <c r="DI12" s="283"/>
      <c r="DJ12" s="283"/>
      <c r="DK12" s="83"/>
      <c r="DL12" s="283"/>
      <c r="DM12" s="283">
        <f>SUM(DM13:DM16)</f>
        <v>436828</v>
      </c>
      <c r="DN12" s="283"/>
      <c r="DO12" s="283"/>
      <c r="DP12" s="83"/>
      <c r="DQ12" s="283"/>
      <c r="DR12" s="283">
        <f>SUM(DR13:DR16)</f>
        <v>335951</v>
      </c>
      <c r="DS12" s="283"/>
      <c r="DT12" s="283"/>
      <c r="DU12" s="83"/>
      <c r="DV12" s="283"/>
      <c r="DW12" s="283">
        <f>SUM(DW13:DW16)</f>
        <v>16129719</v>
      </c>
      <c r="DX12" s="283"/>
      <c r="DY12" s="283"/>
      <c r="DZ12" s="83"/>
      <c r="EA12" s="283"/>
      <c r="EB12" s="283">
        <f>SUM(EB13:EB16)</f>
        <v>239823</v>
      </c>
      <c r="EC12" s="283"/>
      <c r="ED12" s="283"/>
      <c r="EE12" s="83"/>
      <c r="EF12" s="283"/>
      <c r="EG12" s="283">
        <f>SUM(EG13:EG16)</f>
        <v>960729</v>
      </c>
      <c r="EH12" s="283"/>
      <c r="EI12" s="283"/>
      <c r="EJ12" s="83"/>
      <c r="EK12" s="283"/>
      <c r="EL12" s="283">
        <f>SUM(EL13:EL16)</f>
        <v>36583937</v>
      </c>
      <c r="EO12" s="484"/>
    </row>
    <row r="13" spans="4:147" x14ac:dyDescent="0.2">
      <c r="D13" s="244" t="s">
        <v>413</v>
      </c>
      <c r="E13" s="82"/>
      <c r="F13" s="388"/>
      <c r="G13" s="467">
        <f>G18</f>
        <v>52465000</v>
      </c>
      <c r="H13" s="296"/>
      <c r="I13" s="33"/>
      <c r="J13" s="325"/>
      <c r="K13" s="388"/>
      <c r="L13" s="467">
        <f>L18</f>
        <v>1200137</v>
      </c>
      <c r="M13" s="296"/>
      <c r="N13" s="93"/>
      <c r="O13" s="122"/>
      <c r="P13" s="388"/>
      <c r="Q13" s="467">
        <f>Q18</f>
        <v>335047</v>
      </c>
      <c r="R13" s="296"/>
      <c r="S13" s="93"/>
      <c r="T13" s="122"/>
      <c r="U13" s="388"/>
      <c r="V13" s="467">
        <f>V18</f>
        <v>112559</v>
      </c>
      <c r="W13" s="296"/>
      <c r="X13" s="93"/>
      <c r="Y13" s="122"/>
      <c r="Z13" s="388"/>
      <c r="AA13" s="467">
        <f>AA18</f>
        <v>339545</v>
      </c>
      <c r="AB13" s="296"/>
      <c r="AC13" s="93"/>
      <c r="AD13" s="122"/>
      <c r="AE13" s="388"/>
      <c r="AF13" s="467">
        <f>AF18</f>
        <v>212255</v>
      </c>
      <c r="AG13" s="296"/>
      <c r="AH13" s="93"/>
      <c r="AI13" s="122"/>
      <c r="AJ13" s="388"/>
      <c r="AK13" s="467">
        <f>AK18</f>
        <v>223023</v>
      </c>
      <c r="AL13" s="296"/>
      <c r="AM13" s="93"/>
      <c r="AN13" s="122"/>
      <c r="AO13" s="388"/>
      <c r="AP13" s="467">
        <f>AP18</f>
        <v>333330</v>
      </c>
      <c r="AQ13" s="296"/>
      <c r="AR13" s="93"/>
      <c r="AS13" s="122"/>
      <c r="AT13" s="388"/>
      <c r="AU13" s="467">
        <f>AU18</f>
        <v>314155</v>
      </c>
      <c r="AV13" s="296"/>
      <c r="AW13" s="93"/>
      <c r="AX13" s="122"/>
      <c r="AY13" s="388"/>
      <c r="AZ13" s="467">
        <f>AZ18</f>
        <v>59957</v>
      </c>
      <c r="BA13" s="296"/>
      <c r="BB13" s="93"/>
      <c r="BC13" s="122"/>
      <c r="BD13" s="388"/>
      <c r="BE13" s="467">
        <f>BE18</f>
        <v>397954</v>
      </c>
      <c r="BF13" s="296"/>
      <c r="BG13" s="93"/>
      <c r="BH13" s="122"/>
      <c r="BI13" s="388"/>
      <c r="BJ13" s="467">
        <f>BJ18</f>
        <v>281023</v>
      </c>
      <c r="BK13" s="296"/>
      <c r="BL13" s="93"/>
      <c r="BM13" s="122"/>
      <c r="BN13" s="388"/>
      <c r="BO13" s="467">
        <f>BO18</f>
        <v>49413606</v>
      </c>
      <c r="BP13" s="296"/>
      <c r="BQ13" s="122"/>
      <c r="BR13" s="122"/>
      <c r="BS13" s="388"/>
      <c r="BT13" s="467">
        <f>BT18</f>
        <v>53222591</v>
      </c>
      <c r="BU13" s="296"/>
      <c r="BV13" s="93"/>
      <c r="BW13" s="122"/>
      <c r="BX13" s="388"/>
      <c r="BY13" s="467">
        <f>BY18</f>
        <v>19427655</v>
      </c>
      <c r="BZ13" s="296"/>
      <c r="CA13" s="33"/>
      <c r="CB13" s="325"/>
      <c r="CC13" s="388"/>
      <c r="CD13" s="467">
        <f>CD18</f>
        <v>334512</v>
      </c>
      <c r="CE13" s="296"/>
      <c r="CF13" s="93"/>
      <c r="CG13" s="122"/>
      <c r="CH13" s="388"/>
      <c r="CI13" s="467">
        <f>CI18</f>
        <v>254394</v>
      </c>
      <c r="CJ13" s="296"/>
      <c r="CK13" s="93"/>
      <c r="CL13" s="122"/>
      <c r="CM13" s="388"/>
      <c r="CN13" s="467">
        <f>CN18</f>
        <v>251090</v>
      </c>
      <c r="CO13" s="296"/>
      <c r="CP13" s="93"/>
      <c r="CQ13" s="122"/>
      <c r="CR13" s="388"/>
      <c r="CS13" s="467">
        <f>CS18</f>
        <v>239599</v>
      </c>
      <c r="CT13" s="296"/>
      <c r="CU13" s="93"/>
      <c r="CV13" s="122"/>
      <c r="CW13" s="388"/>
      <c r="CX13" s="467">
        <f>CX18</f>
        <v>317003</v>
      </c>
      <c r="CY13" s="296"/>
      <c r="CZ13" s="93"/>
      <c r="DA13" s="122"/>
      <c r="DB13" s="388"/>
      <c r="DC13" s="467">
        <f>DC18</f>
        <v>464401</v>
      </c>
      <c r="DD13" s="296"/>
      <c r="DE13" s="93"/>
      <c r="DF13" s="122"/>
      <c r="DG13" s="388"/>
      <c r="DH13" s="467">
        <f>DH18</f>
        <v>190972</v>
      </c>
      <c r="DI13" s="296"/>
      <c r="DJ13" s="93"/>
      <c r="DK13" s="122"/>
      <c r="DL13" s="388"/>
      <c r="DM13" s="467">
        <f>DM18</f>
        <v>372701</v>
      </c>
      <c r="DN13" s="296"/>
      <c r="DO13" s="93"/>
      <c r="DP13" s="122"/>
      <c r="DQ13" s="388"/>
      <c r="DR13" s="467">
        <f>DR18</f>
        <v>335951</v>
      </c>
      <c r="DS13" s="296"/>
      <c r="DT13" s="93"/>
      <c r="DU13" s="122"/>
      <c r="DV13" s="388"/>
      <c r="DW13" s="467">
        <f>DW18</f>
        <v>16129719</v>
      </c>
      <c r="DX13" s="296"/>
      <c r="DY13" s="93"/>
      <c r="DZ13" s="122"/>
      <c r="EA13" s="388"/>
      <c r="EB13" s="467">
        <f>EB18</f>
        <v>239823</v>
      </c>
      <c r="EC13" s="296"/>
      <c r="ED13" s="93"/>
      <c r="EE13" s="122"/>
      <c r="EF13" s="388"/>
      <c r="EG13" s="467">
        <f>EG18</f>
        <v>297490</v>
      </c>
      <c r="EH13" s="296"/>
      <c r="EI13" s="93"/>
      <c r="EJ13" s="122"/>
      <c r="EK13" s="388"/>
      <c r="EL13" s="467">
        <f>EL18</f>
        <v>19427655</v>
      </c>
      <c r="EM13" s="296"/>
      <c r="EO13" s="244"/>
      <c r="EP13" s="451"/>
      <c r="EQ13" s="451"/>
    </row>
    <row r="14" spans="4:147" x14ac:dyDescent="0.2">
      <c r="D14" s="244" t="s">
        <v>414</v>
      </c>
      <c r="E14" s="82"/>
      <c r="F14" s="122"/>
      <c r="G14" s="93">
        <f>G30</f>
        <v>4880000</v>
      </c>
      <c r="H14" s="192"/>
      <c r="I14" s="93"/>
      <c r="J14" s="122"/>
      <c r="K14" s="122"/>
      <c r="L14" s="93">
        <f>L30</f>
        <v>0</v>
      </c>
      <c r="M14" s="192"/>
      <c r="N14" s="93"/>
      <c r="O14" s="122"/>
      <c r="P14" s="122"/>
      <c r="Q14" s="93">
        <f>Q30</f>
        <v>0</v>
      </c>
      <c r="R14" s="192"/>
      <c r="S14" s="93"/>
      <c r="T14" s="122"/>
      <c r="U14" s="122"/>
      <c r="V14" s="93">
        <f>V30</f>
        <v>0</v>
      </c>
      <c r="W14" s="192"/>
      <c r="X14" s="93"/>
      <c r="Y14" s="122"/>
      <c r="Z14" s="122"/>
      <c r="AA14" s="93">
        <f>AA30</f>
        <v>0</v>
      </c>
      <c r="AB14" s="192"/>
      <c r="AC14" s="93"/>
      <c r="AD14" s="122"/>
      <c r="AE14" s="122"/>
      <c r="AF14" s="93">
        <f>AF30</f>
        <v>0</v>
      </c>
      <c r="AG14" s="192"/>
      <c r="AH14" s="93"/>
      <c r="AI14" s="122"/>
      <c r="AJ14" s="122"/>
      <c r="AK14" s="93">
        <f>AK30</f>
        <v>0</v>
      </c>
      <c r="AL14" s="192"/>
      <c r="AM14" s="93"/>
      <c r="AN14" s="122"/>
      <c r="AO14" s="122"/>
      <c r="AP14" s="93">
        <f>AP30</f>
        <v>0</v>
      </c>
      <c r="AQ14" s="192"/>
      <c r="AR14" s="93"/>
      <c r="AS14" s="122"/>
      <c r="AT14" s="122"/>
      <c r="AU14" s="93">
        <f>AU30</f>
        <v>0</v>
      </c>
      <c r="AV14" s="192"/>
      <c r="AW14" s="93"/>
      <c r="AX14" s="122"/>
      <c r="AY14" s="122"/>
      <c r="AZ14" s="93">
        <f>AZ30</f>
        <v>0</v>
      </c>
      <c r="BA14" s="192"/>
      <c r="BB14" s="93"/>
      <c r="BC14" s="122"/>
      <c r="BD14" s="122"/>
      <c r="BE14" s="93">
        <f>BE30</f>
        <v>0</v>
      </c>
      <c r="BF14" s="192"/>
      <c r="BG14" s="93"/>
      <c r="BH14" s="122"/>
      <c r="BI14" s="122"/>
      <c r="BJ14" s="93">
        <f>BJ30</f>
        <v>6805000</v>
      </c>
      <c r="BK14" s="192"/>
      <c r="BL14" s="93"/>
      <c r="BM14" s="122"/>
      <c r="BN14" s="122"/>
      <c r="BO14" s="93">
        <f>BO30</f>
        <v>0</v>
      </c>
      <c r="BP14" s="192"/>
      <c r="BQ14" s="122"/>
      <c r="BR14" s="122"/>
      <c r="BS14" s="122"/>
      <c r="BT14" s="93">
        <f>BT30</f>
        <v>6805000</v>
      </c>
      <c r="BU14" s="192"/>
      <c r="BV14" s="93"/>
      <c r="BW14" s="122"/>
      <c r="BX14" s="122"/>
      <c r="BY14" s="93">
        <f>BY30</f>
        <v>12795000</v>
      </c>
      <c r="BZ14" s="192"/>
      <c r="CA14" s="93"/>
      <c r="CB14" s="122"/>
      <c r="CC14" s="122"/>
      <c r="CD14" s="93">
        <f>CD30</f>
        <v>0</v>
      </c>
      <c r="CE14" s="192"/>
      <c r="CF14" s="93"/>
      <c r="CG14" s="122"/>
      <c r="CH14" s="122"/>
      <c r="CI14" s="93">
        <f>CI30</f>
        <v>12795000</v>
      </c>
      <c r="CJ14" s="192"/>
      <c r="CK14" s="93"/>
      <c r="CL14" s="122"/>
      <c r="CM14" s="122"/>
      <c r="CN14" s="93">
        <f>CN30</f>
        <v>0</v>
      </c>
      <c r="CO14" s="192"/>
      <c r="CP14" s="93"/>
      <c r="CQ14" s="122"/>
      <c r="CR14" s="122"/>
      <c r="CS14" s="93">
        <f>CS30</f>
        <v>0</v>
      </c>
      <c r="CT14" s="192"/>
      <c r="CU14" s="93"/>
      <c r="CV14" s="122"/>
      <c r="CW14" s="122"/>
      <c r="CX14" s="93">
        <f>CX30</f>
        <v>0</v>
      </c>
      <c r="CY14" s="192"/>
      <c r="CZ14" s="93"/>
      <c r="DA14" s="122"/>
      <c r="DB14" s="122"/>
      <c r="DC14" s="93">
        <f>DC30</f>
        <v>0</v>
      </c>
      <c r="DD14" s="192"/>
      <c r="DE14" s="93"/>
      <c r="DF14" s="122"/>
      <c r="DG14" s="122"/>
      <c r="DH14" s="93">
        <f>DH30</f>
        <v>0</v>
      </c>
      <c r="DI14" s="192"/>
      <c r="DJ14" s="93"/>
      <c r="DK14" s="122"/>
      <c r="DL14" s="122"/>
      <c r="DM14" s="93">
        <f>DM30</f>
        <v>0</v>
      </c>
      <c r="DN14" s="192"/>
      <c r="DO14" s="93"/>
      <c r="DP14" s="122"/>
      <c r="DQ14" s="122"/>
      <c r="DR14" s="93">
        <f>DR30</f>
        <v>0</v>
      </c>
      <c r="DS14" s="192"/>
      <c r="DT14" s="93"/>
      <c r="DU14" s="122"/>
      <c r="DV14" s="122"/>
      <c r="DW14" s="93">
        <f>DW30</f>
        <v>0</v>
      </c>
      <c r="DX14" s="192"/>
      <c r="DY14" s="93"/>
      <c r="DZ14" s="122"/>
      <c r="EA14" s="122"/>
      <c r="EB14" s="93">
        <f>EB30</f>
        <v>0</v>
      </c>
      <c r="EC14" s="192"/>
      <c r="ED14" s="93"/>
      <c r="EE14" s="122"/>
      <c r="EF14" s="122"/>
      <c r="EG14" s="93">
        <f>EG30</f>
        <v>0</v>
      </c>
      <c r="EH14" s="192"/>
      <c r="EI14" s="93"/>
      <c r="EJ14" s="122"/>
      <c r="EK14" s="122"/>
      <c r="EL14" s="93">
        <f>EL30</f>
        <v>12795000</v>
      </c>
      <c r="EM14" s="192"/>
      <c r="EO14" s="244"/>
      <c r="EP14" s="451"/>
      <c r="EQ14" s="451"/>
    </row>
    <row r="15" spans="4:147" x14ac:dyDescent="0.2">
      <c r="D15" s="244" t="s">
        <v>415</v>
      </c>
      <c r="E15" s="82"/>
      <c r="F15" s="122"/>
      <c r="G15" s="93">
        <f>G65</f>
        <v>1028268</v>
      </c>
      <c r="H15" s="192"/>
      <c r="I15" s="33"/>
      <c r="J15" s="325"/>
      <c r="K15" s="122"/>
      <c r="L15" s="93">
        <f>L65</f>
        <v>487336</v>
      </c>
      <c r="M15" s="192"/>
      <c r="N15" s="33"/>
      <c r="O15" s="325"/>
      <c r="P15" s="122"/>
      <c r="Q15" s="93">
        <f>Q65</f>
        <v>29682</v>
      </c>
      <c r="R15" s="192"/>
      <c r="S15" s="93"/>
      <c r="T15" s="122"/>
      <c r="U15" s="122"/>
      <c r="V15" s="93">
        <f>V65</f>
        <v>28489</v>
      </c>
      <c r="W15" s="192"/>
      <c r="X15" s="93"/>
      <c r="Y15" s="122"/>
      <c r="Z15" s="122"/>
      <c r="AA15" s="93">
        <f>AA65</f>
        <v>0</v>
      </c>
      <c r="AB15" s="192"/>
      <c r="AC15" s="93"/>
      <c r="AD15" s="122"/>
      <c r="AE15" s="122"/>
      <c r="AF15" s="93">
        <f>AF65</f>
        <v>41191</v>
      </c>
      <c r="AG15" s="192"/>
      <c r="AH15" s="93"/>
      <c r="AI15" s="122"/>
      <c r="AJ15" s="122"/>
      <c r="AK15" s="93">
        <f>AK65</f>
        <v>18552</v>
      </c>
      <c r="AL15" s="192"/>
      <c r="AM15" s="93"/>
      <c r="AN15" s="122"/>
      <c r="AO15" s="122"/>
      <c r="AP15" s="93">
        <f>AP65</f>
        <v>0</v>
      </c>
      <c r="AQ15" s="192"/>
      <c r="AR15" s="93"/>
      <c r="AS15" s="122"/>
      <c r="AT15" s="122"/>
      <c r="AU15" s="93">
        <f>AU65</f>
        <v>0</v>
      </c>
      <c r="AV15" s="192"/>
      <c r="AW15" s="93"/>
      <c r="AX15" s="122"/>
      <c r="AY15" s="122"/>
      <c r="AZ15" s="93">
        <f>AZ65</f>
        <v>290338</v>
      </c>
      <c r="BA15" s="192"/>
      <c r="BB15" s="93"/>
      <c r="BC15" s="122"/>
      <c r="BD15" s="122"/>
      <c r="BE15" s="93">
        <f>BE65</f>
        <v>132680</v>
      </c>
      <c r="BF15" s="192"/>
      <c r="BG15" s="93"/>
      <c r="BH15" s="122"/>
      <c r="BI15" s="122"/>
      <c r="BJ15" s="93">
        <f>BJ65</f>
        <v>1279237</v>
      </c>
      <c r="BK15" s="192"/>
      <c r="BL15" s="93"/>
      <c r="BM15" s="122"/>
      <c r="BN15" s="122"/>
      <c r="BO15" s="93">
        <f>BO65</f>
        <v>2584491</v>
      </c>
      <c r="BP15" s="192"/>
      <c r="BQ15" s="122"/>
      <c r="BR15" s="122"/>
      <c r="BS15" s="122"/>
      <c r="BT15" s="93">
        <f>BT65</f>
        <v>4891996</v>
      </c>
      <c r="BU15" s="192"/>
      <c r="BV15" s="93"/>
      <c r="BW15" s="122"/>
      <c r="BX15" s="122"/>
      <c r="BY15" s="93">
        <f>BY65</f>
        <v>4361282</v>
      </c>
      <c r="BZ15" s="192"/>
      <c r="CA15" s="33"/>
      <c r="CB15" s="325"/>
      <c r="CC15" s="122"/>
      <c r="CD15" s="93">
        <f>CD65</f>
        <v>3109689</v>
      </c>
      <c r="CE15" s="192"/>
      <c r="CF15" s="33"/>
      <c r="CG15" s="325"/>
      <c r="CH15" s="122"/>
      <c r="CI15" s="93">
        <f>CI65</f>
        <v>0</v>
      </c>
      <c r="CJ15" s="192"/>
      <c r="CK15" s="93"/>
      <c r="CL15" s="122"/>
      <c r="CM15" s="122"/>
      <c r="CN15" s="93">
        <f>CN65</f>
        <v>0</v>
      </c>
      <c r="CO15" s="192"/>
      <c r="CP15" s="93"/>
      <c r="CQ15" s="122"/>
      <c r="CR15" s="122"/>
      <c r="CS15" s="93">
        <f>CS65</f>
        <v>0</v>
      </c>
      <c r="CT15" s="192"/>
      <c r="CU15" s="93"/>
      <c r="CV15" s="122"/>
      <c r="CW15" s="122"/>
      <c r="CX15" s="93">
        <f>CX65</f>
        <v>289217</v>
      </c>
      <c r="CY15" s="192"/>
      <c r="CZ15" s="93"/>
      <c r="DA15" s="122"/>
      <c r="DB15" s="122"/>
      <c r="DC15" s="93">
        <f>DC65</f>
        <v>235010</v>
      </c>
      <c r="DD15" s="192"/>
      <c r="DE15" s="93"/>
      <c r="DF15" s="122"/>
      <c r="DG15" s="122"/>
      <c r="DH15" s="93">
        <f>DH65</f>
        <v>0</v>
      </c>
      <c r="DI15" s="192"/>
      <c r="DJ15" s="93"/>
      <c r="DK15" s="122"/>
      <c r="DL15" s="122"/>
      <c r="DM15" s="93">
        <f>DM65</f>
        <v>64127</v>
      </c>
      <c r="DN15" s="192"/>
      <c r="DO15" s="93"/>
      <c r="DP15" s="122"/>
      <c r="DQ15" s="122"/>
      <c r="DR15" s="93">
        <f>DR65</f>
        <v>0</v>
      </c>
      <c r="DS15" s="192"/>
      <c r="DT15" s="93"/>
      <c r="DU15" s="122"/>
      <c r="DV15" s="122"/>
      <c r="DW15" s="93">
        <f>DW65</f>
        <v>0</v>
      </c>
      <c r="DX15" s="192"/>
      <c r="DY15" s="93"/>
      <c r="DZ15" s="122"/>
      <c r="EA15" s="122"/>
      <c r="EB15" s="93">
        <f>EB65</f>
        <v>0</v>
      </c>
      <c r="EC15" s="192"/>
      <c r="ED15" s="93"/>
      <c r="EE15" s="122"/>
      <c r="EF15" s="122"/>
      <c r="EG15" s="93">
        <f>EG65</f>
        <v>663239</v>
      </c>
      <c r="EH15" s="192"/>
      <c r="EI15" s="93"/>
      <c r="EJ15" s="122"/>
      <c r="EK15" s="122"/>
      <c r="EL15" s="93">
        <f>EL65</f>
        <v>4361282</v>
      </c>
      <c r="EM15" s="192"/>
      <c r="EO15" s="244"/>
      <c r="EP15" s="451"/>
      <c r="EQ15" s="451"/>
    </row>
    <row r="16" spans="4:147" ht="12.75" customHeight="1" x14ac:dyDescent="0.2">
      <c r="D16" s="244" t="s">
        <v>416</v>
      </c>
      <c r="E16" s="82"/>
      <c r="F16" s="204"/>
      <c r="G16" s="245">
        <f>G122</f>
        <v>0</v>
      </c>
      <c r="H16" s="453"/>
      <c r="I16" s="33"/>
      <c r="J16" s="325"/>
      <c r="K16" s="204"/>
      <c r="L16" s="245">
        <f>L122</f>
        <v>0</v>
      </c>
      <c r="M16" s="453"/>
      <c r="N16" s="33"/>
      <c r="O16" s="325"/>
      <c r="P16" s="204"/>
      <c r="Q16" s="245">
        <f>Q122</f>
        <v>0</v>
      </c>
      <c r="R16" s="453"/>
      <c r="S16" s="93"/>
      <c r="T16" s="122"/>
      <c r="U16" s="204"/>
      <c r="V16" s="245">
        <f>V122</f>
        <v>0</v>
      </c>
      <c r="W16" s="453"/>
      <c r="X16" s="93"/>
      <c r="Y16" s="122"/>
      <c r="Z16" s="204"/>
      <c r="AA16" s="245">
        <f>AA122</f>
        <v>0</v>
      </c>
      <c r="AB16" s="453"/>
      <c r="AC16" s="93"/>
      <c r="AD16" s="122"/>
      <c r="AE16" s="204"/>
      <c r="AF16" s="245">
        <f>AF122</f>
        <v>0</v>
      </c>
      <c r="AG16" s="453"/>
      <c r="AH16" s="93"/>
      <c r="AI16" s="122"/>
      <c r="AJ16" s="204"/>
      <c r="AK16" s="245">
        <f>AK122</f>
        <v>0</v>
      </c>
      <c r="AL16" s="453"/>
      <c r="AM16" s="93"/>
      <c r="AN16" s="122"/>
      <c r="AO16" s="204"/>
      <c r="AP16" s="245">
        <f>AP122</f>
        <v>0</v>
      </c>
      <c r="AQ16" s="453"/>
      <c r="AR16" s="93"/>
      <c r="AS16" s="122"/>
      <c r="AT16" s="204"/>
      <c r="AU16" s="245">
        <f>AU122</f>
        <v>0</v>
      </c>
      <c r="AV16" s="453"/>
      <c r="AW16" s="93"/>
      <c r="AX16" s="122"/>
      <c r="AY16" s="204"/>
      <c r="AZ16" s="245">
        <f>AZ122</f>
        <v>0</v>
      </c>
      <c r="BA16" s="453"/>
      <c r="BB16" s="93"/>
      <c r="BC16" s="122"/>
      <c r="BD16" s="204"/>
      <c r="BE16" s="245">
        <f>BE122</f>
        <v>0</v>
      </c>
      <c r="BF16" s="453"/>
      <c r="BG16" s="93"/>
      <c r="BH16" s="122"/>
      <c r="BI16" s="204"/>
      <c r="BJ16" s="245">
        <f>BJ122</f>
        <v>0</v>
      </c>
      <c r="BK16" s="453"/>
      <c r="BL16" s="93"/>
      <c r="BM16" s="122"/>
      <c r="BN16" s="204"/>
      <c r="BO16" s="245">
        <f>BO122</f>
        <v>0</v>
      </c>
      <c r="BP16" s="453"/>
      <c r="BQ16" s="93"/>
      <c r="BR16" s="122"/>
      <c r="BS16" s="204"/>
      <c r="BT16" s="245">
        <f>BT122</f>
        <v>0</v>
      </c>
      <c r="BU16" s="453"/>
      <c r="BV16" s="93"/>
      <c r="BW16" s="122"/>
      <c r="BX16" s="204"/>
      <c r="BY16" s="245">
        <f>BY122</f>
        <v>0</v>
      </c>
      <c r="BZ16" s="453"/>
      <c r="CA16" s="33"/>
      <c r="CB16" s="325"/>
      <c r="CC16" s="204"/>
      <c r="CD16" s="245">
        <f>CD122</f>
        <v>0</v>
      </c>
      <c r="CE16" s="453"/>
      <c r="CF16" s="33"/>
      <c r="CG16" s="325"/>
      <c r="CH16" s="204"/>
      <c r="CI16" s="245">
        <f>CI122</f>
        <v>0</v>
      </c>
      <c r="CJ16" s="453"/>
      <c r="CK16" s="93"/>
      <c r="CL16" s="122"/>
      <c r="CM16" s="204"/>
      <c r="CN16" s="245">
        <f>CN122</f>
        <v>0</v>
      </c>
      <c r="CO16" s="453"/>
      <c r="CP16" s="93"/>
      <c r="CQ16" s="122"/>
      <c r="CR16" s="204"/>
      <c r="CS16" s="245">
        <f>CS122</f>
        <v>0</v>
      </c>
      <c r="CT16" s="453"/>
      <c r="CU16" s="93"/>
      <c r="CV16" s="122"/>
      <c r="CW16" s="204"/>
      <c r="CX16" s="245">
        <f>CX122</f>
        <v>0</v>
      </c>
      <c r="CY16" s="453"/>
      <c r="CZ16" s="93"/>
      <c r="DA16" s="122"/>
      <c r="DB16" s="204"/>
      <c r="DC16" s="245">
        <f>DC122</f>
        <v>0</v>
      </c>
      <c r="DD16" s="453"/>
      <c r="DE16" s="93"/>
      <c r="DF16" s="122"/>
      <c r="DG16" s="204"/>
      <c r="DH16" s="245">
        <f>DH122</f>
        <v>0</v>
      </c>
      <c r="DI16" s="453"/>
      <c r="DJ16" s="93"/>
      <c r="DK16" s="122"/>
      <c r="DL16" s="204"/>
      <c r="DM16" s="245">
        <f>DM122</f>
        <v>0</v>
      </c>
      <c r="DN16" s="453"/>
      <c r="DO16" s="93"/>
      <c r="DP16" s="122"/>
      <c r="DQ16" s="204"/>
      <c r="DR16" s="245">
        <f>DR122</f>
        <v>0</v>
      </c>
      <c r="DS16" s="453"/>
      <c r="DT16" s="93"/>
      <c r="DU16" s="122"/>
      <c r="DV16" s="204"/>
      <c r="DW16" s="245">
        <f>DW122</f>
        <v>0</v>
      </c>
      <c r="DX16" s="453"/>
      <c r="DY16" s="93"/>
      <c r="DZ16" s="122"/>
      <c r="EA16" s="204"/>
      <c r="EB16" s="245">
        <f>EB122</f>
        <v>0</v>
      </c>
      <c r="EC16" s="453"/>
      <c r="ED16" s="93"/>
      <c r="EE16" s="122"/>
      <c r="EF16" s="204"/>
      <c r="EG16" s="245">
        <f>EG122</f>
        <v>0</v>
      </c>
      <c r="EH16" s="453"/>
      <c r="EI16" s="93"/>
      <c r="EJ16" s="122"/>
      <c r="EK16" s="204"/>
      <c r="EL16" s="245">
        <f>EL122</f>
        <v>0</v>
      </c>
      <c r="EM16" s="453"/>
      <c r="EO16" s="244"/>
      <c r="EP16" s="451"/>
      <c r="EQ16" s="451"/>
    </row>
    <row r="17" spans="4:147" x14ac:dyDescent="0.2">
      <c r="D17" s="244"/>
      <c r="E17" s="82"/>
      <c r="G17" s="401"/>
      <c r="H17" s="93"/>
      <c r="I17" s="93"/>
      <c r="J17" s="122"/>
      <c r="K17" s="93"/>
      <c r="L17" s="93"/>
      <c r="M17" s="93"/>
      <c r="N17" s="93"/>
      <c r="O17" s="122"/>
      <c r="P17" s="467"/>
      <c r="Q17" s="93"/>
      <c r="R17" s="467"/>
      <c r="S17" s="93"/>
      <c r="T17" s="122"/>
      <c r="U17" s="467"/>
      <c r="V17" s="93"/>
      <c r="W17" s="467"/>
      <c r="X17" s="93"/>
      <c r="Y17" s="122"/>
      <c r="Z17" s="467"/>
      <c r="AA17" s="93"/>
      <c r="AB17" s="467"/>
      <c r="AC17" s="93"/>
      <c r="AD17" s="122"/>
      <c r="AE17" s="467"/>
      <c r="AF17" s="93"/>
      <c r="AG17" s="467"/>
      <c r="AH17" s="93"/>
      <c r="AI17" s="122"/>
      <c r="AJ17" s="467"/>
      <c r="AK17" s="93"/>
      <c r="AL17" s="467"/>
      <c r="AM17" s="93"/>
      <c r="AN17" s="122"/>
      <c r="AO17" s="467"/>
      <c r="AP17" s="93"/>
      <c r="AQ17" s="467"/>
      <c r="AR17" s="93"/>
      <c r="AS17" s="122"/>
      <c r="AT17" s="93"/>
      <c r="AU17" s="93"/>
      <c r="AV17" s="93"/>
      <c r="AW17" s="93"/>
      <c r="AX17" s="122"/>
      <c r="AY17" s="93"/>
      <c r="AZ17" s="93"/>
      <c r="BA17" s="467"/>
      <c r="BB17" s="93"/>
      <c r="BC17" s="122"/>
      <c r="BD17" s="93"/>
      <c r="BE17" s="93"/>
      <c r="BF17" s="93"/>
      <c r="BG17" s="93"/>
      <c r="BH17" s="122"/>
      <c r="BI17" s="467"/>
      <c r="BJ17" s="93"/>
      <c r="BK17" s="467"/>
      <c r="BL17" s="93"/>
      <c r="BM17" s="122"/>
      <c r="BN17" s="467"/>
      <c r="BO17" s="93"/>
      <c r="BP17" s="467"/>
      <c r="BQ17" s="93"/>
      <c r="BR17" s="122"/>
      <c r="BS17" s="93"/>
      <c r="BT17" s="93"/>
      <c r="BU17" s="93"/>
      <c r="BV17" s="93"/>
      <c r="BW17" s="122"/>
      <c r="BX17" s="93"/>
      <c r="BY17" s="93"/>
      <c r="BZ17" s="93"/>
      <c r="CA17" s="93"/>
      <c r="CB17" s="122"/>
      <c r="CC17" s="93"/>
      <c r="CD17" s="93"/>
      <c r="CE17" s="93"/>
      <c r="CF17" s="93"/>
      <c r="CG17" s="122"/>
      <c r="CH17" s="467"/>
      <c r="CI17" s="93"/>
      <c r="CJ17" s="467"/>
      <c r="CK17" s="93"/>
      <c r="CL17" s="122"/>
      <c r="CM17" s="467"/>
      <c r="CN17" s="93"/>
      <c r="CO17" s="467"/>
      <c r="CP17" s="93"/>
      <c r="CQ17" s="122"/>
      <c r="CR17" s="467"/>
      <c r="CS17" s="93"/>
      <c r="CT17" s="467"/>
      <c r="CU17" s="93"/>
      <c r="CV17" s="122"/>
      <c r="CW17" s="467"/>
      <c r="CX17" s="93"/>
      <c r="CY17" s="467"/>
      <c r="CZ17" s="93"/>
      <c r="DA17" s="122"/>
      <c r="DB17" s="467"/>
      <c r="DC17" s="93"/>
      <c r="DD17" s="467"/>
      <c r="DE17" s="93"/>
      <c r="DF17" s="122"/>
      <c r="DG17" s="467"/>
      <c r="DH17" s="93"/>
      <c r="DI17" s="467"/>
      <c r="DJ17" s="93"/>
      <c r="DK17" s="122"/>
      <c r="DL17" s="93"/>
      <c r="DM17" s="93"/>
      <c r="DN17" s="93"/>
      <c r="DO17" s="93"/>
      <c r="DP17" s="122"/>
      <c r="DQ17" s="93"/>
      <c r="DR17" s="93"/>
      <c r="DS17" s="467"/>
      <c r="DT17" s="93"/>
      <c r="DU17" s="122"/>
      <c r="DV17" s="93"/>
      <c r="DW17" s="93"/>
      <c r="DX17" s="93"/>
      <c r="DY17" s="93"/>
      <c r="DZ17" s="122"/>
      <c r="EA17" s="467"/>
      <c r="EB17" s="93"/>
      <c r="EC17" s="467"/>
      <c r="ED17" s="93"/>
      <c r="EE17" s="122"/>
      <c r="EF17" s="467"/>
      <c r="EG17" s="93"/>
      <c r="EH17" s="467"/>
      <c r="EI17" s="93"/>
      <c r="EJ17" s="122"/>
      <c r="EK17" s="93"/>
      <c r="EL17" s="93"/>
      <c r="EO17" s="244"/>
      <c r="EP17" s="451"/>
      <c r="EQ17" s="451"/>
    </row>
    <row r="18" spans="4:147" s="451" customFormat="1" ht="12.75" customHeight="1" x14ac:dyDescent="0.2">
      <c r="D18" s="484" t="s">
        <v>417</v>
      </c>
      <c r="E18" s="138"/>
      <c r="F18" s="262"/>
      <c r="G18" s="131">
        <f>SUM(G19:G28)</f>
        <v>52465000</v>
      </c>
      <c r="H18" s="131"/>
      <c r="I18" s="14"/>
      <c r="J18" s="422"/>
      <c r="K18" s="131"/>
      <c r="L18" s="131">
        <f>SUM(L19:L28)</f>
        <v>1200137</v>
      </c>
      <c r="M18" s="131"/>
      <c r="N18" s="14"/>
      <c r="O18" s="422"/>
      <c r="P18" s="131"/>
      <c r="Q18" s="131">
        <f>SUM(Q19:Q28)</f>
        <v>335047</v>
      </c>
      <c r="R18" s="131"/>
      <c r="S18" s="14"/>
      <c r="T18" s="422"/>
      <c r="U18" s="131"/>
      <c r="V18" s="131">
        <f>SUM(V19:V28)</f>
        <v>112559</v>
      </c>
      <c r="W18" s="131"/>
      <c r="X18" s="14"/>
      <c r="Y18" s="422"/>
      <c r="Z18" s="131"/>
      <c r="AA18" s="131">
        <f>SUM(AA19:AA28)</f>
        <v>339545</v>
      </c>
      <c r="AB18" s="131"/>
      <c r="AC18" s="14"/>
      <c r="AD18" s="422"/>
      <c r="AE18" s="131"/>
      <c r="AF18" s="131">
        <f>SUM(AF19:AF28)</f>
        <v>212255</v>
      </c>
      <c r="AG18" s="131"/>
      <c r="AH18" s="14"/>
      <c r="AI18" s="422"/>
      <c r="AJ18" s="131"/>
      <c r="AK18" s="131">
        <f>SUM(AK19:AK28)</f>
        <v>223023</v>
      </c>
      <c r="AL18" s="131"/>
      <c r="AM18" s="14"/>
      <c r="AN18" s="422"/>
      <c r="AO18" s="131"/>
      <c r="AP18" s="131">
        <f>SUM(AP19:AP28)</f>
        <v>333330</v>
      </c>
      <c r="AQ18" s="131"/>
      <c r="AR18" s="14"/>
      <c r="AS18" s="422"/>
      <c r="AT18" s="131"/>
      <c r="AU18" s="131">
        <f>SUM(AU19:AU28)</f>
        <v>314155</v>
      </c>
      <c r="AV18" s="131"/>
      <c r="AW18" s="14"/>
      <c r="AX18" s="422"/>
      <c r="AY18" s="131"/>
      <c r="AZ18" s="131">
        <f>SUM(AZ19:AZ28)</f>
        <v>59957</v>
      </c>
      <c r="BA18" s="131"/>
      <c r="BB18" s="14"/>
      <c r="BC18" s="422"/>
      <c r="BD18" s="131"/>
      <c r="BE18" s="131">
        <f>SUM(BE19:BE28)</f>
        <v>397954</v>
      </c>
      <c r="BF18" s="131"/>
      <c r="BG18" s="14"/>
      <c r="BH18" s="422"/>
      <c r="BI18" s="131"/>
      <c r="BJ18" s="131">
        <f>SUM(BJ19:BJ28)</f>
        <v>281023</v>
      </c>
      <c r="BK18" s="131"/>
      <c r="BL18" s="14"/>
      <c r="BM18" s="422"/>
      <c r="BN18" s="131"/>
      <c r="BO18" s="131">
        <f>SUM(BO19:BO28)</f>
        <v>49413606</v>
      </c>
      <c r="BP18" s="131"/>
      <c r="BQ18" s="14"/>
      <c r="BR18" s="422"/>
      <c r="BS18" s="131"/>
      <c r="BT18" s="131">
        <f>SUM(BT19:BT28)</f>
        <v>53222591</v>
      </c>
      <c r="BU18" s="131"/>
      <c r="BV18" s="14"/>
      <c r="BW18" s="422"/>
      <c r="BX18" s="131"/>
      <c r="BY18" s="131">
        <f>SUM(BY19:BY28)</f>
        <v>19427655</v>
      </c>
      <c r="BZ18" s="131"/>
      <c r="CA18" s="14"/>
      <c r="CB18" s="422"/>
      <c r="CC18" s="131"/>
      <c r="CD18" s="131">
        <f>SUM(CD19:CD28)</f>
        <v>334512</v>
      </c>
      <c r="CE18" s="131"/>
      <c r="CF18" s="14"/>
      <c r="CG18" s="422"/>
      <c r="CH18" s="131"/>
      <c r="CI18" s="131">
        <f>SUM(CI19:CI28)</f>
        <v>254394</v>
      </c>
      <c r="CJ18" s="131"/>
      <c r="CK18" s="14"/>
      <c r="CL18" s="422"/>
      <c r="CM18" s="131"/>
      <c r="CN18" s="131">
        <f>SUM(CN19:CN28)</f>
        <v>251090</v>
      </c>
      <c r="CO18" s="131"/>
      <c r="CP18" s="14"/>
      <c r="CQ18" s="422"/>
      <c r="CR18" s="131"/>
      <c r="CS18" s="131">
        <f>SUM(CS19:CS28)</f>
        <v>239599</v>
      </c>
      <c r="CT18" s="131"/>
      <c r="CU18" s="14"/>
      <c r="CV18" s="422"/>
      <c r="CW18" s="131"/>
      <c r="CX18" s="131">
        <f>SUM(CX19:CX28)</f>
        <v>317003</v>
      </c>
      <c r="CY18" s="131"/>
      <c r="CZ18" s="14"/>
      <c r="DA18" s="422"/>
      <c r="DB18" s="131"/>
      <c r="DC18" s="131">
        <f>SUM(DC19:DC28)</f>
        <v>464401</v>
      </c>
      <c r="DD18" s="131"/>
      <c r="DE18" s="14"/>
      <c r="DF18" s="422"/>
      <c r="DG18" s="131"/>
      <c r="DH18" s="131">
        <f>SUM(DH19:DH28)</f>
        <v>190972</v>
      </c>
      <c r="DI18" s="131"/>
      <c r="DJ18" s="14"/>
      <c r="DK18" s="422"/>
      <c r="DL18" s="131"/>
      <c r="DM18" s="131">
        <f>SUM(DM19:DM28)</f>
        <v>372701</v>
      </c>
      <c r="DN18" s="131"/>
      <c r="DO18" s="14"/>
      <c r="DP18" s="422"/>
      <c r="DQ18" s="131"/>
      <c r="DR18" s="131">
        <f>SUM(DR19:DR28)</f>
        <v>335951</v>
      </c>
      <c r="DS18" s="131"/>
      <c r="DT18" s="14"/>
      <c r="DU18" s="422"/>
      <c r="DV18" s="131"/>
      <c r="DW18" s="131">
        <f>SUM(DW19:DW28)</f>
        <v>16129719</v>
      </c>
      <c r="DX18" s="131"/>
      <c r="DY18" s="14"/>
      <c r="DZ18" s="422"/>
      <c r="EA18" s="131"/>
      <c r="EB18" s="131">
        <f>SUM(EB19:EB28)</f>
        <v>239823</v>
      </c>
      <c r="EC18" s="131"/>
      <c r="ED18" s="14"/>
      <c r="EE18" s="422"/>
      <c r="EF18" s="131"/>
      <c r="EG18" s="131">
        <f>SUM(EG19:EG28)</f>
        <v>297490</v>
      </c>
      <c r="EH18" s="131"/>
      <c r="EI18" s="14"/>
      <c r="EJ18" s="422"/>
      <c r="EK18" s="131"/>
      <c r="EL18" s="131">
        <f>SUM(EL19:EL28)</f>
        <v>19427655</v>
      </c>
      <c r="EM18" s="262"/>
      <c r="EO18" s="484"/>
    </row>
    <row r="19" spans="4:147" ht="12.75" customHeight="1" x14ac:dyDescent="0.2">
      <c r="D19" s="244" t="s">
        <v>418</v>
      </c>
      <c r="E19" s="82"/>
      <c r="F19" s="82"/>
      <c r="G19" s="19">
        <v>48965000</v>
      </c>
      <c r="H19" s="18"/>
      <c r="I19" s="19"/>
      <c r="J19" s="274"/>
      <c r="K19" s="274"/>
      <c r="L19" s="19">
        <v>0</v>
      </c>
      <c r="M19" s="18"/>
      <c r="N19" s="19"/>
      <c r="O19" s="274"/>
      <c r="P19" s="274"/>
      <c r="Q19" s="19">
        <v>0</v>
      </c>
      <c r="R19" s="18"/>
      <c r="S19" s="19"/>
      <c r="T19" s="274"/>
      <c r="U19" s="274"/>
      <c r="V19" s="19">
        <v>0</v>
      </c>
      <c r="W19" s="18"/>
      <c r="X19" s="19"/>
      <c r="Y19" s="274"/>
      <c r="Z19" s="274"/>
      <c r="AA19" s="19">
        <v>0</v>
      </c>
      <c r="AB19" s="18"/>
      <c r="AC19" s="19"/>
      <c r="AD19" s="274"/>
      <c r="AE19" s="274"/>
      <c r="AF19" s="19">
        <v>0</v>
      </c>
      <c r="AG19" s="18"/>
      <c r="AH19" s="19"/>
      <c r="AI19" s="274"/>
      <c r="AJ19" s="274"/>
      <c r="AK19" s="19">
        <v>0</v>
      </c>
      <c r="AL19" s="18"/>
      <c r="AM19" s="19"/>
      <c r="AN19" s="274"/>
      <c r="AO19" s="274"/>
      <c r="AP19" s="19">
        <v>0</v>
      </c>
      <c r="AQ19" s="18"/>
      <c r="AR19" s="19"/>
      <c r="AS19" s="274"/>
      <c r="AT19" s="274"/>
      <c r="AU19" s="19">
        <v>0</v>
      </c>
      <c r="AV19" s="18"/>
      <c r="AW19" s="19"/>
      <c r="AX19" s="274"/>
      <c r="AY19" s="274"/>
      <c r="AZ19" s="19">
        <v>0</v>
      </c>
      <c r="BA19" s="18"/>
      <c r="BB19" s="19"/>
      <c r="BC19" s="274"/>
      <c r="BD19" s="274"/>
      <c r="BE19" s="19">
        <v>0</v>
      </c>
      <c r="BF19" s="18"/>
      <c r="BG19" s="19"/>
      <c r="BH19" s="274"/>
      <c r="BI19" s="274"/>
      <c r="BJ19" s="19">
        <v>0</v>
      </c>
      <c r="BK19" s="18"/>
      <c r="BL19" s="19"/>
      <c r="BM19" s="274"/>
      <c r="BN19" s="274"/>
      <c r="BO19" s="19">
        <v>48964709</v>
      </c>
      <c r="BP19" s="18"/>
      <c r="BQ19" s="19"/>
      <c r="BR19" s="274"/>
      <c r="BS19" s="274"/>
      <c r="BT19" s="19">
        <f t="shared" ref="BT19:BT28" si="0">SUM(L19:BO19)</f>
        <v>48964709</v>
      </c>
      <c r="BU19" s="18"/>
      <c r="BV19" s="19"/>
      <c r="BW19" s="274"/>
      <c r="BX19" s="274"/>
      <c r="BY19" s="19">
        <v>0</v>
      </c>
      <c r="BZ19" s="18"/>
      <c r="CA19" s="19"/>
      <c r="CB19" s="274"/>
      <c r="CC19" s="274"/>
      <c r="CD19" s="19">
        <v>0</v>
      </c>
      <c r="CE19" s="18"/>
      <c r="CF19" s="19"/>
      <c r="CG19" s="274"/>
      <c r="CH19" s="274"/>
      <c r="CI19" s="19">
        <v>0</v>
      </c>
      <c r="CJ19" s="18"/>
      <c r="CK19" s="19"/>
      <c r="CL19" s="274"/>
      <c r="CM19" s="274"/>
      <c r="CN19" s="19">
        <v>0</v>
      </c>
      <c r="CO19" s="18"/>
      <c r="CP19" s="19"/>
      <c r="CQ19" s="274"/>
      <c r="CR19" s="274"/>
      <c r="CS19" s="19">
        <v>0</v>
      </c>
      <c r="CT19" s="18"/>
      <c r="CU19" s="19"/>
      <c r="CV19" s="274"/>
      <c r="CW19" s="274"/>
      <c r="CX19" s="19">
        <v>0</v>
      </c>
      <c r="CY19" s="18"/>
      <c r="CZ19" s="19"/>
      <c r="DA19" s="274"/>
      <c r="DB19" s="274"/>
      <c r="DC19" s="19">
        <v>0</v>
      </c>
      <c r="DD19" s="18"/>
      <c r="DE19" s="19"/>
      <c r="DF19" s="274"/>
      <c r="DG19" s="274"/>
      <c r="DH19" s="19">
        <v>0</v>
      </c>
      <c r="DI19" s="18"/>
      <c r="DJ19" s="19"/>
      <c r="DK19" s="274"/>
      <c r="DL19" s="274"/>
      <c r="DM19" s="19">
        <v>0</v>
      </c>
      <c r="DN19" s="18"/>
      <c r="DO19" s="19"/>
      <c r="DP19" s="274"/>
      <c r="DQ19" s="274"/>
      <c r="DR19" s="19">
        <v>0</v>
      </c>
      <c r="DS19" s="18"/>
      <c r="DT19" s="19"/>
      <c r="DU19" s="274"/>
      <c r="DV19" s="274"/>
      <c r="DW19" s="19">
        <v>0</v>
      </c>
      <c r="DX19" s="18"/>
      <c r="DY19" s="19"/>
      <c r="DZ19" s="274"/>
      <c r="EA19" s="274"/>
      <c r="EB19" s="19">
        <v>0</v>
      </c>
      <c r="EC19" s="18"/>
      <c r="ED19" s="19"/>
      <c r="EE19" s="274"/>
      <c r="EF19" s="274"/>
      <c r="EG19" s="19">
        <v>0</v>
      </c>
      <c r="EH19" s="18"/>
      <c r="EI19" s="19"/>
      <c r="EJ19" s="274"/>
      <c r="EK19" s="274"/>
      <c r="EL19" s="19">
        <f>SUM(CD19:EG19)</f>
        <v>0</v>
      </c>
      <c r="EM19" s="375"/>
      <c r="EO19" s="244"/>
      <c r="EP19" s="451"/>
      <c r="EQ19" s="451"/>
    </row>
    <row r="20" spans="4:147" ht="12.75" customHeight="1" x14ac:dyDescent="0.2">
      <c r="D20" s="244" t="s">
        <v>364</v>
      </c>
      <c r="E20" s="82"/>
      <c r="F20" s="82"/>
      <c r="G20" s="19">
        <v>0</v>
      </c>
      <c r="H20" s="18"/>
      <c r="I20" s="19"/>
      <c r="J20" s="274"/>
      <c r="K20" s="274"/>
      <c r="L20" s="19">
        <v>0</v>
      </c>
      <c r="M20" s="18"/>
      <c r="N20" s="19"/>
      <c r="O20" s="274"/>
      <c r="P20" s="274"/>
      <c r="Q20" s="19">
        <v>0</v>
      </c>
      <c r="R20" s="18"/>
      <c r="S20" s="19"/>
      <c r="T20" s="274"/>
      <c r="U20" s="274"/>
      <c r="V20" s="19">
        <v>0</v>
      </c>
      <c r="W20" s="18"/>
      <c r="X20" s="19"/>
      <c r="Y20" s="274"/>
      <c r="Z20" s="274"/>
      <c r="AA20" s="19">
        <v>0</v>
      </c>
      <c r="AB20" s="18"/>
      <c r="AC20" s="19"/>
      <c r="AD20" s="274"/>
      <c r="AE20" s="274"/>
      <c r="AF20" s="19">
        <v>0</v>
      </c>
      <c r="AG20" s="18"/>
      <c r="AH20" s="19"/>
      <c r="AI20" s="274"/>
      <c r="AJ20" s="274"/>
      <c r="AK20" s="19">
        <v>0</v>
      </c>
      <c r="AL20" s="18"/>
      <c r="AM20" s="19"/>
      <c r="AN20" s="274"/>
      <c r="AO20" s="274"/>
      <c r="AP20" s="19">
        <v>0</v>
      </c>
      <c r="AQ20" s="18"/>
      <c r="AR20" s="19"/>
      <c r="AS20" s="274"/>
      <c r="AT20" s="274"/>
      <c r="AU20" s="19">
        <v>0</v>
      </c>
      <c r="AV20" s="18"/>
      <c r="AW20" s="19"/>
      <c r="AX20" s="274"/>
      <c r="AY20" s="274"/>
      <c r="AZ20" s="19">
        <v>0</v>
      </c>
      <c r="BA20" s="18"/>
      <c r="BB20" s="19"/>
      <c r="BC20" s="274"/>
      <c r="BD20" s="274"/>
      <c r="BE20" s="19">
        <v>0</v>
      </c>
      <c r="BF20" s="18"/>
      <c r="BG20" s="19"/>
      <c r="BH20" s="274"/>
      <c r="BI20" s="274"/>
      <c r="BJ20" s="19">
        <v>0</v>
      </c>
      <c r="BK20" s="18"/>
      <c r="BL20" s="19"/>
      <c r="BM20" s="274"/>
      <c r="BN20" s="274"/>
      <c r="BO20" s="19">
        <v>0</v>
      </c>
      <c r="BP20" s="18"/>
      <c r="BQ20" s="19"/>
      <c r="BR20" s="274"/>
      <c r="BS20" s="274"/>
      <c r="BT20" s="19">
        <f t="shared" si="0"/>
        <v>0</v>
      </c>
      <c r="BU20" s="18"/>
      <c r="BV20" s="19"/>
      <c r="BW20" s="274"/>
      <c r="BX20" s="274"/>
      <c r="BY20" s="19">
        <v>15884604</v>
      </c>
      <c r="BZ20" s="18"/>
      <c r="CA20" s="19"/>
      <c r="CB20" s="274"/>
      <c r="CC20" s="274"/>
      <c r="CD20" s="19">
        <v>0</v>
      </c>
      <c r="CE20" s="18"/>
      <c r="CF20" s="19"/>
      <c r="CG20" s="274"/>
      <c r="CH20" s="274"/>
      <c r="CI20" s="19">
        <v>0</v>
      </c>
      <c r="CJ20" s="18"/>
      <c r="CK20" s="19"/>
      <c r="CL20" s="274"/>
      <c r="CM20" s="274"/>
      <c r="CN20" s="19">
        <v>0</v>
      </c>
      <c r="CO20" s="18"/>
      <c r="CP20" s="19"/>
      <c r="CQ20" s="274"/>
      <c r="CR20" s="274"/>
      <c r="CS20" s="19">
        <v>0</v>
      </c>
      <c r="CT20" s="18"/>
      <c r="CU20" s="19"/>
      <c r="CV20" s="274"/>
      <c r="CW20" s="274"/>
      <c r="CX20" s="19">
        <v>0</v>
      </c>
      <c r="CY20" s="18"/>
      <c r="CZ20" s="19"/>
      <c r="DA20" s="274"/>
      <c r="DB20" s="274"/>
      <c r="DC20" s="19">
        <v>0</v>
      </c>
      <c r="DD20" s="18"/>
      <c r="DE20" s="19"/>
      <c r="DF20" s="274"/>
      <c r="DG20" s="274"/>
      <c r="DH20" s="19">
        <v>0</v>
      </c>
      <c r="DI20" s="18"/>
      <c r="DJ20" s="19"/>
      <c r="DK20" s="274"/>
      <c r="DL20" s="274"/>
      <c r="DM20" s="19">
        <v>0</v>
      </c>
      <c r="DN20" s="18"/>
      <c r="DO20" s="19"/>
      <c r="DP20" s="274"/>
      <c r="DQ20" s="274"/>
      <c r="DR20" s="19">
        <v>0</v>
      </c>
      <c r="DS20" s="18"/>
      <c r="DT20" s="19"/>
      <c r="DU20" s="274"/>
      <c r="DV20" s="274"/>
      <c r="DW20" s="19">
        <v>15884604</v>
      </c>
      <c r="DX20" s="18"/>
      <c r="DY20" s="19"/>
      <c r="DZ20" s="274"/>
      <c r="EA20" s="274"/>
      <c r="EB20" s="19">
        <v>0</v>
      </c>
      <c r="EC20" s="18"/>
      <c r="ED20" s="19"/>
      <c r="EE20" s="274"/>
      <c r="EF20" s="274"/>
      <c r="EG20" s="19">
        <v>0</v>
      </c>
      <c r="EH20" s="18"/>
      <c r="EI20" s="19"/>
      <c r="EJ20" s="274"/>
      <c r="EK20" s="274"/>
      <c r="EL20" s="19">
        <f t="shared" ref="EL20:EL27" si="1">SUM(CD20:EG20)</f>
        <v>15884604</v>
      </c>
      <c r="EM20" s="375"/>
      <c r="EO20" s="244"/>
      <c r="EP20" s="451"/>
      <c r="EQ20" s="451"/>
    </row>
    <row r="21" spans="4:147" ht="12.75" hidden="1" customHeight="1" x14ac:dyDescent="0.2">
      <c r="D21" s="244" t="s">
        <v>360</v>
      </c>
      <c r="E21" s="82"/>
      <c r="F21" s="82"/>
      <c r="G21" s="19">
        <v>0</v>
      </c>
      <c r="H21" s="18"/>
      <c r="I21" s="19"/>
      <c r="J21" s="274"/>
      <c r="K21" s="274"/>
      <c r="L21" s="19">
        <v>0</v>
      </c>
      <c r="M21" s="18"/>
      <c r="N21" s="19"/>
      <c r="O21" s="274"/>
      <c r="P21" s="274"/>
      <c r="Q21" s="19">
        <v>0</v>
      </c>
      <c r="R21" s="18"/>
      <c r="S21" s="19"/>
      <c r="T21" s="274"/>
      <c r="U21" s="274"/>
      <c r="V21" s="19">
        <v>0</v>
      </c>
      <c r="W21" s="18"/>
      <c r="X21" s="19"/>
      <c r="Y21" s="274"/>
      <c r="Z21" s="274"/>
      <c r="AA21" s="19">
        <v>0</v>
      </c>
      <c r="AB21" s="18"/>
      <c r="AC21" s="19"/>
      <c r="AD21" s="274"/>
      <c r="AE21" s="274"/>
      <c r="AF21" s="19">
        <v>0</v>
      </c>
      <c r="AG21" s="18"/>
      <c r="AH21" s="19"/>
      <c r="AI21" s="274"/>
      <c r="AJ21" s="274"/>
      <c r="AK21" s="19">
        <v>0</v>
      </c>
      <c r="AL21" s="18"/>
      <c r="AM21" s="19"/>
      <c r="AN21" s="274"/>
      <c r="AO21" s="274"/>
      <c r="AP21" s="19">
        <v>0</v>
      </c>
      <c r="AQ21" s="18"/>
      <c r="AR21" s="19"/>
      <c r="AS21" s="274"/>
      <c r="AT21" s="274"/>
      <c r="AU21" s="19">
        <v>0</v>
      </c>
      <c r="AV21" s="18"/>
      <c r="AW21" s="19"/>
      <c r="AX21" s="274"/>
      <c r="AY21" s="274"/>
      <c r="AZ21" s="19">
        <v>0</v>
      </c>
      <c r="BA21" s="18"/>
      <c r="BB21" s="19"/>
      <c r="BC21" s="274"/>
      <c r="BD21" s="274"/>
      <c r="BE21" s="19">
        <v>0</v>
      </c>
      <c r="BF21" s="18"/>
      <c r="BG21" s="19"/>
      <c r="BH21" s="274"/>
      <c r="BI21" s="274"/>
      <c r="BJ21" s="19">
        <v>0</v>
      </c>
      <c r="BK21" s="18"/>
      <c r="BL21" s="19"/>
      <c r="BM21" s="274"/>
      <c r="BN21" s="274"/>
      <c r="BO21" s="19">
        <v>0</v>
      </c>
      <c r="BP21" s="18"/>
      <c r="BQ21" s="19"/>
      <c r="BR21" s="274"/>
      <c r="BS21" s="274"/>
      <c r="BT21" s="19">
        <f t="shared" si="0"/>
        <v>0</v>
      </c>
      <c r="BU21" s="18"/>
      <c r="BV21" s="19"/>
      <c r="BW21" s="274"/>
      <c r="BX21" s="274"/>
      <c r="BY21" s="19">
        <v>0</v>
      </c>
      <c r="BZ21" s="18"/>
      <c r="CA21" s="19"/>
      <c r="CB21" s="274"/>
      <c r="CC21" s="274"/>
      <c r="CD21" s="19">
        <v>0</v>
      </c>
      <c r="CE21" s="18"/>
      <c r="CF21" s="19"/>
      <c r="CG21" s="274"/>
      <c r="CH21" s="274"/>
      <c r="CI21" s="19">
        <v>0</v>
      </c>
      <c r="CJ21" s="18"/>
      <c r="CK21" s="19"/>
      <c r="CL21" s="274"/>
      <c r="CM21" s="274"/>
      <c r="CN21" s="19">
        <v>0</v>
      </c>
      <c r="CO21" s="18"/>
      <c r="CP21" s="19"/>
      <c r="CQ21" s="274"/>
      <c r="CR21" s="274"/>
      <c r="CS21" s="19">
        <v>0</v>
      </c>
      <c r="CT21" s="18"/>
      <c r="CU21" s="19"/>
      <c r="CV21" s="274"/>
      <c r="CW21" s="274"/>
      <c r="CX21" s="19">
        <v>0</v>
      </c>
      <c r="CY21" s="18"/>
      <c r="CZ21" s="19"/>
      <c r="DA21" s="274"/>
      <c r="DB21" s="274"/>
      <c r="DC21" s="19">
        <v>0</v>
      </c>
      <c r="DD21" s="18"/>
      <c r="DE21" s="19"/>
      <c r="DF21" s="274"/>
      <c r="DG21" s="274"/>
      <c r="DH21" s="19">
        <v>0</v>
      </c>
      <c r="DI21" s="18"/>
      <c r="DJ21" s="19"/>
      <c r="DK21" s="274"/>
      <c r="DL21" s="274"/>
      <c r="DM21" s="19">
        <v>0</v>
      </c>
      <c r="DN21" s="18"/>
      <c r="DO21" s="19"/>
      <c r="DP21" s="274"/>
      <c r="DQ21" s="274"/>
      <c r="DR21" s="19">
        <v>0</v>
      </c>
      <c r="DS21" s="18"/>
      <c r="DT21" s="19"/>
      <c r="DU21" s="274"/>
      <c r="DV21" s="274"/>
      <c r="DW21" s="19">
        <v>0</v>
      </c>
      <c r="DX21" s="18"/>
      <c r="DY21" s="19"/>
      <c r="DZ21" s="274"/>
      <c r="EA21" s="274"/>
      <c r="EB21" s="19">
        <v>0</v>
      </c>
      <c r="EC21" s="18"/>
      <c r="ED21" s="19"/>
      <c r="EE21" s="274"/>
      <c r="EF21" s="274"/>
      <c r="EG21" s="19">
        <v>0</v>
      </c>
      <c r="EH21" s="18"/>
      <c r="EI21" s="19"/>
      <c r="EJ21" s="274"/>
      <c r="EK21" s="274"/>
      <c r="EL21" s="19">
        <f t="shared" si="1"/>
        <v>0</v>
      </c>
      <c r="EM21" s="18"/>
      <c r="EO21" s="244"/>
      <c r="EP21" s="451"/>
      <c r="EQ21" s="451"/>
    </row>
    <row r="22" spans="4:147" ht="12.75" hidden="1" customHeight="1" x14ac:dyDescent="0.2">
      <c r="D22" s="244" t="s">
        <v>419</v>
      </c>
      <c r="E22" s="82"/>
      <c r="F22" s="82"/>
      <c r="G22" s="19">
        <v>0</v>
      </c>
      <c r="H22" s="18"/>
      <c r="I22" s="19"/>
      <c r="J22" s="274"/>
      <c r="K22" s="274"/>
      <c r="L22" s="19">
        <v>0</v>
      </c>
      <c r="M22" s="18"/>
      <c r="N22" s="19"/>
      <c r="O22" s="274"/>
      <c r="P22" s="274"/>
      <c r="Q22" s="19">
        <v>0</v>
      </c>
      <c r="R22" s="18"/>
      <c r="S22" s="19"/>
      <c r="T22" s="274"/>
      <c r="U22" s="274"/>
      <c r="V22" s="19">
        <v>0</v>
      </c>
      <c r="W22" s="18"/>
      <c r="X22" s="19"/>
      <c r="Y22" s="274"/>
      <c r="Z22" s="274"/>
      <c r="AA22" s="19">
        <v>0</v>
      </c>
      <c r="AB22" s="18"/>
      <c r="AC22" s="19"/>
      <c r="AD22" s="274"/>
      <c r="AE22" s="274"/>
      <c r="AF22" s="19">
        <v>0</v>
      </c>
      <c r="AG22" s="18"/>
      <c r="AH22" s="19"/>
      <c r="AI22" s="274"/>
      <c r="AJ22" s="274"/>
      <c r="AK22" s="19">
        <v>0</v>
      </c>
      <c r="AL22" s="18"/>
      <c r="AM22" s="19"/>
      <c r="AN22" s="274"/>
      <c r="AO22" s="274"/>
      <c r="AP22" s="19">
        <v>0</v>
      </c>
      <c r="AQ22" s="18"/>
      <c r="AR22" s="19"/>
      <c r="AS22" s="274"/>
      <c r="AT22" s="274"/>
      <c r="AU22" s="19">
        <v>0</v>
      </c>
      <c r="AV22" s="18"/>
      <c r="AW22" s="19"/>
      <c r="AX22" s="274"/>
      <c r="AY22" s="274"/>
      <c r="AZ22" s="19">
        <v>0</v>
      </c>
      <c r="BA22" s="18"/>
      <c r="BB22" s="19"/>
      <c r="BC22" s="274"/>
      <c r="BD22" s="274"/>
      <c r="BE22" s="19">
        <v>0</v>
      </c>
      <c r="BF22" s="18"/>
      <c r="BG22" s="19"/>
      <c r="BH22" s="274"/>
      <c r="BI22" s="274"/>
      <c r="BJ22" s="19">
        <v>0</v>
      </c>
      <c r="BK22" s="18"/>
      <c r="BL22" s="19"/>
      <c r="BM22" s="274"/>
      <c r="BN22" s="274"/>
      <c r="BO22" s="19">
        <v>0</v>
      </c>
      <c r="BP22" s="18"/>
      <c r="BQ22" s="19"/>
      <c r="BR22" s="274"/>
      <c r="BS22" s="274"/>
      <c r="BT22" s="19">
        <f t="shared" si="0"/>
        <v>0</v>
      </c>
      <c r="BU22" s="18"/>
      <c r="BV22" s="19"/>
      <c r="BW22" s="274"/>
      <c r="BX22" s="274"/>
      <c r="BY22" s="19">
        <v>0</v>
      </c>
      <c r="BZ22" s="18"/>
      <c r="CA22" s="19"/>
      <c r="CB22" s="274"/>
      <c r="CC22" s="274"/>
      <c r="CD22" s="19">
        <v>0</v>
      </c>
      <c r="CE22" s="18"/>
      <c r="CF22" s="19"/>
      <c r="CG22" s="274"/>
      <c r="CH22" s="274"/>
      <c r="CI22" s="19">
        <v>0</v>
      </c>
      <c r="CJ22" s="18"/>
      <c r="CK22" s="19"/>
      <c r="CL22" s="274"/>
      <c r="CM22" s="274"/>
      <c r="CN22" s="19">
        <v>0</v>
      </c>
      <c r="CO22" s="18"/>
      <c r="CP22" s="19"/>
      <c r="CQ22" s="274"/>
      <c r="CR22" s="274"/>
      <c r="CS22" s="19">
        <v>0</v>
      </c>
      <c r="CT22" s="18"/>
      <c r="CU22" s="19"/>
      <c r="CV22" s="274"/>
      <c r="CW22" s="274"/>
      <c r="CX22" s="19">
        <v>0</v>
      </c>
      <c r="CY22" s="18"/>
      <c r="CZ22" s="19"/>
      <c r="DA22" s="274"/>
      <c r="DB22" s="274"/>
      <c r="DC22" s="19">
        <v>0</v>
      </c>
      <c r="DD22" s="18"/>
      <c r="DE22" s="19"/>
      <c r="DF22" s="274"/>
      <c r="DG22" s="274"/>
      <c r="DH22" s="19">
        <v>0</v>
      </c>
      <c r="DI22" s="18"/>
      <c r="DJ22" s="19"/>
      <c r="DK22" s="274"/>
      <c r="DL22" s="274"/>
      <c r="DM22" s="19">
        <v>0</v>
      </c>
      <c r="DN22" s="18"/>
      <c r="DO22" s="19"/>
      <c r="DP22" s="274"/>
      <c r="DQ22" s="274"/>
      <c r="DR22" s="19">
        <v>0</v>
      </c>
      <c r="DS22" s="18"/>
      <c r="DT22" s="19"/>
      <c r="DU22" s="274"/>
      <c r="DV22" s="274"/>
      <c r="DW22" s="19">
        <v>0</v>
      </c>
      <c r="DX22" s="18"/>
      <c r="DY22" s="19"/>
      <c r="DZ22" s="274"/>
      <c r="EA22" s="274"/>
      <c r="EB22" s="19">
        <v>0</v>
      </c>
      <c r="EC22" s="18"/>
      <c r="ED22" s="19"/>
      <c r="EE22" s="274"/>
      <c r="EF22" s="274"/>
      <c r="EG22" s="19">
        <v>0</v>
      </c>
      <c r="EH22" s="18"/>
      <c r="EI22" s="19"/>
      <c r="EJ22" s="274"/>
      <c r="EK22" s="274"/>
      <c r="EL22" s="19">
        <f t="shared" si="1"/>
        <v>0</v>
      </c>
      <c r="EM22" s="18"/>
      <c r="EO22" s="244"/>
      <c r="EP22" s="451"/>
      <c r="EQ22" s="451"/>
    </row>
    <row r="23" spans="4:147" ht="12.75" hidden="1" customHeight="1" x14ac:dyDescent="0.2">
      <c r="D23" s="244" t="s">
        <v>420</v>
      </c>
      <c r="E23" s="82"/>
      <c r="F23" s="82"/>
      <c r="G23" s="19">
        <v>0</v>
      </c>
      <c r="H23" s="18"/>
      <c r="I23" s="19"/>
      <c r="J23" s="274"/>
      <c r="K23" s="274"/>
      <c r="L23" s="19">
        <v>0</v>
      </c>
      <c r="M23" s="18"/>
      <c r="N23" s="19"/>
      <c r="O23" s="274"/>
      <c r="P23" s="274"/>
      <c r="Q23" s="19">
        <v>0</v>
      </c>
      <c r="R23" s="18"/>
      <c r="S23" s="19"/>
      <c r="T23" s="274"/>
      <c r="U23" s="274"/>
      <c r="V23" s="19">
        <v>0</v>
      </c>
      <c r="W23" s="18"/>
      <c r="X23" s="19"/>
      <c r="Y23" s="274"/>
      <c r="Z23" s="274"/>
      <c r="AA23" s="19">
        <v>0</v>
      </c>
      <c r="AB23" s="18"/>
      <c r="AC23" s="19"/>
      <c r="AD23" s="274"/>
      <c r="AE23" s="274"/>
      <c r="AF23" s="19">
        <v>0</v>
      </c>
      <c r="AG23" s="18"/>
      <c r="AH23" s="19"/>
      <c r="AI23" s="274"/>
      <c r="AJ23" s="274"/>
      <c r="AK23" s="19">
        <v>0</v>
      </c>
      <c r="AL23" s="18"/>
      <c r="AM23" s="19"/>
      <c r="AN23" s="274"/>
      <c r="AO23" s="274"/>
      <c r="AP23" s="19">
        <v>0</v>
      </c>
      <c r="AQ23" s="18"/>
      <c r="AR23" s="19"/>
      <c r="AS23" s="274"/>
      <c r="AT23" s="274"/>
      <c r="AU23" s="19">
        <v>0</v>
      </c>
      <c r="AV23" s="18"/>
      <c r="AW23" s="19"/>
      <c r="AX23" s="274"/>
      <c r="AY23" s="274"/>
      <c r="AZ23" s="19">
        <v>0</v>
      </c>
      <c r="BA23" s="18"/>
      <c r="BB23" s="19"/>
      <c r="BC23" s="274"/>
      <c r="BD23" s="274"/>
      <c r="BE23" s="19">
        <v>0</v>
      </c>
      <c r="BF23" s="18"/>
      <c r="BG23" s="19"/>
      <c r="BH23" s="274"/>
      <c r="BI23" s="274"/>
      <c r="BJ23" s="19">
        <v>0</v>
      </c>
      <c r="BK23" s="18"/>
      <c r="BL23" s="19"/>
      <c r="BM23" s="274"/>
      <c r="BN23" s="274"/>
      <c r="BO23" s="19">
        <v>0</v>
      </c>
      <c r="BP23" s="18"/>
      <c r="BQ23" s="19"/>
      <c r="BR23" s="274"/>
      <c r="BS23" s="274"/>
      <c r="BT23" s="19">
        <f t="shared" si="0"/>
        <v>0</v>
      </c>
      <c r="BU23" s="18"/>
      <c r="BV23" s="19"/>
      <c r="BW23" s="274"/>
      <c r="BX23" s="274"/>
      <c r="BY23" s="19">
        <v>0</v>
      </c>
      <c r="BZ23" s="18"/>
      <c r="CA23" s="19"/>
      <c r="CB23" s="274"/>
      <c r="CC23" s="274"/>
      <c r="CD23" s="19">
        <v>0</v>
      </c>
      <c r="CE23" s="18"/>
      <c r="CF23" s="19"/>
      <c r="CG23" s="274"/>
      <c r="CH23" s="274"/>
      <c r="CI23" s="19">
        <v>0</v>
      </c>
      <c r="CJ23" s="18"/>
      <c r="CK23" s="19"/>
      <c r="CL23" s="274"/>
      <c r="CM23" s="274"/>
      <c r="CN23" s="19">
        <v>0</v>
      </c>
      <c r="CO23" s="18"/>
      <c r="CP23" s="19"/>
      <c r="CQ23" s="274"/>
      <c r="CR23" s="274"/>
      <c r="CS23" s="19">
        <v>0</v>
      </c>
      <c r="CT23" s="18"/>
      <c r="CU23" s="19"/>
      <c r="CV23" s="274"/>
      <c r="CW23" s="274"/>
      <c r="CX23" s="19">
        <v>0</v>
      </c>
      <c r="CY23" s="18"/>
      <c r="CZ23" s="19"/>
      <c r="DA23" s="274"/>
      <c r="DB23" s="274"/>
      <c r="DC23" s="19">
        <v>0</v>
      </c>
      <c r="DD23" s="18"/>
      <c r="DE23" s="19"/>
      <c r="DF23" s="274"/>
      <c r="DG23" s="274"/>
      <c r="DH23" s="19">
        <v>0</v>
      </c>
      <c r="DI23" s="18"/>
      <c r="DJ23" s="19"/>
      <c r="DK23" s="274"/>
      <c r="DL23" s="274"/>
      <c r="DM23" s="19">
        <v>0</v>
      </c>
      <c r="DN23" s="18"/>
      <c r="DO23" s="19"/>
      <c r="DP23" s="274"/>
      <c r="DQ23" s="274"/>
      <c r="DR23" s="19">
        <v>0</v>
      </c>
      <c r="DS23" s="18"/>
      <c r="DT23" s="19"/>
      <c r="DU23" s="274"/>
      <c r="DV23" s="274"/>
      <c r="DW23" s="19">
        <v>0</v>
      </c>
      <c r="DX23" s="18"/>
      <c r="DY23" s="19"/>
      <c r="DZ23" s="274"/>
      <c r="EA23" s="274"/>
      <c r="EB23" s="19">
        <v>0</v>
      </c>
      <c r="EC23" s="18"/>
      <c r="ED23" s="19"/>
      <c r="EE23" s="274"/>
      <c r="EF23" s="274"/>
      <c r="EG23" s="19">
        <v>0</v>
      </c>
      <c r="EH23" s="18"/>
      <c r="EI23" s="19"/>
      <c r="EJ23" s="274"/>
      <c r="EK23" s="274"/>
      <c r="EL23" s="19">
        <f t="shared" si="1"/>
        <v>0</v>
      </c>
      <c r="EM23" s="18"/>
      <c r="EO23" s="244"/>
      <c r="EP23" s="451"/>
      <c r="EQ23" s="451"/>
    </row>
    <row r="24" spans="4:147" ht="12.75" customHeight="1" x14ac:dyDescent="0.2">
      <c r="D24" s="244" t="s">
        <v>421</v>
      </c>
      <c r="E24" s="82"/>
      <c r="F24" s="82"/>
      <c r="G24" s="19">
        <v>0</v>
      </c>
      <c r="H24" s="18"/>
      <c r="I24" s="19"/>
      <c r="J24" s="274"/>
      <c r="K24" s="274"/>
      <c r="L24" s="19">
        <v>0</v>
      </c>
      <c r="M24" s="18"/>
      <c r="N24" s="19"/>
      <c r="O24" s="274"/>
      <c r="P24" s="274"/>
      <c r="Q24" s="19">
        <v>0</v>
      </c>
      <c r="R24" s="18"/>
      <c r="S24" s="19"/>
      <c r="T24" s="274"/>
      <c r="U24" s="274"/>
      <c r="V24" s="19">
        <v>0</v>
      </c>
      <c r="W24" s="18"/>
      <c r="X24" s="19"/>
      <c r="Y24" s="274"/>
      <c r="Z24" s="274"/>
      <c r="AA24" s="19">
        <v>0</v>
      </c>
      <c r="AB24" s="18"/>
      <c r="AC24" s="19"/>
      <c r="AD24" s="274"/>
      <c r="AE24" s="274"/>
      <c r="AF24" s="19">
        <v>0</v>
      </c>
      <c r="AG24" s="18"/>
      <c r="AH24" s="19"/>
      <c r="AI24" s="274"/>
      <c r="AJ24" s="274"/>
      <c r="AK24" s="19">
        <v>0</v>
      </c>
      <c r="AL24" s="18"/>
      <c r="AM24" s="19"/>
      <c r="AN24" s="274"/>
      <c r="AO24" s="274"/>
      <c r="AP24" s="19">
        <v>0</v>
      </c>
      <c r="AQ24" s="18"/>
      <c r="AR24" s="19"/>
      <c r="AS24" s="274"/>
      <c r="AT24" s="274"/>
      <c r="AU24" s="19">
        <v>0</v>
      </c>
      <c r="AV24" s="18"/>
      <c r="AW24" s="19"/>
      <c r="AX24" s="274"/>
      <c r="AY24" s="274"/>
      <c r="AZ24" s="19">
        <v>0</v>
      </c>
      <c r="BA24" s="18"/>
      <c r="BB24" s="19"/>
      <c r="BC24" s="274"/>
      <c r="BD24" s="274"/>
      <c r="BE24" s="19">
        <v>0</v>
      </c>
      <c r="BF24" s="18"/>
      <c r="BG24" s="19"/>
      <c r="BH24" s="274"/>
      <c r="BI24" s="274"/>
      <c r="BJ24" s="19">
        <v>0</v>
      </c>
      <c r="BK24" s="18"/>
      <c r="BL24" s="19"/>
      <c r="BM24" s="274"/>
      <c r="BN24" s="274"/>
      <c r="BO24" s="19">
        <v>0</v>
      </c>
      <c r="BP24" s="18"/>
      <c r="BQ24" s="19"/>
      <c r="BR24" s="274"/>
      <c r="BS24" s="274"/>
      <c r="BT24" s="19">
        <f t="shared" si="0"/>
        <v>0</v>
      </c>
      <c r="BU24" s="18"/>
      <c r="BV24" s="19"/>
      <c r="BW24" s="274"/>
      <c r="BX24" s="274"/>
      <c r="BY24" s="19">
        <v>150000</v>
      </c>
      <c r="BZ24" s="18"/>
      <c r="CA24" s="19"/>
      <c r="CB24" s="274"/>
      <c r="CC24" s="274"/>
      <c r="CD24" s="19">
        <v>0</v>
      </c>
      <c r="CE24" s="18"/>
      <c r="CF24" s="19"/>
      <c r="CG24" s="274"/>
      <c r="CH24" s="274"/>
      <c r="CI24" s="19">
        <v>0</v>
      </c>
      <c r="CJ24" s="18"/>
      <c r="CK24" s="19"/>
      <c r="CL24" s="274"/>
      <c r="CM24" s="274"/>
      <c r="CN24" s="19">
        <v>0</v>
      </c>
      <c r="CO24" s="18"/>
      <c r="CP24" s="19"/>
      <c r="CQ24" s="274"/>
      <c r="CR24" s="274"/>
      <c r="CS24" s="19">
        <v>0</v>
      </c>
      <c r="CT24" s="18"/>
      <c r="CU24" s="19"/>
      <c r="CV24" s="274"/>
      <c r="CW24" s="274"/>
      <c r="CX24" s="19">
        <v>0</v>
      </c>
      <c r="CY24" s="18"/>
      <c r="CZ24" s="19"/>
      <c r="DA24" s="274"/>
      <c r="DB24" s="274"/>
      <c r="DC24" s="19">
        <v>150000</v>
      </c>
      <c r="DD24" s="18"/>
      <c r="DE24" s="19"/>
      <c r="DF24" s="274"/>
      <c r="DG24" s="274"/>
      <c r="DH24" s="19">
        <v>0</v>
      </c>
      <c r="DI24" s="18"/>
      <c r="DJ24" s="19"/>
      <c r="DK24" s="274"/>
      <c r="DL24" s="274"/>
      <c r="DM24" s="19">
        <v>0</v>
      </c>
      <c r="DN24" s="18"/>
      <c r="DO24" s="19"/>
      <c r="DP24" s="274"/>
      <c r="DQ24" s="274"/>
      <c r="DR24" s="19">
        <v>0</v>
      </c>
      <c r="DS24" s="18"/>
      <c r="DT24" s="19"/>
      <c r="DU24" s="274"/>
      <c r="DV24" s="274"/>
      <c r="DW24" s="19">
        <v>0</v>
      </c>
      <c r="DX24" s="18"/>
      <c r="DY24" s="19"/>
      <c r="DZ24" s="274"/>
      <c r="EA24" s="274"/>
      <c r="EB24" s="19">
        <v>0</v>
      </c>
      <c r="EC24" s="18"/>
      <c r="ED24" s="19"/>
      <c r="EE24" s="274"/>
      <c r="EF24" s="274"/>
      <c r="EG24" s="19">
        <v>0</v>
      </c>
      <c r="EH24" s="18"/>
      <c r="EI24" s="19"/>
      <c r="EJ24" s="274"/>
      <c r="EK24" s="274"/>
      <c r="EL24" s="19">
        <f t="shared" si="1"/>
        <v>150000</v>
      </c>
      <c r="EM24" s="18"/>
      <c r="EO24" s="244"/>
      <c r="EP24" s="451"/>
      <c r="EQ24" s="451"/>
    </row>
    <row r="25" spans="4:147" ht="12.75" customHeight="1" x14ac:dyDescent="0.2">
      <c r="D25" s="244" t="s">
        <v>422</v>
      </c>
      <c r="E25" s="82"/>
      <c r="F25" s="82"/>
      <c r="G25" s="19">
        <v>0</v>
      </c>
      <c r="H25" s="18"/>
      <c r="I25" s="19"/>
      <c r="J25" s="274"/>
      <c r="K25" s="274"/>
      <c r="L25" s="19">
        <v>0</v>
      </c>
      <c r="M25" s="18"/>
      <c r="N25" s="19"/>
      <c r="O25" s="274"/>
      <c r="P25" s="274"/>
      <c r="Q25" s="19">
        <v>0</v>
      </c>
      <c r="R25" s="18"/>
      <c r="S25" s="19"/>
      <c r="T25" s="274"/>
      <c r="U25" s="274"/>
      <c r="V25" s="19">
        <v>0</v>
      </c>
      <c r="W25" s="18"/>
      <c r="X25" s="19"/>
      <c r="Y25" s="274"/>
      <c r="Z25" s="274"/>
      <c r="AA25" s="19">
        <v>0</v>
      </c>
      <c r="AB25" s="18"/>
      <c r="AC25" s="19"/>
      <c r="AD25" s="274"/>
      <c r="AE25" s="274"/>
      <c r="AF25" s="19">
        <v>0</v>
      </c>
      <c r="AG25" s="18"/>
      <c r="AH25" s="19"/>
      <c r="AI25" s="274"/>
      <c r="AJ25" s="274"/>
      <c r="AK25" s="19">
        <v>0</v>
      </c>
      <c r="AL25" s="18"/>
      <c r="AM25" s="19"/>
      <c r="AN25" s="274"/>
      <c r="AO25" s="274"/>
      <c r="AP25" s="19">
        <v>0</v>
      </c>
      <c r="AQ25" s="18"/>
      <c r="AR25" s="19"/>
      <c r="AS25" s="274"/>
      <c r="AT25" s="274"/>
      <c r="AU25" s="19">
        <v>0</v>
      </c>
      <c r="AV25" s="18"/>
      <c r="AW25" s="19"/>
      <c r="AX25" s="274"/>
      <c r="AY25" s="274"/>
      <c r="AZ25" s="19">
        <v>0</v>
      </c>
      <c r="BA25" s="18"/>
      <c r="BB25" s="19"/>
      <c r="BC25" s="274"/>
      <c r="BD25" s="274"/>
      <c r="BE25" s="19">
        <v>0</v>
      </c>
      <c r="BF25" s="18"/>
      <c r="BG25" s="19"/>
      <c r="BH25" s="274"/>
      <c r="BI25" s="274"/>
      <c r="BJ25" s="19">
        <v>0</v>
      </c>
      <c r="BK25" s="18"/>
      <c r="BL25" s="19"/>
      <c r="BM25" s="274"/>
      <c r="BN25" s="274"/>
      <c r="BO25" s="19">
        <v>0</v>
      </c>
      <c r="BP25" s="18"/>
      <c r="BQ25" s="19"/>
      <c r="BR25" s="274"/>
      <c r="BS25" s="274"/>
      <c r="BT25" s="19">
        <f t="shared" si="0"/>
        <v>0</v>
      </c>
      <c r="BU25" s="18"/>
      <c r="BV25" s="19"/>
      <c r="BW25" s="274"/>
      <c r="BX25" s="274"/>
      <c r="BY25" s="19">
        <v>12</v>
      </c>
      <c r="BZ25" s="18"/>
      <c r="CA25" s="19"/>
      <c r="CB25" s="274"/>
      <c r="CC25" s="274"/>
      <c r="CD25" s="19">
        <v>0</v>
      </c>
      <c r="CE25" s="18"/>
      <c r="CF25" s="19"/>
      <c r="CG25" s="274"/>
      <c r="CH25" s="274"/>
      <c r="CI25" s="19">
        <v>0</v>
      </c>
      <c r="CJ25" s="18"/>
      <c r="CK25" s="19"/>
      <c r="CL25" s="274"/>
      <c r="CM25" s="274"/>
      <c r="CN25" s="19">
        <v>0</v>
      </c>
      <c r="CO25" s="18"/>
      <c r="CP25" s="19"/>
      <c r="CQ25" s="274"/>
      <c r="CR25" s="274"/>
      <c r="CS25" s="19">
        <v>9</v>
      </c>
      <c r="CT25" s="18"/>
      <c r="CU25" s="19"/>
      <c r="CV25" s="274"/>
      <c r="CW25" s="274"/>
      <c r="CX25" s="19">
        <v>0</v>
      </c>
      <c r="CY25" s="18"/>
      <c r="CZ25" s="19"/>
      <c r="DA25" s="274"/>
      <c r="DB25" s="274"/>
      <c r="DC25" s="19">
        <v>0</v>
      </c>
      <c r="DD25" s="18"/>
      <c r="DE25" s="19"/>
      <c r="DF25" s="274"/>
      <c r="DG25" s="274"/>
      <c r="DH25" s="19">
        <v>2</v>
      </c>
      <c r="DI25" s="18"/>
      <c r="DJ25" s="19"/>
      <c r="DK25" s="274"/>
      <c r="DL25" s="274"/>
      <c r="DM25" s="19">
        <v>0</v>
      </c>
      <c r="DN25" s="18"/>
      <c r="DO25" s="19"/>
      <c r="DP25" s="274"/>
      <c r="DQ25" s="274"/>
      <c r="DR25" s="19">
        <v>1</v>
      </c>
      <c r="DS25" s="18"/>
      <c r="DT25" s="19"/>
      <c r="DU25" s="274"/>
      <c r="DV25" s="274"/>
      <c r="DW25" s="19">
        <v>0</v>
      </c>
      <c r="DX25" s="18"/>
      <c r="DY25" s="19"/>
      <c r="DZ25" s="274"/>
      <c r="EA25" s="274"/>
      <c r="EB25" s="19">
        <v>0</v>
      </c>
      <c r="EC25" s="18"/>
      <c r="ED25" s="19"/>
      <c r="EE25" s="274"/>
      <c r="EF25" s="274"/>
      <c r="EG25" s="19">
        <v>0</v>
      </c>
      <c r="EH25" s="18"/>
      <c r="EI25" s="19"/>
      <c r="EJ25" s="274"/>
      <c r="EK25" s="274"/>
      <c r="EL25" s="19">
        <f t="shared" si="1"/>
        <v>12</v>
      </c>
      <c r="EM25" s="18"/>
      <c r="EO25" s="244"/>
      <c r="EP25" s="451"/>
      <c r="EQ25" s="451"/>
    </row>
    <row r="26" spans="4:147" ht="12.75" customHeight="1" x14ac:dyDescent="0.2">
      <c r="D26" s="244" t="s">
        <v>343</v>
      </c>
      <c r="E26" s="82"/>
      <c r="F26" s="82"/>
      <c r="G26" s="19">
        <v>3500000</v>
      </c>
      <c r="H26" s="18"/>
      <c r="I26" s="19"/>
      <c r="J26" s="274"/>
      <c r="K26" s="274"/>
      <c r="L26" s="19">
        <v>1200137</v>
      </c>
      <c r="M26" s="18"/>
      <c r="N26" s="19"/>
      <c r="O26" s="274"/>
      <c r="P26" s="274"/>
      <c r="Q26" s="19">
        <v>335047</v>
      </c>
      <c r="R26" s="18"/>
      <c r="S26" s="19"/>
      <c r="T26" s="274"/>
      <c r="U26" s="274"/>
      <c r="V26" s="19">
        <v>112559</v>
      </c>
      <c r="W26" s="18"/>
      <c r="X26" s="19"/>
      <c r="Y26" s="274"/>
      <c r="Z26" s="274"/>
      <c r="AA26" s="19">
        <v>339545</v>
      </c>
      <c r="AB26" s="18"/>
      <c r="AC26" s="19"/>
      <c r="AD26" s="274"/>
      <c r="AE26" s="274"/>
      <c r="AF26" s="19">
        <v>212255</v>
      </c>
      <c r="AG26" s="18"/>
      <c r="AH26" s="19"/>
      <c r="AI26" s="274"/>
      <c r="AJ26" s="274"/>
      <c r="AK26" s="19">
        <v>223023</v>
      </c>
      <c r="AL26" s="18"/>
      <c r="AM26" s="19"/>
      <c r="AN26" s="274"/>
      <c r="AO26" s="274"/>
      <c r="AP26" s="19">
        <v>333330</v>
      </c>
      <c r="AQ26" s="18"/>
      <c r="AR26" s="19"/>
      <c r="AS26" s="274"/>
      <c r="AT26" s="274"/>
      <c r="AU26" s="19">
        <v>314155</v>
      </c>
      <c r="AV26" s="18"/>
      <c r="AW26" s="19"/>
      <c r="AX26" s="274"/>
      <c r="AY26" s="274"/>
      <c r="AZ26" s="19">
        <v>59957</v>
      </c>
      <c r="BA26" s="18"/>
      <c r="BB26" s="19"/>
      <c r="BC26" s="274"/>
      <c r="BD26" s="274"/>
      <c r="BE26" s="19">
        <v>397954</v>
      </c>
      <c r="BF26" s="18"/>
      <c r="BG26" s="19"/>
      <c r="BH26" s="274"/>
      <c r="BI26" s="274"/>
      <c r="BJ26" s="19">
        <v>281023</v>
      </c>
      <c r="BK26" s="18"/>
      <c r="BL26" s="19"/>
      <c r="BM26" s="274"/>
      <c r="BN26" s="274"/>
      <c r="BO26" s="19">
        <v>448897</v>
      </c>
      <c r="BP26" s="18"/>
      <c r="BQ26" s="19"/>
      <c r="BR26" s="274"/>
      <c r="BS26" s="274"/>
      <c r="BT26" s="19">
        <f>SUM(L26:BO26)</f>
        <v>4257882</v>
      </c>
      <c r="BU26" s="18"/>
      <c r="BV26" s="19"/>
      <c r="BW26" s="274"/>
      <c r="BX26" s="274"/>
      <c r="BY26" s="19">
        <v>3393035</v>
      </c>
      <c r="BZ26" s="18"/>
      <c r="CA26" s="19"/>
      <c r="CB26" s="274"/>
      <c r="CC26" s="274"/>
      <c r="CD26" s="19">
        <v>334508</v>
      </c>
      <c r="CE26" s="18"/>
      <c r="CF26" s="19"/>
      <c r="CG26" s="274"/>
      <c r="CH26" s="274"/>
      <c r="CI26" s="19">
        <v>254394</v>
      </c>
      <c r="CJ26" s="18"/>
      <c r="CK26" s="19"/>
      <c r="CL26" s="274"/>
      <c r="CM26" s="274"/>
      <c r="CN26" s="19">
        <v>251090</v>
      </c>
      <c r="CO26" s="18"/>
      <c r="CP26" s="19"/>
      <c r="CQ26" s="274"/>
      <c r="CR26" s="274"/>
      <c r="CS26" s="19">
        <v>239590</v>
      </c>
      <c r="CT26" s="18"/>
      <c r="CU26" s="19"/>
      <c r="CV26" s="274"/>
      <c r="CW26" s="274"/>
      <c r="CX26" s="19">
        <v>317003</v>
      </c>
      <c r="CY26" s="18"/>
      <c r="CZ26" s="19"/>
      <c r="DA26" s="274"/>
      <c r="DB26" s="274"/>
      <c r="DC26" s="19">
        <v>314401</v>
      </c>
      <c r="DD26" s="18"/>
      <c r="DE26" s="19"/>
      <c r="DF26" s="274"/>
      <c r="DG26" s="274"/>
      <c r="DH26" s="19">
        <v>190970</v>
      </c>
      <c r="DI26" s="18"/>
      <c r="DJ26" s="19"/>
      <c r="DK26" s="274"/>
      <c r="DL26" s="274"/>
      <c r="DM26" s="19">
        <v>372701</v>
      </c>
      <c r="DN26" s="18"/>
      <c r="DO26" s="19"/>
      <c r="DP26" s="274"/>
      <c r="DQ26" s="274"/>
      <c r="DR26" s="19">
        <v>335950</v>
      </c>
      <c r="DS26" s="18"/>
      <c r="DT26" s="19"/>
      <c r="DU26" s="274"/>
      <c r="DV26" s="274"/>
      <c r="DW26" s="19">
        <v>245115</v>
      </c>
      <c r="DX26" s="18"/>
      <c r="DY26" s="19"/>
      <c r="DZ26" s="274"/>
      <c r="EA26" s="274"/>
      <c r="EB26" s="19">
        <v>239823</v>
      </c>
      <c r="EC26" s="18"/>
      <c r="ED26" s="19"/>
      <c r="EE26" s="274"/>
      <c r="EF26" s="274"/>
      <c r="EG26" s="19">
        <v>297490</v>
      </c>
      <c r="EH26" s="18"/>
      <c r="EI26" s="19"/>
      <c r="EJ26" s="274"/>
      <c r="EK26" s="274"/>
      <c r="EL26" s="19">
        <f t="shared" si="1"/>
        <v>3393035</v>
      </c>
      <c r="EM26" s="18"/>
      <c r="EO26" s="244"/>
      <c r="EP26" s="451"/>
      <c r="EQ26" s="451"/>
    </row>
    <row r="27" spans="4:147" x14ac:dyDescent="0.2">
      <c r="D27" s="244" t="s">
        <v>423</v>
      </c>
      <c r="E27" s="82"/>
      <c r="F27" s="276"/>
      <c r="G27" s="37">
        <v>0</v>
      </c>
      <c r="H27" s="36"/>
      <c r="I27" s="19"/>
      <c r="J27" s="274"/>
      <c r="K27" s="231"/>
      <c r="L27" s="37">
        <v>0</v>
      </c>
      <c r="M27" s="36"/>
      <c r="N27" s="19"/>
      <c r="O27" s="274"/>
      <c r="P27" s="231"/>
      <c r="Q27" s="37">
        <v>0</v>
      </c>
      <c r="R27" s="36"/>
      <c r="S27" s="19"/>
      <c r="T27" s="274"/>
      <c r="U27" s="231"/>
      <c r="V27" s="37">
        <v>0</v>
      </c>
      <c r="W27" s="36"/>
      <c r="X27" s="19"/>
      <c r="Y27" s="274"/>
      <c r="Z27" s="231"/>
      <c r="AA27" s="37">
        <v>0</v>
      </c>
      <c r="AB27" s="36"/>
      <c r="AC27" s="19"/>
      <c r="AD27" s="274"/>
      <c r="AE27" s="231"/>
      <c r="AF27" s="37">
        <v>0</v>
      </c>
      <c r="AG27" s="36"/>
      <c r="AH27" s="19"/>
      <c r="AI27" s="274"/>
      <c r="AJ27" s="231"/>
      <c r="AK27" s="37">
        <v>0</v>
      </c>
      <c r="AL27" s="36"/>
      <c r="AM27" s="19"/>
      <c r="AN27" s="274"/>
      <c r="AO27" s="231"/>
      <c r="AP27" s="37">
        <v>0</v>
      </c>
      <c r="AQ27" s="36"/>
      <c r="AR27" s="19"/>
      <c r="AS27" s="274"/>
      <c r="AT27" s="231"/>
      <c r="AU27" s="37">
        <v>0</v>
      </c>
      <c r="AV27" s="36"/>
      <c r="AW27" s="19"/>
      <c r="AX27" s="274"/>
      <c r="AY27" s="231"/>
      <c r="AZ27" s="37">
        <v>0</v>
      </c>
      <c r="BA27" s="36"/>
      <c r="BB27" s="19"/>
      <c r="BC27" s="274"/>
      <c r="BD27" s="231"/>
      <c r="BE27" s="37">
        <v>0</v>
      </c>
      <c r="BF27" s="36"/>
      <c r="BG27" s="19"/>
      <c r="BH27" s="274"/>
      <c r="BI27" s="231"/>
      <c r="BJ27" s="37">
        <v>0</v>
      </c>
      <c r="BK27" s="36"/>
      <c r="BL27" s="19"/>
      <c r="BM27" s="274"/>
      <c r="BN27" s="231"/>
      <c r="BO27" s="37">
        <v>0</v>
      </c>
      <c r="BP27" s="36"/>
      <c r="BQ27" s="19"/>
      <c r="BR27" s="274"/>
      <c r="BS27" s="231"/>
      <c r="BT27" s="37">
        <f t="shared" si="0"/>
        <v>0</v>
      </c>
      <c r="BU27" s="36"/>
      <c r="BV27" s="19"/>
      <c r="BW27" s="274"/>
      <c r="BX27" s="231"/>
      <c r="BY27" s="37">
        <v>4</v>
      </c>
      <c r="BZ27" s="36"/>
      <c r="CA27" s="19"/>
      <c r="CB27" s="274"/>
      <c r="CC27" s="231"/>
      <c r="CD27" s="37">
        <v>4</v>
      </c>
      <c r="CE27" s="36"/>
      <c r="CF27" s="19"/>
      <c r="CG27" s="274"/>
      <c r="CH27" s="231"/>
      <c r="CI27" s="37">
        <v>0</v>
      </c>
      <c r="CJ27" s="36"/>
      <c r="CK27" s="19"/>
      <c r="CL27" s="274"/>
      <c r="CM27" s="231"/>
      <c r="CN27" s="37">
        <v>0</v>
      </c>
      <c r="CO27" s="36"/>
      <c r="CP27" s="19"/>
      <c r="CQ27" s="274"/>
      <c r="CR27" s="231"/>
      <c r="CS27" s="37">
        <v>0</v>
      </c>
      <c r="CT27" s="36"/>
      <c r="CU27" s="19"/>
      <c r="CV27" s="274"/>
      <c r="CW27" s="231"/>
      <c r="CX27" s="37">
        <v>0</v>
      </c>
      <c r="CY27" s="36"/>
      <c r="CZ27" s="19"/>
      <c r="DA27" s="274"/>
      <c r="DB27" s="231"/>
      <c r="DC27" s="37">
        <v>0</v>
      </c>
      <c r="DD27" s="36"/>
      <c r="DE27" s="19"/>
      <c r="DF27" s="274"/>
      <c r="DG27" s="231"/>
      <c r="DH27" s="37">
        <v>0</v>
      </c>
      <c r="DI27" s="36"/>
      <c r="DJ27" s="19"/>
      <c r="DK27" s="274"/>
      <c r="DL27" s="231"/>
      <c r="DM27" s="37">
        <v>0</v>
      </c>
      <c r="DN27" s="36"/>
      <c r="DO27" s="19"/>
      <c r="DP27" s="274"/>
      <c r="DQ27" s="231"/>
      <c r="DR27" s="37">
        <v>0</v>
      </c>
      <c r="DS27" s="36"/>
      <c r="DT27" s="19"/>
      <c r="DU27" s="274"/>
      <c r="DV27" s="231"/>
      <c r="DW27" s="37">
        <v>0</v>
      </c>
      <c r="DX27" s="36"/>
      <c r="DY27" s="19"/>
      <c r="DZ27" s="274"/>
      <c r="EA27" s="231"/>
      <c r="EB27" s="37">
        <v>0</v>
      </c>
      <c r="EC27" s="36"/>
      <c r="ED27" s="19"/>
      <c r="EE27" s="274"/>
      <c r="EF27" s="231"/>
      <c r="EG27" s="37">
        <v>0</v>
      </c>
      <c r="EH27" s="36"/>
      <c r="EI27" s="19"/>
      <c r="EJ27" s="274"/>
      <c r="EK27" s="231"/>
      <c r="EL27" s="37">
        <f t="shared" si="1"/>
        <v>4</v>
      </c>
      <c r="EM27" s="36"/>
      <c r="EO27" s="244"/>
      <c r="EP27" s="451"/>
      <c r="EQ27" s="451"/>
    </row>
    <row r="28" spans="4:147" ht="12.75" hidden="1" customHeight="1" x14ac:dyDescent="0.2">
      <c r="D28" s="244" t="s">
        <v>424</v>
      </c>
      <c r="E28" s="82"/>
      <c r="F28" s="276"/>
      <c r="G28" s="37">
        <v>0</v>
      </c>
      <c r="H28" s="36"/>
      <c r="I28" s="19"/>
      <c r="J28" s="274"/>
      <c r="K28" s="231"/>
      <c r="L28" s="37">
        <v>0</v>
      </c>
      <c r="M28" s="36"/>
      <c r="N28" s="19"/>
      <c r="O28" s="274"/>
      <c r="P28" s="231"/>
      <c r="Q28" s="37">
        <v>0</v>
      </c>
      <c r="R28" s="36"/>
      <c r="S28" s="19"/>
      <c r="T28" s="274"/>
      <c r="U28" s="231"/>
      <c r="V28" s="37">
        <v>0</v>
      </c>
      <c r="W28" s="36"/>
      <c r="X28" s="19"/>
      <c r="Y28" s="274"/>
      <c r="Z28" s="231"/>
      <c r="AA28" s="37">
        <v>0</v>
      </c>
      <c r="AB28" s="36"/>
      <c r="AC28" s="19"/>
      <c r="AD28" s="274"/>
      <c r="AE28" s="231"/>
      <c r="AF28" s="37">
        <v>0</v>
      </c>
      <c r="AG28" s="36"/>
      <c r="AH28" s="19"/>
      <c r="AI28" s="274"/>
      <c r="AJ28" s="231"/>
      <c r="AK28" s="37">
        <v>0</v>
      </c>
      <c r="AL28" s="36"/>
      <c r="AM28" s="19"/>
      <c r="AN28" s="274"/>
      <c r="AO28" s="231"/>
      <c r="AP28" s="37">
        <v>0</v>
      </c>
      <c r="AQ28" s="36"/>
      <c r="AR28" s="19"/>
      <c r="AS28" s="274"/>
      <c r="AT28" s="231"/>
      <c r="AU28" s="37">
        <v>0</v>
      </c>
      <c r="AV28" s="36"/>
      <c r="AW28" s="19"/>
      <c r="AX28" s="274"/>
      <c r="AY28" s="231"/>
      <c r="AZ28" s="37">
        <v>0</v>
      </c>
      <c r="BA28" s="36"/>
      <c r="BB28" s="19"/>
      <c r="BC28" s="274"/>
      <c r="BD28" s="231"/>
      <c r="BE28" s="37">
        <v>0</v>
      </c>
      <c r="BF28" s="36"/>
      <c r="BG28" s="19"/>
      <c r="BH28" s="274"/>
      <c r="BI28" s="231"/>
      <c r="BJ28" s="37">
        <v>0</v>
      </c>
      <c r="BK28" s="36"/>
      <c r="BL28" s="19"/>
      <c r="BM28" s="274"/>
      <c r="BN28" s="231"/>
      <c r="BO28" s="37">
        <v>0</v>
      </c>
      <c r="BP28" s="36"/>
      <c r="BQ28" s="19"/>
      <c r="BR28" s="274"/>
      <c r="BS28" s="231"/>
      <c r="BT28" s="37">
        <f t="shared" si="0"/>
        <v>0</v>
      </c>
      <c r="BU28" s="36"/>
      <c r="BV28" s="19"/>
      <c r="BW28" s="274"/>
      <c r="BX28" s="231"/>
      <c r="BY28" s="37">
        <f>SUM(Q28:BT28)</f>
        <v>0</v>
      </c>
      <c r="BZ28" s="36"/>
      <c r="CA28" s="19"/>
      <c r="CB28" s="274"/>
      <c r="CC28" s="231"/>
      <c r="CD28" s="37">
        <v>0</v>
      </c>
      <c r="CE28" s="36"/>
      <c r="CF28" s="19"/>
      <c r="CG28" s="274"/>
      <c r="CH28" s="231"/>
      <c r="CI28" s="37">
        <v>0</v>
      </c>
      <c r="CJ28" s="36"/>
      <c r="CK28" s="19"/>
      <c r="CL28" s="274"/>
      <c r="CM28" s="231"/>
      <c r="CN28" s="37">
        <v>0</v>
      </c>
      <c r="CO28" s="36"/>
      <c r="CP28" s="19"/>
      <c r="CQ28" s="274"/>
      <c r="CR28" s="231"/>
      <c r="CS28" s="37">
        <v>0</v>
      </c>
      <c r="CT28" s="36"/>
      <c r="CU28" s="19"/>
      <c r="CV28" s="274"/>
      <c r="CW28" s="231"/>
      <c r="CX28" s="37">
        <v>0</v>
      </c>
      <c r="CY28" s="36"/>
      <c r="CZ28" s="19"/>
      <c r="DA28" s="274"/>
      <c r="DB28" s="231"/>
      <c r="DC28" s="37">
        <v>0</v>
      </c>
      <c r="DD28" s="36"/>
      <c r="DE28" s="19"/>
      <c r="DF28" s="274"/>
      <c r="DG28" s="231"/>
      <c r="DH28" s="37">
        <v>0</v>
      </c>
      <c r="DI28" s="36"/>
      <c r="DJ28" s="19"/>
      <c r="DK28" s="274"/>
      <c r="DL28" s="231"/>
      <c r="DM28" s="37">
        <v>0</v>
      </c>
      <c r="DN28" s="36"/>
      <c r="DO28" s="19"/>
      <c r="DP28" s="274"/>
      <c r="DQ28" s="231"/>
      <c r="DR28" s="37">
        <v>0</v>
      </c>
      <c r="DS28" s="36"/>
      <c r="DT28" s="19"/>
      <c r="DU28" s="274"/>
      <c r="DV28" s="231"/>
      <c r="DW28" s="37">
        <v>0</v>
      </c>
      <c r="DX28" s="36"/>
      <c r="DY28" s="19"/>
      <c r="DZ28" s="274"/>
      <c r="EA28" s="231"/>
      <c r="EB28" s="37">
        <v>0</v>
      </c>
      <c r="EC28" s="36"/>
      <c r="ED28" s="19"/>
      <c r="EE28" s="274"/>
      <c r="EF28" s="231"/>
      <c r="EG28" s="37">
        <v>0</v>
      </c>
      <c r="EH28" s="36"/>
      <c r="EI28" s="19"/>
      <c r="EJ28" s="274"/>
      <c r="EK28" s="231"/>
      <c r="EL28" s="37">
        <f>SUM(CD28:EG28)</f>
        <v>0</v>
      </c>
      <c r="EM28" s="158"/>
      <c r="EO28" s="244"/>
      <c r="EP28" s="451"/>
      <c r="EQ28" s="451"/>
    </row>
    <row r="29" spans="4:147" x14ac:dyDescent="0.2">
      <c r="D29" s="244"/>
      <c r="E29" s="82"/>
      <c r="G29" s="19"/>
      <c r="H29" s="19"/>
      <c r="I29" s="19"/>
      <c r="J29" s="274"/>
      <c r="K29" s="19"/>
      <c r="L29" s="19"/>
      <c r="M29" s="19"/>
      <c r="N29" s="19"/>
      <c r="O29" s="274"/>
      <c r="P29" s="19"/>
      <c r="Q29" s="19"/>
      <c r="R29" s="19"/>
      <c r="S29" s="19"/>
      <c r="T29" s="274"/>
      <c r="U29" s="19"/>
      <c r="V29" s="19"/>
      <c r="W29" s="19"/>
      <c r="X29" s="19"/>
      <c r="Y29" s="274"/>
      <c r="Z29" s="19"/>
      <c r="AA29" s="19"/>
      <c r="AB29" s="19"/>
      <c r="AC29" s="19"/>
      <c r="AD29" s="274"/>
      <c r="AE29" s="19"/>
      <c r="AF29" s="19"/>
      <c r="AG29" s="19"/>
      <c r="AH29" s="19"/>
      <c r="AI29" s="274"/>
      <c r="AJ29" s="19"/>
      <c r="AK29" s="19"/>
      <c r="AL29" s="19"/>
      <c r="AM29" s="19"/>
      <c r="AN29" s="274"/>
      <c r="AO29" s="19"/>
      <c r="AP29" s="19"/>
      <c r="AQ29" s="19"/>
      <c r="AR29" s="19"/>
      <c r="AS29" s="274"/>
      <c r="AT29" s="19"/>
      <c r="AU29" s="19"/>
      <c r="AV29" s="19"/>
      <c r="AW29" s="19"/>
      <c r="AX29" s="274"/>
      <c r="AY29" s="19"/>
      <c r="AZ29" s="19"/>
      <c r="BA29" s="19"/>
      <c r="BB29" s="19"/>
      <c r="BC29" s="274"/>
      <c r="BD29" s="19"/>
      <c r="BE29" s="19"/>
      <c r="BF29" s="19"/>
      <c r="BG29" s="19"/>
      <c r="BH29" s="274"/>
      <c r="BI29" s="19"/>
      <c r="BJ29" s="19"/>
      <c r="BK29" s="19"/>
      <c r="BL29" s="19"/>
      <c r="BM29" s="274"/>
      <c r="BN29" s="19"/>
      <c r="BO29" s="19"/>
      <c r="BP29" s="19"/>
      <c r="BQ29" s="19"/>
      <c r="BR29" s="274"/>
      <c r="BS29" s="19"/>
      <c r="BT29" s="19"/>
      <c r="BU29" s="19"/>
      <c r="BV29" s="19"/>
      <c r="BW29" s="274"/>
      <c r="BX29" s="19"/>
      <c r="BY29" s="19"/>
      <c r="BZ29" s="19"/>
      <c r="CA29" s="19"/>
      <c r="CB29" s="274"/>
      <c r="CC29" s="19"/>
      <c r="CD29" s="19"/>
      <c r="CE29" s="19"/>
      <c r="CF29" s="19"/>
      <c r="CG29" s="274"/>
      <c r="CH29" s="19"/>
      <c r="CI29" s="19"/>
      <c r="CJ29" s="19"/>
      <c r="CK29" s="19"/>
      <c r="CL29" s="274"/>
      <c r="CM29" s="19"/>
      <c r="CN29" s="19"/>
      <c r="CO29" s="19"/>
      <c r="CP29" s="19"/>
      <c r="CQ29" s="274"/>
      <c r="CR29" s="19"/>
      <c r="CS29" s="19"/>
      <c r="CT29" s="19"/>
      <c r="CU29" s="19"/>
      <c r="CV29" s="274"/>
      <c r="CW29" s="19"/>
      <c r="CX29" s="19"/>
      <c r="CY29" s="19"/>
      <c r="CZ29" s="19"/>
      <c r="DA29" s="274"/>
      <c r="DB29" s="19"/>
      <c r="DC29" s="19"/>
      <c r="DD29" s="19"/>
      <c r="DE29" s="19"/>
      <c r="DF29" s="274"/>
      <c r="DG29" s="19"/>
      <c r="DH29" s="19"/>
      <c r="DI29" s="19"/>
      <c r="DJ29" s="19"/>
      <c r="DK29" s="274"/>
      <c r="DL29" s="19"/>
      <c r="DM29" s="19"/>
      <c r="DN29" s="19"/>
      <c r="DO29" s="19"/>
      <c r="DP29" s="274"/>
      <c r="DQ29" s="19"/>
      <c r="DR29" s="19"/>
      <c r="DS29" s="19"/>
      <c r="DT29" s="19"/>
      <c r="DU29" s="274"/>
      <c r="DV29" s="19"/>
      <c r="DW29" s="19"/>
      <c r="DX29" s="19"/>
      <c r="DY29" s="19"/>
      <c r="DZ29" s="274"/>
      <c r="EA29" s="19"/>
      <c r="EB29" s="19"/>
      <c r="EC29" s="19"/>
      <c r="ED29" s="19"/>
      <c r="EE29" s="274"/>
      <c r="EF29" s="19"/>
      <c r="EG29" s="19"/>
      <c r="EH29" s="19"/>
      <c r="EI29" s="19"/>
      <c r="EJ29" s="274"/>
      <c r="EK29" s="19"/>
      <c r="EL29" s="19"/>
      <c r="EO29" s="244"/>
      <c r="EP29" s="451"/>
      <c r="EQ29" s="451"/>
    </row>
    <row r="30" spans="4:147" s="451" customFormat="1" x14ac:dyDescent="0.2">
      <c r="D30" s="484" t="s">
        <v>425</v>
      </c>
      <c r="E30" s="138"/>
      <c r="G30" s="14">
        <f>SUM(G31:G33)</f>
        <v>4880000</v>
      </c>
      <c r="H30" s="14"/>
      <c r="I30" s="14"/>
      <c r="J30" s="422"/>
      <c r="K30" s="14"/>
      <c r="L30" s="14">
        <f>SUM(L31:L33)</f>
        <v>0</v>
      </c>
      <c r="M30" s="14"/>
      <c r="N30" s="14"/>
      <c r="O30" s="422"/>
      <c r="P30" s="14"/>
      <c r="Q30" s="14">
        <f>SUM(Q31:Q33)</f>
        <v>0</v>
      </c>
      <c r="R30" s="14"/>
      <c r="S30" s="14"/>
      <c r="T30" s="422"/>
      <c r="U30" s="14"/>
      <c r="V30" s="14">
        <f>SUM(V31:V33)</f>
        <v>0</v>
      </c>
      <c r="W30" s="14"/>
      <c r="X30" s="14"/>
      <c r="Y30" s="422"/>
      <c r="Z30" s="14"/>
      <c r="AA30" s="14">
        <f>SUM(AA31:AA33)</f>
        <v>0</v>
      </c>
      <c r="AB30" s="14"/>
      <c r="AC30" s="14"/>
      <c r="AD30" s="422"/>
      <c r="AE30" s="14"/>
      <c r="AF30" s="14">
        <f>SUM(AF31:AF33)</f>
        <v>0</v>
      </c>
      <c r="AG30" s="14"/>
      <c r="AH30" s="14"/>
      <c r="AI30" s="422"/>
      <c r="AJ30" s="14"/>
      <c r="AK30" s="14">
        <f>SUM(AK31:AK33)</f>
        <v>0</v>
      </c>
      <c r="AL30" s="14"/>
      <c r="AM30" s="14"/>
      <c r="AN30" s="422"/>
      <c r="AO30" s="14"/>
      <c r="AP30" s="14">
        <f>SUM(AP31:AP33)</f>
        <v>0</v>
      </c>
      <c r="AQ30" s="14"/>
      <c r="AR30" s="14"/>
      <c r="AS30" s="422"/>
      <c r="AT30" s="14"/>
      <c r="AU30" s="14">
        <f>SUM(AU31:AU33)</f>
        <v>0</v>
      </c>
      <c r="AV30" s="14"/>
      <c r="AW30" s="14"/>
      <c r="AX30" s="422"/>
      <c r="AY30" s="14"/>
      <c r="AZ30" s="14">
        <f>SUM(AZ31:AZ33)</f>
        <v>0</v>
      </c>
      <c r="BA30" s="14"/>
      <c r="BB30" s="14"/>
      <c r="BC30" s="422"/>
      <c r="BD30" s="14"/>
      <c r="BE30" s="14">
        <f>SUM(BE31:BE33)</f>
        <v>0</v>
      </c>
      <c r="BF30" s="14"/>
      <c r="BG30" s="14"/>
      <c r="BH30" s="422"/>
      <c r="BI30" s="14"/>
      <c r="BJ30" s="14">
        <f>SUM(BJ31:BJ33)</f>
        <v>6805000</v>
      </c>
      <c r="BK30" s="14"/>
      <c r="BL30" s="14"/>
      <c r="BM30" s="422"/>
      <c r="BN30" s="14"/>
      <c r="BO30" s="14">
        <f>SUM(BO31:BO33)</f>
        <v>0</v>
      </c>
      <c r="BP30" s="14"/>
      <c r="BQ30" s="14"/>
      <c r="BR30" s="422"/>
      <c r="BS30" s="12"/>
      <c r="BT30" s="14">
        <f>SUM(BT31:BT33)</f>
        <v>6805000</v>
      </c>
      <c r="BU30" s="19"/>
      <c r="BV30" s="14"/>
      <c r="BW30" s="422"/>
      <c r="BX30" s="14"/>
      <c r="BY30" s="14">
        <f>SUM(BY31:BY33)</f>
        <v>12795000</v>
      </c>
      <c r="BZ30" s="14"/>
      <c r="CA30" s="14"/>
      <c r="CB30" s="422"/>
      <c r="CC30" s="14"/>
      <c r="CD30" s="14">
        <f>SUM(CD31:CD33)</f>
        <v>0</v>
      </c>
      <c r="CE30" s="14"/>
      <c r="CF30" s="14"/>
      <c r="CG30" s="422"/>
      <c r="CH30" s="14"/>
      <c r="CI30" s="14">
        <f>SUM(CI31:CI33)</f>
        <v>12795000</v>
      </c>
      <c r="CJ30" s="14"/>
      <c r="CK30" s="14"/>
      <c r="CL30" s="422"/>
      <c r="CM30" s="14"/>
      <c r="CN30" s="14">
        <f>SUM(CN31:CN33)</f>
        <v>0</v>
      </c>
      <c r="CO30" s="14"/>
      <c r="CP30" s="14"/>
      <c r="CQ30" s="422"/>
      <c r="CR30" s="14"/>
      <c r="CS30" s="14">
        <f>SUM(CS31:CS33)</f>
        <v>0</v>
      </c>
      <c r="CT30" s="14"/>
      <c r="CU30" s="14"/>
      <c r="CV30" s="422"/>
      <c r="CW30" s="14"/>
      <c r="CX30" s="14">
        <f>SUM(CX31:CX33)</f>
        <v>0</v>
      </c>
      <c r="CY30" s="14"/>
      <c r="CZ30" s="14"/>
      <c r="DA30" s="422"/>
      <c r="DB30" s="14"/>
      <c r="DC30" s="14">
        <f>SUM(DC31:DC33)</f>
        <v>0</v>
      </c>
      <c r="DD30" s="14"/>
      <c r="DE30" s="14"/>
      <c r="DF30" s="422"/>
      <c r="DG30" s="14"/>
      <c r="DH30" s="14">
        <f>SUM(DH31:DH33)</f>
        <v>0</v>
      </c>
      <c r="DI30" s="14"/>
      <c r="DJ30" s="14"/>
      <c r="DK30" s="422"/>
      <c r="DL30" s="14"/>
      <c r="DM30" s="14">
        <f>SUM(DM31:DM33)</f>
        <v>0</v>
      </c>
      <c r="DN30" s="14"/>
      <c r="DO30" s="14"/>
      <c r="DP30" s="422"/>
      <c r="DQ30" s="14"/>
      <c r="DR30" s="14">
        <f>SUM(DR31:DR33)</f>
        <v>0</v>
      </c>
      <c r="DS30" s="14"/>
      <c r="DT30" s="14"/>
      <c r="DU30" s="422"/>
      <c r="DV30" s="14"/>
      <c r="DW30" s="14">
        <f>SUM(DW31:DW33)</f>
        <v>0</v>
      </c>
      <c r="DX30" s="14"/>
      <c r="DY30" s="14"/>
      <c r="DZ30" s="422"/>
      <c r="EA30" s="14"/>
      <c r="EB30" s="14">
        <f>SUM(EB31:EB33)</f>
        <v>0</v>
      </c>
      <c r="EC30" s="14"/>
      <c r="ED30" s="14"/>
      <c r="EE30" s="422"/>
      <c r="EF30" s="14"/>
      <c r="EG30" s="14">
        <f>SUM(EG31:EG33)</f>
        <v>0</v>
      </c>
      <c r="EH30" s="14"/>
      <c r="EI30" s="14"/>
      <c r="EJ30" s="422"/>
      <c r="EK30" s="14"/>
      <c r="EL30" s="14">
        <f>SUM(EL31:EL33)</f>
        <v>12795000</v>
      </c>
      <c r="EO30" s="484"/>
    </row>
    <row r="31" spans="4:147" x14ac:dyDescent="0.2">
      <c r="D31" s="244" t="s">
        <v>344</v>
      </c>
      <c r="E31" s="82"/>
      <c r="F31" s="112"/>
      <c r="G31" s="374">
        <f>G36+G41+G51+G61+G46+G56</f>
        <v>4880000</v>
      </c>
      <c r="H31" s="475"/>
      <c r="I31" s="19"/>
      <c r="J31" s="274"/>
      <c r="K31" s="173"/>
      <c r="L31" s="374">
        <v>0</v>
      </c>
      <c r="M31" s="475"/>
      <c r="N31" s="19"/>
      <c r="O31" s="274"/>
      <c r="P31" s="173"/>
      <c r="Q31" s="374">
        <f>Q36+Q41+Q51+Q61+Q46+Q56</f>
        <v>0</v>
      </c>
      <c r="R31" s="475"/>
      <c r="S31" s="19"/>
      <c r="T31" s="17"/>
      <c r="U31" s="173"/>
      <c r="V31" s="374">
        <v>0</v>
      </c>
      <c r="W31" s="475"/>
      <c r="X31" s="19"/>
      <c r="Y31" s="274"/>
      <c r="Z31" s="173"/>
      <c r="AA31" s="374">
        <v>0</v>
      </c>
      <c r="AB31" s="475"/>
      <c r="AC31" s="19"/>
      <c r="AD31" s="274"/>
      <c r="AE31" s="173"/>
      <c r="AF31" s="374">
        <v>0</v>
      </c>
      <c r="AG31" s="475"/>
      <c r="AH31" s="19"/>
      <c r="AI31" s="274"/>
      <c r="AJ31" s="173"/>
      <c r="AK31" s="374">
        <v>0</v>
      </c>
      <c r="AL31" s="475"/>
      <c r="AM31" s="19"/>
      <c r="AN31" s="274"/>
      <c r="AO31" s="173"/>
      <c r="AP31" s="374">
        <v>0</v>
      </c>
      <c r="AQ31" s="475"/>
      <c r="AR31" s="19"/>
      <c r="AS31" s="274"/>
      <c r="AT31" s="173"/>
      <c r="AU31" s="374">
        <v>0</v>
      </c>
      <c r="AV31" s="475"/>
      <c r="AW31" s="19"/>
      <c r="AX31" s="274"/>
      <c r="AY31" s="173"/>
      <c r="AZ31" s="374">
        <v>0</v>
      </c>
      <c r="BA31" s="475"/>
      <c r="BB31" s="19"/>
      <c r="BC31" s="274"/>
      <c r="BD31" s="173"/>
      <c r="BE31" s="374">
        <f>BE36+BE41+BE51+BE61+BE46+BE56</f>
        <v>0</v>
      </c>
      <c r="BF31" s="475"/>
      <c r="BG31" s="19"/>
      <c r="BH31" s="274"/>
      <c r="BI31" s="173"/>
      <c r="BJ31" s="374">
        <f>BJ36+BJ41+BJ51+BJ61+BJ46+BJ56</f>
        <v>6805000</v>
      </c>
      <c r="BK31" s="475"/>
      <c r="BL31" s="19"/>
      <c r="BM31" s="274"/>
      <c r="BN31" s="173"/>
      <c r="BO31" s="374">
        <v>0</v>
      </c>
      <c r="BP31" s="475"/>
      <c r="BQ31" s="19"/>
      <c r="BR31" s="274"/>
      <c r="BS31" s="112"/>
      <c r="BT31" s="374">
        <f>BT36+BT41+BT51+BT61+BT46+BT56</f>
        <v>6805000</v>
      </c>
      <c r="BU31" s="475"/>
      <c r="BV31" s="19"/>
      <c r="BW31" s="274"/>
      <c r="BX31" s="173"/>
      <c r="BY31" s="374">
        <f>BY36+BY41+BY51+BY61+BY46+BY56</f>
        <v>12795000</v>
      </c>
      <c r="BZ31" s="475"/>
      <c r="CA31" s="19"/>
      <c r="CB31" s="274"/>
      <c r="CC31" s="173"/>
      <c r="CD31" s="374">
        <v>0</v>
      </c>
      <c r="CE31" s="475"/>
      <c r="CF31" s="19"/>
      <c r="CG31" s="274"/>
      <c r="CH31" s="173"/>
      <c r="CI31" s="374">
        <f>CI36+CI41+CI51+CI61+CI46+CI56</f>
        <v>12795000</v>
      </c>
      <c r="CJ31" s="475"/>
      <c r="CK31" s="19"/>
      <c r="CL31" s="17"/>
      <c r="CM31" s="173"/>
      <c r="CN31" s="374">
        <v>0</v>
      </c>
      <c r="CO31" s="475"/>
      <c r="CP31" s="19"/>
      <c r="CQ31" s="274"/>
      <c r="CR31" s="173"/>
      <c r="CS31" s="374">
        <v>0</v>
      </c>
      <c r="CT31" s="475"/>
      <c r="CU31" s="19"/>
      <c r="CV31" s="274"/>
      <c r="CW31" s="173"/>
      <c r="CX31" s="374">
        <v>0</v>
      </c>
      <c r="CY31" s="475"/>
      <c r="CZ31" s="19"/>
      <c r="DA31" s="274"/>
      <c r="DB31" s="173"/>
      <c r="DC31" s="374">
        <v>0</v>
      </c>
      <c r="DD31" s="475"/>
      <c r="DE31" s="19"/>
      <c r="DF31" s="274"/>
      <c r="DG31" s="173"/>
      <c r="DH31" s="374">
        <v>0</v>
      </c>
      <c r="DI31" s="475"/>
      <c r="DJ31" s="19"/>
      <c r="DK31" s="274"/>
      <c r="DL31" s="173"/>
      <c r="DM31" s="374">
        <v>0</v>
      </c>
      <c r="DN31" s="475"/>
      <c r="DO31" s="19"/>
      <c r="DP31" s="274"/>
      <c r="DQ31" s="173"/>
      <c r="DR31" s="374">
        <v>0</v>
      </c>
      <c r="DS31" s="475"/>
      <c r="DT31" s="19"/>
      <c r="DU31" s="274"/>
      <c r="DV31" s="173"/>
      <c r="DW31" s="374">
        <v>0</v>
      </c>
      <c r="DX31" s="475"/>
      <c r="DY31" s="19"/>
      <c r="DZ31" s="274"/>
      <c r="EA31" s="173"/>
      <c r="EB31" s="374">
        <f>EB36+EB41+EB51+EB61+EB46+EB56</f>
        <v>0</v>
      </c>
      <c r="EC31" s="475"/>
      <c r="ED31" s="19"/>
      <c r="EE31" s="274"/>
      <c r="EF31" s="173"/>
      <c r="EG31" s="374">
        <v>0</v>
      </c>
      <c r="EH31" s="475"/>
      <c r="EI31" s="19"/>
      <c r="EJ31" s="274"/>
      <c r="EK31" s="173"/>
      <c r="EL31" s="374">
        <f>EL36+EL41+EL51+EL61+EL46+EL56</f>
        <v>12795000</v>
      </c>
      <c r="EM31" s="297"/>
      <c r="EO31" s="244"/>
      <c r="EP31" s="451"/>
      <c r="EQ31" s="451"/>
    </row>
    <row r="32" spans="4:147" x14ac:dyDescent="0.2">
      <c r="D32" s="244" t="s">
        <v>426</v>
      </c>
      <c r="E32" s="82"/>
      <c r="F32" s="82"/>
      <c r="G32" s="19">
        <v>0</v>
      </c>
      <c r="H32" s="18"/>
      <c r="I32" s="19"/>
      <c r="J32" s="274"/>
      <c r="K32" s="274"/>
      <c r="L32" s="19">
        <v>0</v>
      </c>
      <c r="M32" s="18"/>
      <c r="N32" s="19"/>
      <c r="O32" s="274"/>
      <c r="P32" s="274"/>
      <c r="Q32" s="19">
        <v>0</v>
      </c>
      <c r="R32" s="18"/>
      <c r="S32" s="19"/>
      <c r="T32" s="17"/>
      <c r="U32" s="274"/>
      <c r="V32" s="19">
        <v>0</v>
      </c>
      <c r="W32" s="18"/>
      <c r="X32" s="19"/>
      <c r="Y32" s="274"/>
      <c r="Z32" s="274"/>
      <c r="AA32" s="19">
        <v>0</v>
      </c>
      <c r="AB32" s="18"/>
      <c r="AC32" s="19"/>
      <c r="AD32" s="274"/>
      <c r="AE32" s="274"/>
      <c r="AF32" s="19">
        <v>0</v>
      </c>
      <c r="AG32" s="18"/>
      <c r="AH32" s="19"/>
      <c r="AI32" s="274"/>
      <c r="AJ32" s="274"/>
      <c r="AK32" s="19">
        <v>0</v>
      </c>
      <c r="AL32" s="18"/>
      <c r="AM32" s="19"/>
      <c r="AN32" s="274"/>
      <c r="AO32" s="274"/>
      <c r="AP32" s="19">
        <v>0</v>
      </c>
      <c r="AQ32" s="18"/>
      <c r="AR32" s="19"/>
      <c r="AS32" s="274"/>
      <c r="AT32" s="274"/>
      <c r="AU32" s="19">
        <v>0</v>
      </c>
      <c r="AV32" s="18"/>
      <c r="AW32" s="19"/>
      <c r="AX32" s="274"/>
      <c r="AY32" s="274"/>
      <c r="AZ32" s="19">
        <v>0</v>
      </c>
      <c r="BA32" s="18"/>
      <c r="BB32" s="19"/>
      <c r="BC32" s="274"/>
      <c r="BD32" s="274"/>
      <c r="BE32" s="19">
        <v>0</v>
      </c>
      <c r="BF32" s="18"/>
      <c r="BG32" s="19"/>
      <c r="BH32" s="274"/>
      <c r="BI32" s="274"/>
      <c r="BJ32" s="19">
        <f>BJ37+BJ42+BJ52+BJ62+BJ47+BJ57</f>
        <v>0</v>
      </c>
      <c r="BK32" s="18"/>
      <c r="BL32" s="19"/>
      <c r="BM32" s="274"/>
      <c r="BN32" s="274"/>
      <c r="BO32" s="19">
        <v>0</v>
      </c>
      <c r="BP32" s="18"/>
      <c r="BQ32" s="19"/>
      <c r="BR32" s="274"/>
      <c r="BS32" s="82"/>
      <c r="BT32" s="19">
        <f>BT37+BT42+BT52+BT62+BT47+BT57</f>
        <v>0</v>
      </c>
      <c r="BU32" s="18"/>
      <c r="BV32" s="19"/>
      <c r="BW32" s="274"/>
      <c r="BX32" s="274"/>
      <c r="BY32" s="19">
        <f>BY37+BY42+BY52+BY62+BY47+BY57</f>
        <v>0</v>
      </c>
      <c r="BZ32" s="18"/>
      <c r="CA32" s="19"/>
      <c r="CB32" s="274"/>
      <c r="CC32" s="274"/>
      <c r="CD32" s="19">
        <v>0</v>
      </c>
      <c r="CE32" s="18"/>
      <c r="CF32" s="19"/>
      <c r="CG32" s="274"/>
      <c r="CH32" s="274"/>
      <c r="CI32" s="19">
        <v>0</v>
      </c>
      <c r="CJ32" s="18"/>
      <c r="CK32" s="19"/>
      <c r="CL32" s="17"/>
      <c r="CM32" s="274"/>
      <c r="CN32" s="19">
        <v>0</v>
      </c>
      <c r="CO32" s="18"/>
      <c r="CP32" s="19"/>
      <c r="CQ32" s="274"/>
      <c r="CR32" s="274"/>
      <c r="CS32" s="19">
        <v>0</v>
      </c>
      <c r="CT32" s="18"/>
      <c r="CU32" s="19"/>
      <c r="CV32" s="274"/>
      <c r="CW32" s="274"/>
      <c r="CX32" s="19">
        <v>0</v>
      </c>
      <c r="CY32" s="18"/>
      <c r="CZ32" s="19"/>
      <c r="DA32" s="274"/>
      <c r="DB32" s="274"/>
      <c r="DC32" s="19">
        <v>0</v>
      </c>
      <c r="DD32" s="18"/>
      <c r="DE32" s="19"/>
      <c r="DF32" s="274"/>
      <c r="DG32" s="274"/>
      <c r="DH32" s="19">
        <v>0</v>
      </c>
      <c r="DI32" s="18"/>
      <c r="DJ32" s="19"/>
      <c r="DK32" s="274"/>
      <c r="DL32" s="274"/>
      <c r="DM32" s="19">
        <v>0</v>
      </c>
      <c r="DN32" s="18"/>
      <c r="DO32" s="19"/>
      <c r="DP32" s="274"/>
      <c r="DQ32" s="274"/>
      <c r="DR32" s="19">
        <v>0</v>
      </c>
      <c r="DS32" s="18"/>
      <c r="DT32" s="19"/>
      <c r="DU32" s="274"/>
      <c r="DV32" s="274"/>
      <c r="DW32" s="19">
        <v>0</v>
      </c>
      <c r="DX32" s="18"/>
      <c r="DY32" s="19"/>
      <c r="DZ32" s="274"/>
      <c r="EA32" s="274"/>
      <c r="EB32" s="19">
        <v>0</v>
      </c>
      <c r="EC32" s="18"/>
      <c r="ED32" s="19"/>
      <c r="EE32" s="274"/>
      <c r="EF32" s="274"/>
      <c r="EG32" s="19">
        <v>0</v>
      </c>
      <c r="EH32" s="18"/>
      <c r="EI32" s="19"/>
      <c r="EJ32" s="274"/>
      <c r="EK32" s="274"/>
      <c r="EL32" s="19">
        <f>EL37+EL42+EL52+EL62+EL47+EL57</f>
        <v>0</v>
      </c>
      <c r="EM32" s="375"/>
      <c r="EO32" s="244"/>
      <c r="EP32" s="451"/>
      <c r="EQ32" s="451"/>
    </row>
    <row r="33" spans="4:147" x14ac:dyDescent="0.2">
      <c r="D33" s="244" t="s">
        <v>427</v>
      </c>
      <c r="E33" s="82"/>
      <c r="F33" s="276"/>
      <c r="G33" s="37">
        <v>0</v>
      </c>
      <c r="H33" s="36"/>
      <c r="I33" s="19"/>
      <c r="J33" s="274"/>
      <c r="K33" s="231"/>
      <c r="L33" s="37">
        <v>0</v>
      </c>
      <c r="M33" s="36"/>
      <c r="N33" s="19"/>
      <c r="O33" s="274"/>
      <c r="P33" s="231"/>
      <c r="Q33" s="37">
        <v>0</v>
      </c>
      <c r="R33" s="36"/>
      <c r="S33" s="19"/>
      <c r="T33" s="17"/>
      <c r="U33" s="231"/>
      <c r="V33" s="37">
        <v>0</v>
      </c>
      <c r="W33" s="36"/>
      <c r="X33" s="19"/>
      <c r="Y33" s="274"/>
      <c r="Z33" s="231"/>
      <c r="AA33" s="37">
        <v>0</v>
      </c>
      <c r="AB33" s="36"/>
      <c r="AC33" s="19"/>
      <c r="AD33" s="274"/>
      <c r="AE33" s="231"/>
      <c r="AF33" s="37">
        <v>0</v>
      </c>
      <c r="AG33" s="36"/>
      <c r="AH33" s="19"/>
      <c r="AI33" s="274"/>
      <c r="AJ33" s="231"/>
      <c r="AK33" s="37">
        <v>0</v>
      </c>
      <c r="AL33" s="36"/>
      <c r="AM33" s="19"/>
      <c r="AN33" s="274"/>
      <c r="AO33" s="231"/>
      <c r="AP33" s="37">
        <v>0</v>
      </c>
      <c r="AQ33" s="36"/>
      <c r="AR33" s="19"/>
      <c r="AS33" s="274"/>
      <c r="AT33" s="231"/>
      <c r="AU33" s="37">
        <v>0</v>
      </c>
      <c r="AV33" s="36"/>
      <c r="AW33" s="19"/>
      <c r="AX33" s="274"/>
      <c r="AY33" s="231"/>
      <c r="AZ33" s="37">
        <v>0</v>
      </c>
      <c r="BA33" s="36"/>
      <c r="BB33" s="19"/>
      <c r="BC33" s="274"/>
      <c r="BD33" s="231"/>
      <c r="BE33" s="37">
        <v>0</v>
      </c>
      <c r="BF33" s="36"/>
      <c r="BG33" s="19"/>
      <c r="BH33" s="274"/>
      <c r="BI33" s="231"/>
      <c r="BJ33" s="37">
        <f>BJ38+BJ43+BJ53+BJ63+BJ48+BJ58</f>
        <v>0</v>
      </c>
      <c r="BK33" s="36"/>
      <c r="BL33" s="19"/>
      <c r="BM33" s="274"/>
      <c r="BN33" s="231"/>
      <c r="BO33" s="37">
        <v>0</v>
      </c>
      <c r="BP33" s="36"/>
      <c r="BQ33" s="19"/>
      <c r="BR33" s="274"/>
      <c r="BS33" s="276"/>
      <c r="BT33" s="37">
        <f>BT38+BT43+BT53+BT63+BT48+BT58</f>
        <v>0</v>
      </c>
      <c r="BU33" s="36"/>
      <c r="BV33" s="19"/>
      <c r="BW33" s="274"/>
      <c r="BX33" s="231"/>
      <c r="BY33" s="37">
        <f>BY38+BY43+BY53+BY63+BY48+BY58</f>
        <v>0</v>
      </c>
      <c r="BZ33" s="36"/>
      <c r="CA33" s="19"/>
      <c r="CB33" s="274"/>
      <c r="CC33" s="231"/>
      <c r="CD33" s="37">
        <v>0</v>
      </c>
      <c r="CE33" s="36"/>
      <c r="CF33" s="19"/>
      <c r="CG33" s="274"/>
      <c r="CH33" s="231"/>
      <c r="CI33" s="37">
        <v>0</v>
      </c>
      <c r="CJ33" s="36"/>
      <c r="CK33" s="19"/>
      <c r="CL33" s="17"/>
      <c r="CM33" s="231"/>
      <c r="CN33" s="37">
        <v>0</v>
      </c>
      <c r="CO33" s="36"/>
      <c r="CP33" s="19"/>
      <c r="CQ33" s="274"/>
      <c r="CR33" s="231"/>
      <c r="CS33" s="37">
        <v>0</v>
      </c>
      <c r="CT33" s="36"/>
      <c r="CU33" s="19"/>
      <c r="CV33" s="274"/>
      <c r="CW33" s="231"/>
      <c r="CX33" s="37">
        <v>0</v>
      </c>
      <c r="CY33" s="36"/>
      <c r="CZ33" s="19"/>
      <c r="DA33" s="274"/>
      <c r="DB33" s="231"/>
      <c r="DC33" s="37">
        <v>0</v>
      </c>
      <c r="DD33" s="36"/>
      <c r="DE33" s="19"/>
      <c r="DF33" s="274"/>
      <c r="DG33" s="231"/>
      <c r="DH33" s="37">
        <v>0</v>
      </c>
      <c r="DI33" s="36"/>
      <c r="DJ33" s="19"/>
      <c r="DK33" s="274"/>
      <c r="DL33" s="231"/>
      <c r="DM33" s="37">
        <v>0</v>
      </c>
      <c r="DN33" s="36"/>
      <c r="DO33" s="19"/>
      <c r="DP33" s="274"/>
      <c r="DQ33" s="231"/>
      <c r="DR33" s="37">
        <v>0</v>
      </c>
      <c r="DS33" s="36"/>
      <c r="DT33" s="19"/>
      <c r="DU33" s="274"/>
      <c r="DV33" s="231"/>
      <c r="DW33" s="37">
        <v>0</v>
      </c>
      <c r="DX33" s="36"/>
      <c r="DY33" s="19"/>
      <c r="DZ33" s="274"/>
      <c r="EA33" s="231"/>
      <c r="EB33" s="37">
        <v>0</v>
      </c>
      <c r="EC33" s="36"/>
      <c r="ED33" s="19"/>
      <c r="EE33" s="274"/>
      <c r="EF33" s="231"/>
      <c r="EG33" s="37">
        <v>0</v>
      </c>
      <c r="EH33" s="36"/>
      <c r="EI33" s="19"/>
      <c r="EJ33" s="274"/>
      <c r="EK33" s="231"/>
      <c r="EL33" s="37">
        <f>EL38+EL43+EL53+EL63+EL48+EL58</f>
        <v>0</v>
      </c>
      <c r="EM33" s="158"/>
      <c r="EO33" s="244"/>
      <c r="EP33" s="451"/>
      <c r="EQ33" s="451"/>
    </row>
    <row r="34" spans="4:147" ht="12.75" customHeight="1" x14ac:dyDescent="0.2">
      <c r="D34" s="244"/>
      <c r="E34" s="82"/>
      <c r="G34" s="19"/>
      <c r="H34" s="19"/>
      <c r="I34" s="19"/>
      <c r="J34" s="274"/>
      <c r="K34" s="19"/>
      <c r="L34" s="19"/>
      <c r="M34" s="19"/>
      <c r="N34" s="19"/>
      <c r="O34" s="274"/>
      <c r="P34" s="19"/>
      <c r="Q34" s="19"/>
      <c r="R34" s="19"/>
      <c r="S34" s="19"/>
      <c r="T34" s="274"/>
      <c r="U34" s="19"/>
      <c r="V34" s="19"/>
      <c r="W34" s="19"/>
      <c r="X34" s="19"/>
      <c r="Y34" s="274"/>
      <c r="Z34" s="19"/>
      <c r="AA34" s="19"/>
      <c r="AB34" s="19"/>
      <c r="AC34" s="19"/>
      <c r="AD34" s="274"/>
      <c r="AE34" s="19"/>
      <c r="AF34" s="19"/>
      <c r="AG34" s="19"/>
      <c r="AH34" s="19"/>
      <c r="AI34" s="274"/>
      <c r="AJ34" s="19"/>
      <c r="AK34" s="19"/>
      <c r="AL34" s="19"/>
      <c r="AM34" s="19"/>
      <c r="AN34" s="274"/>
      <c r="AO34" s="19"/>
      <c r="AP34" s="19"/>
      <c r="AQ34" s="19"/>
      <c r="AR34" s="19"/>
      <c r="AS34" s="274"/>
      <c r="AT34" s="19"/>
      <c r="AU34" s="19"/>
      <c r="AV34" s="19"/>
      <c r="AW34" s="19"/>
      <c r="AX34" s="274"/>
      <c r="AY34" s="19"/>
      <c r="AZ34" s="19"/>
      <c r="BA34" s="19"/>
      <c r="BB34" s="19"/>
      <c r="BC34" s="274"/>
      <c r="BD34" s="19"/>
      <c r="BE34" s="19"/>
      <c r="BF34" s="19"/>
      <c r="BG34" s="19"/>
      <c r="BH34" s="274"/>
      <c r="BI34" s="19"/>
      <c r="BJ34" s="19"/>
      <c r="BK34" s="19"/>
      <c r="BL34" s="19"/>
      <c r="BM34" s="274"/>
      <c r="BN34" s="19"/>
      <c r="BO34" s="19"/>
      <c r="BP34" s="19"/>
      <c r="BQ34" s="19"/>
      <c r="BR34" s="274"/>
      <c r="BS34" s="19"/>
      <c r="BT34" s="19"/>
      <c r="BU34" s="19"/>
      <c r="BV34" s="19"/>
      <c r="BW34" s="274"/>
      <c r="BX34" s="19"/>
      <c r="BY34" s="19"/>
      <c r="BZ34" s="19"/>
      <c r="CA34" s="19"/>
      <c r="CB34" s="274"/>
      <c r="CC34" s="19"/>
      <c r="CD34" s="19"/>
      <c r="CE34" s="19"/>
      <c r="CF34" s="19"/>
      <c r="CG34" s="274"/>
      <c r="CH34" s="19"/>
      <c r="CI34" s="19"/>
      <c r="CJ34" s="19"/>
      <c r="CK34" s="19"/>
      <c r="CL34" s="274"/>
      <c r="CM34" s="19"/>
      <c r="CN34" s="19"/>
      <c r="CO34" s="19"/>
      <c r="CP34" s="19"/>
      <c r="CQ34" s="274"/>
      <c r="CR34" s="19"/>
      <c r="CS34" s="19"/>
      <c r="CT34" s="19"/>
      <c r="CU34" s="19"/>
      <c r="CV34" s="274"/>
      <c r="CW34" s="19"/>
      <c r="CX34" s="19"/>
      <c r="CY34" s="19"/>
      <c r="CZ34" s="19"/>
      <c r="DA34" s="274"/>
      <c r="DB34" s="19"/>
      <c r="DC34" s="19"/>
      <c r="DD34" s="19"/>
      <c r="DE34" s="19"/>
      <c r="DF34" s="274"/>
      <c r="DG34" s="19"/>
      <c r="DH34" s="19"/>
      <c r="DI34" s="19"/>
      <c r="DJ34" s="19"/>
      <c r="DK34" s="274"/>
      <c r="DL34" s="19"/>
      <c r="DM34" s="19"/>
      <c r="DN34" s="19"/>
      <c r="DO34" s="19"/>
      <c r="DP34" s="274"/>
      <c r="DQ34" s="19"/>
      <c r="DR34" s="19"/>
      <c r="DS34" s="19"/>
      <c r="DT34" s="19"/>
      <c r="DU34" s="274"/>
      <c r="DV34" s="19"/>
      <c r="DW34" s="19"/>
      <c r="DX34" s="19"/>
      <c r="DY34" s="19"/>
      <c r="DZ34" s="274"/>
      <c r="EA34" s="19"/>
      <c r="EB34" s="19"/>
      <c r="EC34" s="19"/>
      <c r="ED34" s="19"/>
      <c r="EE34" s="274"/>
      <c r="EF34" s="19"/>
      <c r="EG34" s="19"/>
      <c r="EH34" s="19"/>
      <c r="EI34" s="19"/>
      <c r="EJ34" s="274"/>
      <c r="EK34" s="19"/>
      <c r="EL34" s="19"/>
      <c r="EO34" s="244"/>
      <c r="EP34" s="451"/>
      <c r="EQ34" s="451"/>
    </row>
    <row r="35" spans="4:147" ht="12.75" hidden="1" customHeight="1" x14ac:dyDescent="0.2">
      <c r="D35" s="244" t="s">
        <v>428</v>
      </c>
      <c r="E35" s="82"/>
      <c r="G35" s="19">
        <v>0</v>
      </c>
      <c r="H35" s="19"/>
      <c r="I35" s="19"/>
      <c r="J35" s="274"/>
      <c r="L35" s="19">
        <f>SUM(L36:L38)</f>
        <v>0</v>
      </c>
      <c r="M35" s="19"/>
      <c r="N35" s="19"/>
      <c r="O35" s="274"/>
      <c r="Q35" s="19">
        <f>SUM(Q36:Q38)</f>
        <v>0</v>
      </c>
      <c r="R35" s="19"/>
      <c r="S35" s="19"/>
      <c r="T35" s="274"/>
      <c r="V35" s="19">
        <f>SUM(V36:V38)</f>
        <v>0</v>
      </c>
      <c r="W35" s="19"/>
      <c r="X35" s="19"/>
      <c r="Y35" s="274"/>
      <c r="AA35" s="19">
        <f>SUM(AA36:AA38)</f>
        <v>0</v>
      </c>
      <c r="AB35" s="19"/>
      <c r="AC35" s="19"/>
      <c r="AD35" s="274"/>
      <c r="AF35" s="19">
        <f>SUM(AF36:AF38)</f>
        <v>0</v>
      </c>
      <c r="AG35" s="19"/>
      <c r="AH35" s="19"/>
      <c r="AI35" s="274"/>
      <c r="AK35" s="19">
        <f>SUM(AK36:AK38)</f>
        <v>0</v>
      </c>
      <c r="AL35" s="19"/>
      <c r="AM35" s="19"/>
      <c r="AN35" s="274"/>
      <c r="AP35" s="19">
        <f>SUM(AP36:AP38)</f>
        <v>0</v>
      </c>
      <c r="AQ35" s="19"/>
      <c r="AR35" s="19"/>
      <c r="AS35" s="274"/>
      <c r="AU35" s="19">
        <f>SUM(AU36:AU38)</f>
        <v>0</v>
      </c>
      <c r="AV35" s="19"/>
      <c r="AW35" s="19"/>
      <c r="AX35" s="274"/>
      <c r="AZ35" s="19">
        <f>SUM(AZ36:AZ38)</f>
        <v>0</v>
      </c>
      <c r="BA35" s="19"/>
      <c r="BB35" s="19"/>
      <c r="BC35" s="274"/>
      <c r="BE35" s="19">
        <f>SUM(BE36:BE38)</f>
        <v>0</v>
      </c>
      <c r="BF35" s="19"/>
      <c r="BG35" s="19"/>
      <c r="BH35" s="274"/>
      <c r="BJ35" s="19">
        <f>SUM(BJ36:BJ38)</f>
        <v>0</v>
      </c>
      <c r="BK35" s="19"/>
      <c r="BL35" s="19"/>
      <c r="BM35" s="274"/>
      <c r="BO35" s="19">
        <f>SUM(BO36:BO38)</f>
        <v>0</v>
      </c>
      <c r="BP35" s="19"/>
      <c r="BQ35" s="19"/>
      <c r="BR35" s="274"/>
      <c r="BT35" s="37">
        <f>SUM(BT36:BT38)</f>
        <v>0</v>
      </c>
      <c r="BU35" s="19"/>
      <c r="BV35" s="19"/>
      <c r="BW35" s="274"/>
      <c r="BY35" s="19">
        <f>SUM(BY36:BY38)</f>
        <v>0</v>
      </c>
      <c r="BZ35" s="19"/>
      <c r="CA35" s="19"/>
      <c r="CB35" s="274"/>
      <c r="CD35" s="19">
        <f>SUM(CD36:CD38)</f>
        <v>0</v>
      </c>
      <c r="CE35" s="19"/>
      <c r="CF35" s="19"/>
      <c r="CG35" s="274"/>
      <c r="CI35" s="19">
        <f>SUM(CI36:CI38)</f>
        <v>0</v>
      </c>
      <c r="CJ35" s="19"/>
      <c r="CK35" s="19"/>
      <c r="CL35" s="274"/>
      <c r="CN35" s="19">
        <f>SUM(CN36:CN38)</f>
        <v>0</v>
      </c>
      <c r="CO35" s="19"/>
      <c r="CP35" s="19"/>
      <c r="CQ35" s="274"/>
      <c r="CS35" s="19">
        <f>SUM(CS36:CS38)</f>
        <v>0</v>
      </c>
      <c r="CT35" s="19"/>
      <c r="CU35" s="19"/>
      <c r="CV35" s="274"/>
      <c r="CX35" s="19">
        <f>SUM(CX36:CX38)</f>
        <v>0</v>
      </c>
      <c r="CY35" s="19"/>
      <c r="CZ35" s="19"/>
      <c r="DA35" s="274"/>
      <c r="DC35" s="19">
        <f>SUM(DC36:DC38)</f>
        <v>0</v>
      </c>
      <c r="DD35" s="19"/>
      <c r="DE35" s="19"/>
      <c r="DF35" s="274"/>
      <c r="DH35" s="19">
        <f>SUM(DH36:DH38)</f>
        <v>0</v>
      </c>
      <c r="DI35" s="19"/>
      <c r="DJ35" s="19"/>
      <c r="DK35" s="274"/>
      <c r="DM35" s="19">
        <f>SUM(DM36:DM38)</f>
        <v>0</v>
      </c>
      <c r="DN35" s="19"/>
      <c r="DO35" s="19"/>
      <c r="DP35" s="274"/>
      <c r="DR35" s="19">
        <f>SUM(DR36:DR38)</f>
        <v>0</v>
      </c>
      <c r="DS35" s="19"/>
      <c r="DT35" s="19"/>
      <c r="DU35" s="274"/>
      <c r="DW35" s="19">
        <f>SUM(DW36:DW38)</f>
        <v>0</v>
      </c>
      <c r="DX35" s="19"/>
      <c r="DY35" s="19"/>
      <c r="DZ35" s="274"/>
      <c r="EB35" s="19">
        <f>SUM(EB36:EB38)</f>
        <v>0</v>
      </c>
      <c r="EC35" s="19"/>
      <c r="ED35" s="19"/>
      <c r="EE35" s="274"/>
      <c r="EG35" s="19">
        <f>SUM(EG36:EG38)</f>
        <v>0</v>
      </c>
      <c r="EH35" s="19"/>
      <c r="EI35" s="19"/>
      <c r="EJ35" s="274"/>
      <c r="EL35" s="19">
        <f>SUM(EL36:EL38)</f>
        <v>0</v>
      </c>
      <c r="EM35" s="19"/>
      <c r="EO35" s="244"/>
      <c r="EP35" s="451"/>
      <c r="EQ35" s="451"/>
    </row>
    <row r="36" spans="4:147" ht="12.75" hidden="1" customHeight="1" x14ac:dyDescent="0.2">
      <c r="D36" s="244" t="s">
        <v>344</v>
      </c>
      <c r="E36" s="82"/>
      <c r="F36" s="112"/>
      <c r="G36" s="374">
        <v>0</v>
      </c>
      <c r="H36" s="475"/>
      <c r="I36" s="19"/>
      <c r="J36" s="274"/>
      <c r="K36" s="112"/>
      <c r="L36" s="374">
        <v>0</v>
      </c>
      <c r="M36" s="475"/>
      <c r="N36" s="19"/>
      <c r="O36" s="274"/>
      <c r="P36" s="112"/>
      <c r="Q36" s="374">
        <v>0</v>
      </c>
      <c r="R36" s="475"/>
      <c r="S36" s="19"/>
      <c r="T36" s="274"/>
      <c r="U36" s="112"/>
      <c r="V36" s="374">
        <v>0</v>
      </c>
      <c r="W36" s="475"/>
      <c r="X36" s="19"/>
      <c r="Y36" s="274"/>
      <c r="Z36" s="112"/>
      <c r="AA36" s="374">
        <v>0</v>
      </c>
      <c r="AB36" s="475"/>
      <c r="AC36" s="19"/>
      <c r="AD36" s="274"/>
      <c r="AE36" s="112"/>
      <c r="AF36" s="374">
        <v>0</v>
      </c>
      <c r="AG36" s="475"/>
      <c r="AH36" s="19"/>
      <c r="AI36" s="274"/>
      <c r="AJ36" s="112"/>
      <c r="AK36" s="374">
        <v>0</v>
      </c>
      <c r="AL36" s="475"/>
      <c r="AM36" s="19"/>
      <c r="AN36" s="274"/>
      <c r="AO36" s="112"/>
      <c r="AP36" s="374">
        <v>0</v>
      </c>
      <c r="AQ36" s="475"/>
      <c r="AR36" s="19"/>
      <c r="AS36" s="274"/>
      <c r="AT36" s="112"/>
      <c r="AU36" s="374">
        <v>0</v>
      </c>
      <c r="AV36" s="475"/>
      <c r="AW36" s="19"/>
      <c r="AX36" s="274"/>
      <c r="AY36" s="112"/>
      <c r="AZ36" s="374">
        <v>0</v>
      </c>
      <c r="BA36" s="475"/>
      <c r="BB36" s="19"/>
      <c r="BC36" s="274"/>
      <c r="BD36" s="112"/>
      <c r="BE36" s="374">
        <v>0</v>
      </c>
      <c r="BF36" s="475"/>
      <c r="BG36" s="19"/>
      <c r="BH36" s="274"/>
      <c r="BI36" s="112"/>
      <c r="BJ36" s="374">
        <v>0</v>
      </c>
      <c r="BK36" s="475"/>
      <c r="BL36" s="19"/>
      <c r="BM36" s="274"/>
      <c r="BN36" s="112"/>
      <c r="BO36" s="374">
        <v>0</v>
      </c>
      <c r="BP36" s="475"/>
      <c r="BQ36" s="19"/>
      <c r="BR36" s="274"/>
      <c r="BS36" s="112"/>
      <c r="BT36" s="19">
        <f>SUM(L36:BO36)</f>
        <v>0</v>
      </c>
      <c r="BU36" s="475"/>
      <c r="BV36" s="19"/>
      <c r="BW36" s="274"/>
      <c r="BX36" s="112"/>
      <c r="BY36" s="374">
        <f>SUM(Q36:BT36)</f>
        <v>0</v>
      </c>
      <c r="BZ36" s="475"/>
      <c r="CA36" s="19"/>
      <c r="CB36" s="274"/>
      <c r="CC36" s="112"/>
      <c r="CD36" s="374">
        <v>0</v>
      </c>
      <c r="CE36" s="475"/>
      <c r="CF36" s="19"/>
      <c r="CG36" s="274"/>
      <c r="CH36" s="112"/>
      <c r="CI36" s="374">
        <v>0</v>
      </c>
      <c r="CJ36" s="475"/>
      <c r="CK36" s="19"/>
      <c r="CL36" s="274"/>
      <c r="CM36" s="112"/>
      <c r="CN36" s="374">
        <v>0</v>
      </c>
      <c r="CO36" s="475"/>
      <c r="CP36" s="19"/>
      <c r="CQ36" s="274"/>
      <c r="CR36" s="112"/>
      <c r="CS36" s="374">
        <v>0</v>
      </c>
      <c r="CT36" s="475"/>
      <c r="CU36" s="19"/>
      <c r="CV36" s="274"/>
      <c r="CW36" s="112"/>
      <c r="CX36" s="374">
        <v>0</v>
      </c>
      <c r="CY36" s="475"/>
      <c r="CZ36" s="19"/>
      <c r="DA36" s="274"/>
      <c r="DB36" s="112"/>
      <c r="DC36" s="374">
        <v>0</v>
      </c>
      <c r="DD36" s="475"/>
      <c r="DE36" s="19"/>
      <c r="DF36" s="274"/>
      <c r="DG36" s="112"/>
      <c r="DH36" s="374">
        <v>0</v>
      </c>
      <c r="DI36" s="475"/>
      <c r="DJ36" s="19"/>
      <c r="DK36" s="274"/>
      <c r="DL36" s="112"/>
      <c r="DM36" s="374">
        <v>0</v>
      </c>
      <c r="DN36" s="475"/>
      <c r="DO36" s="19"/>
      <c r="DP36" s="274"/>
      <c r="DQ36" s="112"/>
      <c r="DR36" s="374">
        <v>0</v>
      </c>
      <c r="DS36" s="475"/>
      <c r="DT36" s="19"/>
      <c r="DU36" s="274"/>
      <c r="DV36" s="112"/>
      <c r="DW36" s="374">
        <v>0</v>
      </c>
      <c r="DX36" s="475"/>
      <c r="DY36" s="19"/>
      <c r="DZ36" s="274"/>
      <c r="EA36" s="112"/>
      <c r="EB36" s="374">
        <v>0</v>
      </c>
      <c r="EC36" s="475"/>
      <c r="ED36" s="19"/>
      <c r="EE36" s="274"/>
      <c r="EF36" s="112"/>
      <c r="EG36" s="374">
        <v>0</v>
      </c>
      <c r="EH36" s="475"/>
      <c r="EI36" s="19"/>
      <c r="EJ36" s="274"/>
      <c r="EK36" s="112"/>
      <c r="EL36" s="374">
        <f>SUM(CD36:EG36)</f>
        <v>0</v>
      </c>
      <c r="EM36" s="475">
        <f>SUM(CE36:CO36)</f>
        <v>0</v>
      </c>
      <c r="EO36" s="244"/>
      <c r="EP36" s="451"/>
      <c r="EQ36" s="451"/>
    </row>
    <row r="37" spans="4:147" ht="12.75" hidden="1" customHeight="1" x14ac:dyDescent="0.2">
      <c r="D37" s="244" t="s">
        <v>426</v>
      </c>
      <c r="E37" s="82"/>
      <c r="F37" s="82"/>
      <c r="G37" s="19">
        <v>0</v>
      </c>
      <c r="H37" s="18"/>
      <c r="I37" s="19"/>
      <c r="J37" s="274"/>
      <c r="K37" s="82"/>
      <c r="L37" s="19">
        <v>0</v>
      </c>
      <c r="M37" s="18"/>
      <c r="N37" s="19"/>
      <c r="O37" s="274"/>
      <c r="P37" s="82"/>
      <c r="Q37" s="19">
        <v>0</v>
      </c>
      <c r="R37" s="18"/>
      <c r="S37" s="19"/>
      <c r="T37" s="274"/>
      <c r="U37" s="82"/>
      <c r="V37" s="19">
        <v>0</v>
      </c>
      <c r="W37" s="18"/>
      <c r="X37" s="19"/>
      <c r="Y37" s="274"/>
      <c r="Z37" s="82"/>
      <c r="AA37" s="19">
        <v>0</v>
      </c>
      <c r="AB37" s="18"/>
      <c r="AC37" s="19"/>
      <c r="AD37" s="274"/>
      <c r="AE37" s="82"/>
      <c r="AF37" s="19">
        <v>0</v>
      </c>
      <c r="AG37" s="18"/>
      <c r="AH37" s="19"/>
      <c r="AI37" s="274"/>
      <c r="AJ37" s="82"/>
      <c r="AK37" s="19">
        <v>0</v>
      </c>
      <c r="AL37" s="18"/>
      <c r="AM37" s="19"/>
      <c r="AN37" s="274"/>
      <c r="AO37" s="82"/>
      <c r="AP37" s="19">
        <v>0</v>
      </c>
      <c r="AQ37" s="18"/>
      <c r="AR37" s="19"/>
      <c r="AS37" s="274"/>
      <c r="AT37" s="82"/>
      <c r="AU37" s="19">
        <v>0</v>
      </c>
      <c r="AV37" s="18"/>
      <c r="AW37" s="19"/>
      <c r="AX37" s="274"/>
      <c r="AY37" s="82"/>
      <c r="AZ37" s="19">
        <v>0</v>
      </c>
      <c r="BA37" s="18"/>
      <c r="BB37" s="19"/>
      <c r="BC37" s="274"/>
      <c r="BD37" s="82"/>
      <c r="BE37" s="19">
        <v>0</v>
      </c>
      <c r="BF37" s="18"/>
      <c r="BG37" s="19"/>
      <c r="BH37" s="274"/>
      <c r="BI37" s="82"/>
      <c r="BJ37" s="19">
        <v>0</v>
      </c>
      <c r="BK37" s="18"/>
      <c r="BL37" s="19"/>
      <c r="BM37" s="274"/>
      <c r="BN37" s="82"/>
      <c r="BO37" s="19">
        <v>0</v>
      </c>
      <c r="BP37" s="18"/>
      <c r="BQ37" s="19"/>
      <c r="BR37" s="274"/>
      <c r="BS37" s="82"/>
      <c r="BT37" s="19">
        <f>SUM(L37:BO37)</f>
        <v>0</v>
      </c>
      <c r="BU37" s="18"/>
      <c r="BV37" s="19"/>
      <c r="BW37" s="274"/>
      <c r="BX37" s="82"/>
      <c r="BY37" s="19">
        <f>SUM(Q37:BT37)</f>
        <v>0</v>
      </c>
      <c r="BZ37" s="18"/>
      <c r="CA37" s="19"/>
      <c r="CB37" s="274"/>
      <c r="CC37" s="82"/>
      <c r="CD37" s="19">
        <v>0</v>
      </c>
      <c r="CE37" s="18"/>
      <c r="CF37" s="19"/>
      <c r="CG37" s="274"/>
      <c r="CH37" s="82"/>
      <c r="CI37" s="19">
        <v>0</v>
      </c>
      <c r="CJ37" s="18"/>
      <c r="CK37" s="19"/>
      <c r="CL37" s="274"/>
      <c r="CM37" s="82"/>
      <c r="CN37" s="19">
        <v>0</v>
      </c>
      <c r="CO37" s="18"/>
      <c r="CP37" s="19"/>
      <c r="CQ37" s="274"/>
      <c r="CR37" s="82"/>
      <c r="CS37" s="19">
        <v>0</v>
      </c>
      <c r="CT37" s="18"/>
      <c r="CU37" s="19"/>
      <c r="CV37" s="274"/>
      <c r="CW37" s="82"/>
      <c r="CX37" s="19">
        <v>0</v>
      </c>
      <c r="CY37" s="18"/>
      <c r="CZ37" s="19"/>
      <c r="DA37" s="274"/>
      <c r="DB37" s="82"/>
      <c r="DC37" s="19">
        <v>0</v>
      </c>
      <c r="DD37" s="18"/>
      <c r="DE37" s="19"/>
      <c r="DF37" s="274"/>
      <c r="DG37" s="82"/>
      <c r="DH37" s="19">
        <v>0</v>
      </c>
      <c r="DI37" s="18"/>
      <c r="DJ37" s="19"/>
      <c r="DK37" s="274"/>
      <c r="DL37" s="82"/>
      <c r="DM37" s="19">
        <v>0</v>
      </c>
      <c r="DN37" s="18"/>
      <c r="DO37" s="19"/>
      <c r="DP37" s="274"/>
      <c r="DQ37" s="82"/>
      <c r="DR37" s="19">
        <v>0</v>
      </c>
      <c r="DS37" s="18"/>
      <c r="DT37" s="19"/>
      <c r="DU37" s="274"/>
      <c r="DV37" s="82"/>
      <c r="DW37" s="19">
        <v>0</v>
      </c>
      <c r="DX37" s="18"/>
      <c r="DY37" s="19"/>
      <c r="DZ37" s="274"/>
      <c r="EA37" s="82"/>
      <c r="EB37" s="19">
        <v>0</v>
      </c>
      <c r="EC37" s="18"/>
      <c r="ED37" s="19"/>
      <c r="EE37" s="274"/>
      <c r="EF37" s="82"/>
      <c r="EG37" s="19">
        <v>0</v>
      </c>
      <c r="EH37" s="18"/>
      <c r="EI37" s="19"/>
      <c r="EJ37" s="274"/>
      <c r="EK37" s="82"/>
      <c r="EL37" s="19">
        <f>SUM(CD37:EG37)</f>
        <v>0</v>
      </c>
      <c r="EM37" s="18">
        <f>SUM(CE37:CO37)</f>
        <v>0</v>
      </c>
      <c r="EO37" s="244"/>
      <c r="EP37" s="451"/>
      <c r="EQ37" s="451"/>
    </row>
    <row r="38" spans="4:147" ht="12.75" hidden="1" customHeight="1" x14ac:dyDescent="0.2">
      <c r="D38" s="244" t="s">
        <v>427</v>
      </c>
      <c r="E38" s="82"/>
      <c r="F38" s="276"/>
      <c r="G38" s="37">
        <v>0</v>
      </c>
      <c r="H38" s="36"/>
      <c r="I38" s="19"/>
      <c r="J38" s="274"/>
      <c r="K38" s="276"/>
      <c r="L38" s="37">
        <v>0</v>
      </c>
      <c r="M38" s="36"/>
      <c r="N38" s="19"/>
      <c r="O38" s="274"/>
      <c r="P38" s="276"/>
      <c r="Q38" s="37">
        <v>0</v>
      </c>
      <c r="R38" s="36"/>
      <c r="S38" s="19"/>
      <c r="T38" s="274"/>
      <c r="U38" s="276"/>
      <c r="V38" s="37">
        <v>0</v>
      </c>
      <c r="W38" s="36"/>
      <c r="X38" s="19"/>
      <c r="Y38" s="274"/>
      <c r="Z38" s="276"/>
      <c r="AA38" s="37">
        <v>0</v>
      </c>
      <c r="AB38" s="36"/>
      <c r="AC38" s="19"/>
      <c r="AD38" s="274"/>
      <c r="AE38" s="276"/>
      <c r="AF38" s="37">
        <v>0</v>
      </c>
      <c r="AG38" s="36"/>
      <c r="AH38" s="19"/>
      <c r="AI38" s="274"/>
      <c r="AJ38" s="276"/>
      <c r="AK38" s="37">
        <v>0</v>
      </c>
      <c r="AL38" s="36"/>
      <c r="AM38" s="19"/>
      <c r="AN38" s="274"/>
      <c r="AO38" s="276"/>
      <c r="AP38" s="37">
        <v>0</v>
      </c>
      <c r="AQ38" s="36"/>
      <c r="AR38" s="19"/>
      <c r="AS38" s="274"/>
      <c r="AT38" s="276"/>
      <c r="AU38" s="37">
        <v>0</v>
      </c>
      <c r="AV38" s="36"/>
      <c r="AW38" s="19"/>
      <c r="AX38" s="274"/>
      <c r="AY38" s="276"/>
      <c r="AZ38" s="37">
        <v>0</v>
      </c>
      <c r="BA38" s="36"/>
      <c r="BB38" s="19"/>
      <c r="BC38" s="274"/>
      <c r="BD38" s="276"/>
      <c r="BE38" s="37">
        <v>0</v>
      </c>
      <c r="BF38" s="36"/>
      <c r="BG38" s="19"/>
      <c r="BH38" s="274"/>
      <c r="BI38" s="276"/>
      <c r="BJ38" s="37">
        <v>0</v>
      </c>
      <c r="BK38" s="36"/>
      <c r="BL38" s="19"/>
      <c r="BM38" s="274"/>
      <c r="BN38" s="276"/>
      <c r="BO38" s="37">
        <v>0</v>
      </c>
      <c r="BP38" s="36"/>
      <c r="BQ38" s="19"/>
      <c r="BR38" s="274"/>
      <c r="BS38" s="276"/>
      <c r="BT38" s="37">
        <f>SUM(L38:BO38)</f>
        <v>0</v>
      </c>
      <c r="BU38" s="36"/>
      <c r="BV38" s="19"/>
      <c r="BW38" s="274"/>
      <c r="BX38" s="276"/>
      <c r="BY38" s="37">
        <f>SUM(Q38:BT38)</f>
        <v>0</v>
      </c>
      <c r="BZ38" s="36"/>
      <c r="CA38" s="19"/>
      <c r="CB38" s="274"/>
      <c r="CC38" s="276"/>
      <c r="CD38" s="37">
        <v>0</v>
      </c>
      <c r="CE38" s="36"/>
      <c r="CF38" s="19"/>
      <c r="CG38" s="274"/>
      <c r="CH38" s="276"/>
      <c r="CI38" s="37">
        <v>0</v>
      </c>
      <c r="CJ38" s="36"/>
      <c r="CK38" s="19"/>
      <c r="CL38" s="274"/>
      <c r="CM38" s="276"/>
      <c r="CN38" s="37">
        <v>0</v>
      </c>
      <c r="CO38" s="36"/>
      <c r="CP38" s="19"/>
      <c r="CQ38" s="274"/>
      <c r="CR38" s="276"/>
      <c r="CS38" s="37">
        <v>0</v>
      </c>
      <c r="CT38" s="36"/>
      <c r="CU38" s="19"/>
      <c r="CV38" s="274"/>
      <c r="CW38" s="276"/>
      <c r="CX38" s="37">
        <v>0</v>
      </c>
      <c r="CY38" s="36"/>
      <c r="CZ38" s="19"/>
      <c r="DA38" s="274"/>
      <c r="DB38" s="276"/>
      <c r="DC38" s="37">
        <v>0</v>
      </c>
      <c r="DD38" s="36"/>
      <c r="DE38" s="19"/>
      <c r="DF38" s="274"/>
      <c r="DG38" s="276"/>
      <c r="DH38" s="37">
        <v>0</v>
      </c>
      <c r="DI38" s="36"/>
      <c r="DJ38" s="19"/>
      <c r="DK38" s="274"/>
      <c r="DL38" s="276"/>
      <c r="DM38" s="37">
        <v>0</v>
      </c>
      <c r="DN38" s="36"/>
      <c r="DO38" s="19"/>
      <c r="DP38" s="274"/>
      <c r="DQ38" s="276"/>
      <c r="DR38" s="37">
        <v>0</v>
      </c>
      <c r="DS38" s="36"/>
      <c r="DT38" s="19"/>
      <c r="DU38" s="274"/>
      <c r="DV38" s="276"/>
      <c r="DW38" s="37">
        <v>0</v>
      </c>
      <c r="DX38" s="36"/>
      <c r="DY38" s="19"/>
      <c r="DZ38" s="274"/>
      <c r="EA38" s="276"/>
      <c r="EB38" s="37">
        <v>0</v>
      </c>
      <c r="EC38" s="36"/>
      <c r="ED38" s="19"/>
      <c r="EE38" s="274"/>
      <c r="EF38" s="276"/>
      <c r="EG38" s="37">
        <v>0</v>
      </c>
      <c r="EH38" s="36"/>
      <c r="EI38" s="19"/>
      <c r="EJ38" s="274"/>
      <c r="EK38" s="276"/>
      <c r="EL38" s="37">
        <f>SUM(CD38:EG38)</f>
        <v>0</v>
      </c>
      <c r="EM38" s="36">
        <f>SUM(CE38:CO38)</f>
        <v>0</v>
      </c>
      <c r="EO38" s="244"/>
      <c r="EP38" s="451"/>
      <c r="EQ38" s="451"/>
    </row>
    <row r="39" spans="4:147" hidden="1" x14ac:dyDescent="0.2">
      <c r="D39" s="244"/>
      <c r="E39" s="82"/>
      <c r="G39" s="19"/>
      <c r="H39" s="19"/>
      <c r="I39" s="19"/>
      <c r="J39" s="274"/>
      <c r="K39" s="19"/>
      <c r="L39" s="19"/>
      <c r="M39" s="19"/>
      <c r="N39" s="19"/>
      <c r="O39" s="274"/>
      <c r="P39" s="19"/>
      <c r="Q39" s="19"/>
      <c r="R39" s="19"/>
      <c r="S39" s="19"/>
      <c r="T39" s="274"/>
      <c r="U39" s="19"/>
      <c r="V39" s="19"/>
      <c r="W39" s="19"/>
      <c r="X39" s="19"/>
      <c r="Y39" s="274"/>
      <c r="Z39" s="19"/>
      <c r="AA39" s="19"/>
      <c r="AB39" s="19"/>
      <c r="AC39" s="19"/>
      <c r="AD39" s="274"/>
      <c r="AE39" s="19"/>
      <c r="AF39" s="19"/>
      <c r="AG39" s="19"/>
      <c r="AH39" s="19"/>
      <c r="AI39" s="274"/>
      <c r="AJ39" s="19"/>
      <c r="AK39" s="19"/>
      <c r="AL39" s="19"/>
      <c r="AM39" s="19"/>
      <c r="AN39" s="274"/>
      <c r="AO39" s="19"/>
      <c r="AP39" s="19"/>
      <c r="AQ39" s="19"/>
      <c r="AR39" s="19"/>
      <c r="AS39" s="274"/>
      <c r="AT39" s="19"/>
      <c r="AU39" s="19"/>
      <c r="AV39" s="19"/>
      <c r="AW39" s="19"/>
      <c r="AX39" s="274"/>
      <c r="AY39" s="19"/>
      <c r="AZ39" s="19"/>
      <c r="BA39" s="19"/>
      <c r="BB39" s="19"/>
      <c r="BC39" s="274"/>
      <c r="BD39" s="19"/>
      <c r="BE39" s="19"/>
      <c r="BF39" s="19"/>
      <c r="BG39" s="19"/>
      <c r="BH39" s="274"/>
      <c r="BI39" s="19"/>
      <c r="BJ39" s="19"/>
      <c r="BK39" s="19"/>
      <c r="BL39" s="19"/>
      <c r="BM39" s="274"/>
      <c r="BN39" s="19"/>
      <c r="BO39" s="19"/>
      <c r="BP39" s="19"/>
      <c r="BQ39" s="19"/>
      <c r="BR39" s="274"/>
      <c r="BS39" s="19"/>
      <c r="BT39" s="19"/>
      <c r="BU39" s="19"/>
      <c r="BV39" s="19"/>
      <c r="BW39" s="274"/>
      <c r="BX39" s="19"/>
      <c r="BY39" s="19"/>
      <c r="BZ39" s="19"/>
      <c r="CA39" s="19"/>
      <c r="CB39" s="274"/>
      <c r="CC39" s="19"/>
      <c r="CD39" s="19"/>
      <c r="CE39" s="19"/>
      <c r="CF39" s="19"/>
      <c r="CG39" s="274"/>
      <c r="CH39" s="19"/>
      <c r="CI39" s="19"/>
      <c r="CJ39" s="19"/>
      <c r="CK39" s="19"/>
      <c r="CL39" s="274"/>
      <c r="CM39" s="19"/>
      <c r="CN39" s="19"/>
      <c r="CO39" s="19"/>
      <c r="CP39" s="19"/>
      <c r="CQ39" s="274"/>
      <c r="CR39" s="19"/>
      <c r="CS39" s="19"/>
      <c r="CT39" s="19"/>
      <c r="CU39" s="19"/>
      <c r="CV39" s="274"/>
      <c r="CW39" s="19"/>
      <c r="CX39" s="19"/>
      <c r="CY39" s="19"/>
      <c r="CZ39" s="19"/>
      <c r="DA39" s="274"/>
      <c r="DB39" s="19"/>
      <c r="DC39" s="19"/>
      <c r="DD39" s="19"/>
      <c r="DE39" s="19"/>
      <c r="DF39" s="274"/>
      <c r="DG39" s="19"/>
      <c r="DH39" s="19"/>
      <c r="DI39" s="19"/>
      <c r="DJ39" s="19"/>
      <c r="DK39" s="274"/>
      <c r="DL39" s="19"/>
      <c r="DM39" s="19"/>
      <c r="DN39" s="19"/>
      <c r="DO39" s="19"/>
      <c r="DP39" s="274"/>
      <c r="DQ39" s="19"/>
      <c r="DR39" s="19"/>
      <c r="DS39" s="19"/>
      <c r="DT39" s="19"/>
      <c r="DU39" s="274"/>
      <c r="DV39" s="19"/>
      <c r="DW39" s="19"/>
      <c r="DX39" s="19"/>
      <c r="DY39" s="19"/>
      <c r="DZ39" s="274"/>
      <c r="EA39" s="19"/>
      <c r="EB39" s="19"/>
      <c r="EC39" s="19"/>
      <c r="ED39" s="19"/>
      <c r="EE39" s="274"/>
      <c r="EF39" s="19"/>
      <c r="EG39" s="19"/>
      <c r="EH39" s="19"/>
      <c r="EI39" s="19"/>
      <c r="EJ39" s="274"/>
      <c r="EK39" s="19"/>
      <c r="EL39" s="19"/>
      <c r="EO39" s="244"/>
      <c r="EP39" s="451"/>
      <c r="EQ39" s="451"/>
    </row>
    <row r="40" spans="4:147" hidden="1" x14ac:dyDescent="0.2">
      <c r="D40" s="244" t="s">
        <v>429</v>
      </c>
      <c r="E40" s="82"/>
      <c r="G40" s="19">
        <v>0</v>
      </c>
      <c r="H40" s="19"/>
      <c r="I40" s="19"/>
      <c r="J40" s="274"/>
      <c r="L40" s="19">
        <f>SUM(L41:L43)</f>
        <v>0</v>
      </c>
      <c r="M40" s="19"/>
      <c r="N40" s="19"/>
      <c r="O40" s="274"/>
      <c r="Q40" s="19">
        <f>SUM(Q41:Q43)</f>
        <v>0</v>
      </c>
      <c r="R40" s="19"/>
      <c r="S40" s="19"/>
      <c r="T40" s="274"/>
      <c r="V40" s="19">
        <f>SUM(V41:V43)</f>
        <v>0</v>
      </c>
      <c r="W40" s="19"/>
      <c r="X40" s="19"/>
      <c r="Y40" s="274"/>
      <c r="AA40" s="19">
        <f>SUM(AA41:AA43)</f>
        <v>0</v>
      </c>
      <c r="AB40" s="19"/>
      <c r="AC40" s="19"/>
      <c r="AD40" s="274"/>
      <c r="AF40" s="19">
        <f>SUM(AF41:AF43)</f>
        <v>0</v>
      </c>
      <c r="AG40" s="19"/>
      <c r="AH40" s="19"/>
      <c r="AI40" s="274"/>
      <c r="AK40" s="19">
        <f>SUM(AK41:AK43)</f>
        <v>0</v>
      </c>
      <c r="AL40" s="19"/>
      <c r="AM40" s="19"/>
      <c r="AN40" s="274"/>
      <c r="AP40" s="19">
        <f>SUM(AP41:AP43)</f>
        <v>0</v>
      </c>
      <c r="AQ40" s="19"/>
      <c r="AR40" s="19"/>
      <c r="AS40" s="274"/>
      <c r="AU40" s="19">
        <f>SUM(AU41:AU43)</f>
        <v>0</v>
      </c>
      <c r="AV40" s="19"/>
      <c r="AW40" s="19"/>
      <c r="AX40" s="274"/>
      <c r="AZ40" s="19">
        <f>SUM(AZ41:AZ43)</f>
        <v>0</v>
      </c>
      <c r="BA40" s="19"/>
      <c r="BB40" s="19"/>
      <c r="BC40" s="274"/>
      <c r="BE40" s="19">
        <f>SUM(BE41:BE43)</f>
        <v>0</v>
      </c>
      <c r="BF40" s="19"/>
      <c r="BG40" s="19"/>
      <c r="BH40" s="274"/>
      <c r="BJ40" s="19">
        <f>SUM(BJ41:BJ43)</f>
        <v>0</v>
      </c>
      <c r="BK40" s="19"/>
      <c r="BL40" s="19"/>
      <c r="BM40" s="274"/>
      <c r="BO40" s="19">
        <f>SUM(BO41:BO43)</f>
        <v>0</v>
      </c>
      <c r="BP40" s="19"/>
      <c r="BQ40" s="19"/>
      <c r="BR40" s="274"/>
      <c r="BT40" s="19">
        <f>SUM(BT41:BT43)</f>
        <v>0</v>
      </c>
      <c r="BU40" s="19"/>
      <c r="BV40" s="19"/>
      <c r="BW40" s="274"/>
      <c r="BY40" s="19">
        <f>SUM(BY41:BY43)</f>
        <v>0</v>
      </c>
      <c r="BZ40" s="19"/>
      <c r="CA40" s="19"/>
      <c r="CB40" s="274"/>
      <c r="CD40" s="19">
        <f>SUM(CD41:CD43)</f>
        <v>0</v>
      </c>
      <c r="CE40" s="19"/>
      <c r="CF40" s="19"/>
      <c r="CG40" s="274"/>
      <c r="CI40" s="19">
        <f>SUM(CI41:CI43)</f>
        <v>0</v>
      </c>
      <c r="CJ40" s="19"/>
      <c r="CK40" s="19"/>
      <c r="CL40" s="274"/>
      <c r="CN40" s="19">
        <f>SUM(CN41:CN43)</f>
        <v>0</v>
      </c>
      <c r="CO40" s="19"/>
      <c r="CP40" s="19"/>
      <c r="CQ40" s="274"/>
      <c r="CS40" s="19">
        <f>SUM(CS41:CS43)</f>
        <v>0</v>
      </c>
      <c r="CT40" s="19"/>
      <c r="CU40" s="19"/>
      <c r="CV40" s="274"/>
      <c r="CX40" s="19">
        <f>SUM(CX41:CX43)</f>
        <v>0</v>
      </c>
      <c r="CY40" s="19"/>
      <c r="CZ40" s="19"/>
      <c r="DA40" s="274"/>
      <c r="DC40" s="19">
        <f>SUM(DC41:DC43)</f>
        <v>0</v>
      </c>
      <c r="DD40" s="19"/>
      <c r="DE40" s="19"/>
      <c r="DF40" s="274"/>
      <c r="DH40" s="19">
        <f>SUM(DH41:DH43)</f>
        <v>0</v>
      </c>
      <c r="DI40" s="19"/>
      <c r="DJ40" s="19"/>
      <c r="DK40" s="274"/>
      <c r="DM40" s="19">
        <f>SUM(DM41:DM43)</f>
        <v>0</v>
      </c>
      <c r="DN40" s="19"/>
      <c r="DO40" s="19"/>
      <c r="DP40" s="274"/>
      <c r="DR40" s="19">
        <f>SUM(DR41:DR43)</f>
        <v>0</v>
      </c>
      <c r="DS40" s="19"/>
      <c r="DT40" s="19"/>
      <c r="DU40" s="274"/>
      <c r="DW40" s="19">
        <f>SUM(DW41:DW43)</f>
        <v>0</v>
      </c>
      <c r="DX40" s="19"/>
      <c r="DY40" s="19"/>
      <c r="DZ40" s="274"/>
      <c r="EB40" s="19">
        <f>SUM(EB41:EB43)</f>
        <v>0</v>
      </c>
      <c r="EC40" s="19"/>
      <c r="ED40" s="19"/>
      <c r="EE40" s="274"/>
      <c r="EG40" s="19">
        <f>SUM(EG41:EG43)</f>
        <v>0</v>
      </c>
      <c r="EH40" s="19"/>
      <c r="EI40" s="19"/>
      <c r="EJ40" s="274"/>
      <c r="EL40" s="19">
        <f>SUM(EL41:EL43)</f>
        <v>0</v>
      </c>
      <c r="EM40" s="19"/>
      <c r="EO40" s="244"/>
      <c r="EP40" s="451"/>
      <c r="EQ40" s="451"/>
    </row>
    <row r="41" spans="4:147" hidden="1" x14ac:dyDescent="0.2">
      <c r="D41" s="244" t="s">
        <v>344</v>
      </c>
      <c r="E41" s="82"/>
      <c r="F41" s="112"/>
      <c r="G41" s="374">
        <v>0</v>
      </c>
      <c r="H41" s="475"/>
      <c r="I41" s="19"/>
      <c r="J41" s="274"/>
      <c r="K41" s="112"/>
      <c r="L41" s="374">
        <v>0</v>
      </c>
      <c r="M41" s="475"/>
      <c r="N41" s="19"/>
      <c r="O41" s="274"/>
      <c r="P41" s="112"/>
      <c r="Q41" s="374">
        <v>0</v>
      </c>
      <c r="R41" s="475"/>
      <c r="S41" s="19"/>
      <c r="T41" s="274"/>
      <c r="U41" s="112"/>
      <c r="V41" s="374">
        <v>0</v>
      </c>
      <c r="W41" s="475"/>
      <c r="X41" s="19"/>
      <c r="Y41" s="274"/>
      <c r="Z41" s="112"/>
      <c r="AA41" s="374">
        <v>0</v>
      </c>
      <c r="AB41" s="475"/>
      <c r="AC41" s="19"/>
      <c r="AD41" s="274"/>
      <c r="AE41" s="112"/>
      <c r="AF41" s="374">
        <v>0</v>
      </c>
      <c r="AG41" s="475"/>
      <c r="AH41" s="19"/>
      <c r="AI41" s="274"/>
      <c r="AJ41" s="112"/>
      <c r="AK41" s="374">
        <v>0</v>
      </c>
      <c r="AL41" s="475"/>
      <c r="AM41" s="19"/>
      <c r="AN41" s="274"/>
      <c r="AO41" s="112"/>
      <c r="AP41" s="374">
        <v>0</v>
      </c>
      <c r="AQ41" s="475"/>
      <c r="AR41" s="19"/>
      <c r="AS41" s="274"/>
      <c r="AT41" s="112"/>
      <c r="AU41" s="374">
        <v>0</v>
      </c>
      <c r="AV41" s="475"/>
      <c r="AW41" s="19"/>
      <c r="AX41" s="274"/>
      <c r="AY41" s="112"/>
      <c r="AZ41" s="374">
        <v>0</v>
      </c>
      <c r="BA41" s="475"/>
      <c r="BB41" s="19"/>
      <c r="BC41" s="274"/>
      <c r="BD41" s="112"/>
      <c r="BE41" s="374">
        <v>0</v>
      </c>
      <c r="BF41" s="475"/>
      <c r="BG41" s="19"/>
      <c r="BH41" s="274"/>
      <c r="BI41" s="112"/>
      <c r="BJ41" s="374">
        <v>0</v>
      </c>
      <c r="BK41" s="475"/>
      <c r="BL41" s="19"/>
      <c r="BM41" s="274"/>
      <c r="BN41" s="112"/>
      <c r="BO41" s="374">
        <v>0</v>
      </c>
      <c r="BP41" s="475"/>
      <c r="BQ41" s="19"/>
      <c r="BR41" s="274"/>
      <c r="BS41" s="112"/>
      <c r="BT41" s="374">
        <f>SUM(L41:BO41)</f>
        <v>0</v>
      </c>
      <c r="BU41" s="475"/>
      <c r="BV41" s="19"/>
      <c r="BW41" s="274"/>
      <c r="BX41" s="112"/>
      <c r="BY41" s="374">
        <f>SUM(Q41:BT41)</f>
        <v>0</v>
      </c>
      <c r="BZ41" s="475"/>
      <c r="CA41" s="19"/>
      <c r="CB41" s="274"/>
      <c r="CC41" s="112"/>
      <c r="CD41" s="374">
        <v>0</v>
      </c>
      <c r="CE41" s="475"/>
      <c r="CF41" s="19"/>
      <c r="CG41" s="274"/>
      <c r="CH41" s="112"/>
      <c r="CI41" s="374">
        <v>0</v>
      </c>
      <c r="CJ41" s="475"/>
      <c r="CK41" s="19"/>
      <c r="CL41" s="274"/>
      <c r="CM41" s="112"/>
      <c r="CN41" s="374">
        <v>0</v>
      </c>
      <c r="CO41" s="475"/>
      <c r="CP41" s="19"/>
      <c r="CQ41" s="274"/>
      <c r="CR41" s="112"/>
      <c r="CS41" s="374">
        <v>0</v>
      </c>
      <c r="CT41" s="475"/>
      <c r="CU41" s="19"/>
      <c r="CV41" s="274"/>
      <c r="CW41" s="112"/>
      <c r="CX41" s="374">
        <v>0</v>
      </c>
      <c r="CY41" s="475"/>
      <c r="CZ41" s="19"/>
      <c r="DA41" s="274"/>
      <c r="DB41" s="112"/>
      <c r="DC41" s="374">
        <v>0</v>
      </c>
      <c r="DD41" s="475"/>
      <c r="DE41" s="19"/>
      <c r="DF41" s="274"/>
      <c r="DG41" s="112"/>
      <c r="DH41" s="374">
        <v>0</v>
      </c>
      <c r="DI41" s="475"/>
      <c r="DJ41" s="19"/>
      <c r="DK41" s="274"/>
      <c r="DL41" s="112"/>
      <c r="DM41" s="374">
        <v>0</v>
      </c>
      <c r="DN41" s="475"/>
      <c r="DO41" s="19"/>
      <c r="DP41" s="274"/>
      <c r="DQ41" s="112"/>
      <c r="DR41" s="374">
        <v>0</v>
      </c>
      <c r="DS41" s="475"/>
      <c r="DT41" s="19"/>
      <c r="DU41" s="274"/>
      <c r="DV41" s="112"/>
      <c r="DW41" s="374">
        <v>0</v>
      </c>
      <c r="DX41" s="475"/>
      <c r="DY41" s="19"/>
      <c r="DZ41" s="274"/>
      <c r="EA41" s="112"/>
      <c r="EB41" s="374">
        <v>0</v>
      </c>
      <c r="EC41" s="475"/>
      <c r="ED41" s="19"/>
      <c r="EE41" s="274"/>
      <c r="EF41" s="112"/>
      <c r="EG41" s="374">
        <v>0</v>
      </c>
      <c r="EH41" s="475"/>
      <c r="EI41" s="19"/>
      <c r="EJ41" s="274"/>
      <c r="EK41" s="112"/>
      <c r="EL41" s="374">
        <f>SUM(CD41:EG41)</f>
        <v>0</v>
      </c>
      <c r="EM41" s="475"/>
      <c r="EO41" s="244"/>
      <c r="EP41" s="451"/>
      <c r="EQ41" s="451"/>
    </row>
    <row r="42" spans="4:147" hidden="1" x14ac:dyDescent="0.2">
      <c r="D42" s="244" t="s">
        <v>426</v>
      </c>
      <c r="E42" s="82"/>
      <c r="F42" s="82"/>
      <c r="G42" s="19">
        <v>0</v>
      </c>
      <c r="H42" s="18"/>
      <c r="I42" s="19"/>
      <c r="J42" s="274"/>
      <c r="K42" s="82"/>
      <c r="L42" s="19">
        <v>0</v>
      </c>
      <c r="M42" s="18"/>
      <c r="N42" s="19"/>
      <c r="O42" s="274"/>
      <c r="P42" s="82"/>
      <c r="Q42" s="19">
        <v>0</v>
      </c>
      <c r="R42" s="18"/>
      <c r="S42" s="19"/>
      <c r="T42" s="274"/>
      <c r="U42" s="82"/>
      <c r="V42" s="19">
        <v>0</v>
      </c>
      <c r="W42" s="18"/>
      <c r="X42" s="19"/>
      <c r="Y42" s="274"/>
      <c r="Z42" s="82"/>
      <c r="AA42" s="19">
        <v>0</v>
      </c>
      <c r="AB42" s="18"/>
      <c r="AC42" s="19"/>
      <c r="AD42" s="274"/>
      <c r="AE42" s="82"/>
      <c r="AF42" s="19">
        <v>0</v>
      </c>
      <c r="AG42" s="18"/>
      <c r="AH42" s="19"/>
      <c r="AI42" s="274"/>
      <c r="AJ42" s="82"/>
      <c r="AK42" s="19">
        <v>0</v>
      </c>
      <c r="AL42" s="18"/>
      <c r="AM42" s="19"/>
      <c r="AN42" s="274"/>
      <c r="AO42" s="82"/>
      <c r="AP42" s="19">
        <v>0</v>
      </c>
      <c r="AQ42" s="18"/>
      <c r="AR42" s="19"/>
      <c r="AS42" s="274"/>
      <c r="AT42" s="82"/>
      <c r="AU42" s="19">
        <v>0</v>
      </c>
      <c r="AV42" s="18"/>
      <c r="AW42" s="19"/>
      <c r="AX42" s="274"/>
      <c r="AY42" s="82"/>
      <c r="AZ42" s="19">
        <v>0</v>
      </c>
      <c r="BA42" s="18"/>
      <c r="BB42" s="19"/>
      <c r="BC42" s="274"/>
      <c r="BD42" s="82"/>
      <c r="BE42" s="19">
        <v>0</v>
      </c>
      <c r="BF42" s="18"/>
      <c r="BG42" s="19"/>
      <c r="BH42" s="274"/>
      <c r="BI42" s="82"/>
      <c r="BJ42" s="19">
        <v>0</v>
      </c>
      <c r="BK42" s="18"/>
      <c r="BL42" s="19"/>
      <c r="BM42" s="274"/>
      <c r="BN42" s="82"/>
      <c r="BO42" s="19">
        <v>0</v>
      </c>
      <c r="BP42" s="18"/>
      <c r="BQ42" s="19"/>
      <c r="BR42" s="274"/>
      <c r="BS42" s="82"/>
      <c r="BT42" s="19">
        <f>SUM(L42:BO42)</f>
        <v>0</v>
      </c>
      <c r="BU42" s="18"/>
      <c r="BV42" s="19"/>
      <c r="BW42" s="274"/>
      <c r="BX42" s="82"/>
      <c r="BY42" s="19">
        <f>SUM(Q42:BT42)</f>
        <v>0</v>
      </c>
      <c r="BZ42" s="18"/>
      <c r="CA42" s="19"/>
      <c r="CB42" s="274"/>
      <c r="CC42" s="82"/>
      <c r="CD42" s="19">
        <v>0</v>
      </c>
      <c r="CE42" s="18"/>
      <c r="CF42" s="19"/>
      <c r="CG42" s="274"/>
      <c r="CH42" s="82"/>
      <c r="CI42" s="19">
        <v>0</v>
      </c>
      <c r="CJ42" s="18"/>
      <c r="CK42" s="19"/>
      <c r="CL42" s="274"/>
      <c r="CM42" s="82"/>
      <c r="CN42" s="19">
        <v>0</v>
      </c>
      <c r="CO42" s="18"/>
      <c r="CP42" s="19"/>
      <c r="CQ42" s="274"/>
      <c r="CR42" s="82"/>
      <c r="CS42" s="19">
        <v>0</v>
      </c>
      <c r="CT42" s="18"/>
      <c r="CU42" s="19"/>
      <c r="CV42" s="274"/>
      <c r="CW42" s="82"/>
      <c r="CX42" s="19">
        <v>0</v>
      </c>
      <c r="CY42" s="18"/>
      <c r="CZ42" s="19"/>
      <c r="DA42" s="274"/>
      <c r="DB42" s="82"/>
      <c r="DC42" s="19">
        <v>0</v>
      </c>
      <c r="DD42" s="18"/>
      <c r="DE42" s="19"/>
      <c r="DF42" s="274"/>
      <c r="DG42" s="82"/>
      <c r="DH42" s="19">
        <v>0</v>
      </c>
      <c r="DI42" s="18"/>
      <c r="DJ42" s="19"/>
      <c r="DK42" s="274"/>
      <c r="DL42" s="82"/>
      <c r="DM42" s="19">
        <v>0</v>
      </c>
      <c r="DN42" s="18"/>
      <c r="DO42" s="19"/>
      <c r="DP42" s="274"/>
      <c r="DQ42" s="82"/>
      <c r="DR42" s="19">
        <v>0</v>
      </c>
      <c r="DS42" s="18"/>
      <c r="DT42" s="19"/>
      <c r="DU42" s="274"/>
      <c r="DV42" s="82"/>
      <c r="DW42" s="19">
        <v>0</v>
      </c>
      <c r="DX42" s="18"/>
      <c r="DY42" s="19"/>
      <c r="DZ42" s="274"/>
      <c r="EA42" s="82"/>
      <c r="EB42" s="19">
        <v>0</v>
      </c>
      <c r="EC42" s="18"/>
      <c r="ED42" s="19"/>
      <c r="EE42" s="274"/>
      <c r="EF42" s="82"/>
      <c r="EG42" s="19">
        <v>0</v>
      </c>
      <c r="EH42" s="18"/>
      <c r="EI42" s="19"/>
      <c r="EJ42" s="274"/>
      <c r="EK42" s="82"/>
      <c r="EL42" s="19">
        <f>SUM(CD42:EG42)</f>
        <v>0</v>
      </c>
      <c r="EM42" s="18"/>
      <c r="EO42" s="244"/>
      <c r="EP42" s="451"/>
      <c r="EQ42" s="451"/>
    </row>
    <row r="43" spans="4:147" hidden="1" x14ac:dyDescent="0.2">
      <c r="D43" s="244" t="s">
        <v>427</v>
      </c>
      <c r="E43" s="82"/>
      <c r="F43" s="276"/>
      <c r="G43" s="37">
        <v>0</v>
      </c>
      <c r="H43" s="36"/>
      <c r="I43" s="19"/>
      <c r="J43" s="274"/>
      <c r="K43" s="276"/>
      <c r="L43" s="37">
        <v>0</v>
      </c>
      <c r="M43" s="36"/>
      <c r="N43" s="19"/>
      <c r="O43" s="274"/>
      <c r="P43" s="276"/>
      <c r="Q43" s="37">
        <v>0</v>
      </c>
      <c r="R43" s="36"/>
      <c r="S43" s="19"/>
      <c r="T43" s="274"/>
      <c r="U43" s="276"/>
      <c r="V43" s="37">
        <v>0</v>
      </c>
      <c r="W43" s="36"/>
      <c r="X43" s="19"/>
      <c r="Y43" s="274"/>
      <c r="Z43" s="276"/>
      <c r="AA43" s="37">
        <v>0</v>
      </c>
      <c r="AB43" s="36"/>
      <c r="AC43" s="19"/>
      <c r="AD43" s="274"/>
      <c r="AE43" s="276"/>
      <c r="AF43" s="37">
        <v>0</v>
      </c>
      <c r="AG43" s="36"/>
      <c r="AH43" s="19"/>
      <c r="AI43" s="274"/>
      <c r="AJ43" s="276"/>
      <c r="AK43" s="37">
        <v>0</v>
      </c>
      <c r="AL43" s="36"/>
      <c r="AM43" s="19"/>
      <c r="AN43" s="274"/>
      <c r="AO43" s="276"/>
      <c r="AP43" s="37">
        <v>0</v>
      </c>
      <c r="AQ43" s="36"/>
      <c r="AR43" s="19"/>
      <c r="AS43" s="274"/>
      <c r="AT43" s="276"/>
      <c r="AU43" s="37">
        <v>0</v>
      </c>
      <c r="AV43" s="36"/>
      <c r="AW43" s="19"/>
      <c r="AX43" s="274"/>
      <c r="AY43" s="276"/>
      <c r="AZ43" s="37">
        <v>0</v>
      </c>
      <c r="BA43" s="36"/>
      <c r="BB43" s="19"/>
      <c r="BC43" s="274"/>
      <c r="BD43" s="276"/>
      <c r="BE43" s="37">
        <v>0</v>
      </c>
      <c r="BF43" s="36"/>
      <c r="BG43" s="19"/>
      <c r="BH43" s="274"/>
      <c r="BI43" s="276"/>
      <c r="BJ43" s="37">
        <v>0</v>
      </c>
      <c r="BK43" s="36"/>
      <c r="BL43" s="19"/>
      <c r="BM43" s="274"/>
      <c r="BN43" s="276"/>
      <c r="BO43" s="37">
        <v>0</v>
      </c>
      <c r="BP43" s="36"/>
      <c r="BQ43" s="19"/>
      <c r="BR43" s="274"/>
      <c r="BS43" s="276"/>
      <c r="BT43" s="37">
        <f>SUM(L43:BO43)</f>
        <v>0</v>
      </c>
      <c r="BU43" s="36"/>
      <c r="BV43" s="19"/>
      <c r="BW43" s="274"/>
      <c r="BX43" s="276"/>
      <c r="BY43" s="37">
        <f>SUM(Q43:BT43)</f>
        <v>0</v>
      </c>
      <c r="BZ43" s="36"/>
      <c r="CA43" s="19"/>
      <c r="CB43" s="274"/>
      <c r="CC43" s="276"/>
      <c r="CD43" s="37">
        <v>0</v>
      </c>
      <c r="CE43" s="36"/>
      <c r="CF43" s="19"/>
      <c r="CG43" s="274"/>
      <c r="CH43" s="276"/>
      <c r="CI43" s="37">
        <v>0</v>
      </c>
      <c r="CJ43" s="36"/>
      <c r="CK43" s="19"/>
      <c r="CL43" s="274"/>
      <c r="CM43" s="276"/>
      <c r="CN43" s="37">
        <v>0</v>
      </c>
      <c r="CO43" s="36"/>
      <c r="CP43" s="19"/>
      <c r="CQ43" s="274"/>
      <c r="CR43" s="276"/>
      <c r="CS43" s="37">
        <v>0</v>
      </c>
      <c r="CT43" s="36"/>
      <c r="CU43" s="19"/>
      <c r="CV43" s="274"/>
      <c r="CW43" s="276"/>
      <c r="CX43" s="37">
        <v>0</v>
      </c>
      <c r="CY43" s="36"/>
      <c r="CZ43" s="19"/>
      <c r="DA43" s="274"/>
      <c r="DB43" s="276"/>
      <c r="DC43" s="37">
        <v>0</v>
      </c>
      <c r="DD43" s="36"/>
      <c r="DE43" s="19"/>
      <c r="DF43" s="274"/>
      <c r="DG43" s="276"/>
      <c r="DH43" s="37">
        <v>0</v>
      </c>
      <c r="DI43" s="36"/>
      <c r="DJ43" s="19"/>
      <c r="DK43" s="274"/>
      <c r="DL43" s="276"/>
      <c r="DM43" s="37">
        <v>0</v>
      </c>
      <c r="DN43" s="36"/>
      <c r="DO43" s="19"/>
      <c r="DP43" s="274"/>
      <c r="DQ43" s="276"/>
      <c r="DR43" s="37">
        <v>0</v>
      </c>
      <c r="DS43" s="36"/>
      <c r="DT43" s="19"/>
      <c r="DU43" s="274"/>
      <c r="DV43" s="276"/>
      <c r="DW43" s="37">
        <v>0</v>
      </c>
      <c r="DX43" s="36"/>
      <c r="DY43" s="19"/>
      <c r="DZ43" s="274"/>
      <c r="EA43" s="276"/>
      <c r="EB43" s="37">
        <v>0</v>
      </c>
      <c r="EC43" s="36"/>
      <c r="ED43" s="19"/>
      <c r="EE43" s="274"/>
      <c r="EF43" s="276"/>
      <c r="EG43" s="37">
        <v>0</v>
      </c>
      <c r="EH43" s="36"/>
      <c r="EI43" s="19"/>
      <c r="EJ43" s="274"/>
      <c r="EK43" s="276"/>
      <c r="EL43" s="37">
        <f>SUM(CD43:EG43)</f>
        <v>0</v>
      </c>
      <c r="EM43" s="36"/>
      <c r="EO43" s="244"/>
      <c r="EP43" s="451"/>
      <c r="EQ43" s="451"/>
    </row>
    <row r="44" spans="4:147" ht="12.75" hidden="1" customHeight="1" x14ac:dyDescent="0.2">
      <c r="D44" s="244"/>
      <c r="E44" s="82"/>
      <c r="G44" s="19"/>
      <c r="H44" s="19"/>
      <c r="I44" s="19"/>
      <c r="J44" s="274"/>
      <c r="K44" s="19"/>
      <c r="L44" s="19"/>
      <c r="M44" s="19"/>
      <c r="N44" s="19"/>
      <c r="O44" s="274"/>
      <c r="P44" s="19"/>
      <c r="Q44" s="19"/>
      <c r="R44" s="19"/>
      <c r="S44" s="19"/>
      <c r="T44" s="274"/>
      <c r="U44" s="19"/>
      <c r="V44" s="19"/>
      <c r="W44" s="19"/>
      <c r="X44" s="19"/>
      <c r="Y44" s="274"/>
      <c r="Z44" s="19"/>
      <c r="AA44" s="19"/>
      <c r="AB44" s="19"/>
      <c r="AC44" s="19"/>
      <c r="AD44" s="274"/>
      <c r="AE44" s="19"/>
      <c r="AF44" s="19"/>
      <c r="AG44" s="19"/>
      <c r="AH44" s="19"/>
      <c r="AI44" s="274"/>
      <c r="AJ44" s="19"/>
      <c r="AK44" s="19"/>
      <c r="AL44" s="19"/>
      <c r="AM44" s="19"/>
      <c r="AN44" s="274"/>
      <c r="AO44" s="19"/>
      <c r="AP44" s="19"/>
      <c r="AQ44" s="19"/>
      <c r="AR44" s="19"/>
      <c r="AS44" s="274"/>
      <c r="AT44" s="19"/>
      <c r="AU44" s="19"/>
      <c r="AV44" s="19"/>
      <c r="AW44" s="19"/>
      <c r="AX44" s="274"/>
      <c r="AY44" s="19"/>
      <c r="AZ44" s="19"/>
      <c r="BA44" s="19"/>
      <c r="BB44" s="19"/>
      <c r="BC44" s="274"/>
      <c r="BD44" s="19"/>
      <c r="BE44" s="19"/>
      <c r="BF44" s="19"/>
      <c r="BG44" s="19"/>
      <c r="BH44" s="274"/>
      <c r="BI44" s="19"/>
      <c r="BJ44" s="19"/>
      <c r="BK44" s="19"/>
      <c r="BL44" s="19"/>
      <c r="BM44" s="274"/>
      <c r="BN44" s="19"/>
      <c r="BO44" s="19"/>
      <c r="BP44" s="19"/>
      <c r="BQ44" s="19"/>
      <c r="BR44" s="274"/>
      <c r="BS44" s="19"/>
      <c r="BT44" s="19"/>
      <c r="BU44" s="19"/>
      <c r="BV44" s="19"/>
      <c r="BW44" s="274"/>
      <c r="BX44" s="19"/>
      <c r="BY44" s="19"/>
      <c r="BZ44" s="19"/>
      <c r="CA44" s="19"/>
      <c r="CB44" s="274"/>
      <c r="CC44" s="19"/>
      <c r="CD44" s="19"/>
      <c r="CE44" s="19"/>
      <c r="CF44" s="19"/>
      <c r="CG44" s="274"/>
      <c r="CH44" s="19"/>
      <c r="CI44" s="19"/>
      <c r="CJ44" s="19"/>
      <c r="CK44" s="19"/>
      <c r="CL44" s="274"/>
      <c r="CM44" s="19"/>
      <c r="CN44" s="19"/>
      <c r="CO44" s="19"/>
      <c r="CP44" s="19"/>
      <c r="CQ44" s="274"/>
      <c r="CR44" s="19"/>
      <c r="CS44" s="19"/>
      <c r="CT44" s="19"/>
      <c r="CU44" s="19"/>
      <c r="CV44" s="274"/>
      <c r="CW44" s="19"/>
      <c r="CX44" s="19"/>
      <c r="CY44" s="19"/>
      <c r="CZ44" s="19"/>
      <c r="DA44" s="274"/>
      <c r="DB44" s="19"/>
      <c r="DC44" s="19"/>
      <c r="DD44" s="19"/>
      <c r="DE44" s="19"/>
      <c r="DF44" s="274"/>
      <c r="DG44" s="19"/>
      <c r="DH44" s="19"/>
      <c r="DI44" s="19"/>
      <c r="DJ44" s="19"/>
      <c r="DK44" s="274"/>
      <c r="DL44" s="19"/>
      <c r="DM44" s="19"/>
      <c r="DN44" s="19"/>
      <c r="DO44" s="19"/>
      <c r="DP44" s="274"/>
      <c r="DQ44" s="19"/>
      <c r="DR44" s="19"/>
      <c r="DS44" s="19"/>
      <c r="DT44" s="19"/>
      <c r="DU44" s="274"/>
      <c r="DV44" s="19"/>
      <c r="DW44" s="19"/>
      <c r="DX44" s="19"/>
      <c r="DY44" s="19"/>
      <c r="DZ44" s="274"/>
      <c r="EA44" s="19"/>
      <c r="EB44" s="19"/>
      <c r="EC44" s="19"/>
      <c r="ED44" s="19"/>
      <c r="EE44" s="274"/>
      <c r="EF44" s="19"/>
      <c r="EG44" s="19"/>
      <c r="EH44" s="19"/>
      <c r="EI44" s="19"/>
      <c r="EJ44" s="274"/>
      <c r="EK44" s="19"/>
      <c r="EL44" s="19"/>
      <c r="EO44" s="244"/>
      <c r="EP44" s="451"/>
      <c r="EQ44" s="451"/>
    </row>
    <row r="45" spans="4:147" ht="12.75" hidden="1" customHeight="1" x14ac:dyDescent="0.2">
      <c r="D45" s="244" t="s">
        <v>365</v>
      </c>
      <c r="E45" s="82"/>
      <c r="G45" s="19">
        <f>SUM(G46:G48)</f>
        <v>0</v>
      </c>
      <c r="H45" s="19"/>
      <c r="I45" s="19"/>
      <c r="J45" s="274"/>
      <c r="K45" s="19"/>
      <c r="L45" s="19">
        <f>SUM(L46:L48)</f>
        <v>0</v>
      </c>
      <c r="M45" s="19"/>
      <c r="N45" s="19"/>
      <c r="O45" s="274"/>
      <c r="Q45" s="19">
        <f>SUM(Q46:Q48)</f>
        <v>0</v>
      </c>
      <c r="R45" s="19"/>
      <c r="S45" s="19"/>
      <c r="T45" s="274"/>
      <c r="V45" s="19">
        <f>SUM(V46:V48)</f>
        <v>0</v>
      </c>
      <c r="W45" s="19"/>
      <c r="X45" s="19"/>
      <c r="Y45" s="274"/>
      <c r="AA45" s="19">
        <f>SUM(AA46:AA48)</f>
        <v>0</v>
      </c>
      <c r="AB45" s="19"/>
      <c r="AC45" s="19"/>
      <c r="AD45" s="274"/>
      <c r="AF45" s="19">
        <f>SUM(AF46:AF48)</f>
        <v>0</v>
      </c>
      <c r="AG45" s="19"/>
      <c r="AH45" s="19"/>
      <c r="AI45" s="274"/>
      <c r="AK45" s="19">
        <f>SUM(AK46:AK48)</f>
        <v>0</v>
      </c>
      <c r="AL45" s="19"/>
      <c r="AM45" s="19"/>
      <c r="AN45" s="274"/>
      <c r="AP45" s="19">
        <f>SUM(AP46:AP48)</f>
        <v>0</v>
      </c>
      <c r="AQ45" s="19"/>
      <c r="AR45" s="19"/>
      <c r="AS45" s="274"/>
      <c r="AU45" s="19">
        <f>SUM(AU46:AU48)</f>
        <v>0</v>
      </c>
      <c r="AV45" s="19"/>
      <c r="AW45" s="19"/>
      <c r="AX45" s="274"/>
      <c r="AZ45" s="19">
        <f>SUM(AZ46:AZ48)</f>
        <v>0</v>
      </c>
      <c r="BA45" s="19"/>
      <c r="BB45" s="19"/>
      <c r="BC45" s="274"/>
      <c r="BE45" s="19">
        <f>SUM(BE46:BE48)</f>
        <v>0</v>
      </c>
      <c r="BF45" s="19"/>
      <c r="BG45" s="19"/>
      <c r="BH45" s="274"/>
      <c r="BJ45" s="19">
        <f>SUM(BJ46:BJ48)</f>
        <v>0</v>
      </c>
      <c r="BK45" s="19"/>
      <c r="BL45" s="19"/>
      <c r="BM45" s="274"/>
      <c r="BO45" s="19">
        <f>SUM(BO46:BO48)</f>
        <v>0</v>
      </c>
      <c r="BP45" s="19"/>
      <c r="BQ45" s="19"/>
      <c r="BR45" s="274"/>
      <c r="BS45" s="19"/>
      <c r="BT45" s="19">
        <f>SUM(BT46:BT48)</f>
        <v>0</v>
      </c>
      <c r="BU45" s="19"/>
      <c r="BV45" s="19"/>
      <c r="BW45" s="274"/>
      <c r="BX45" s="19"/>
      <c r="BY45" s="19">
        <f>SUM(BY46:BY48)</f>
        <v>0</v>
      </c>
      <c r="BZ45" s="19"/>
      <c r="CA45" s="19"/>
      <c r="CB45" s="274"/>
      <c r="CC45" s="19"/>
      <c r="CD45" s="19">
        <f>SUM(CD46:CD48)</f>
        <v>0</v>
      </c>
      <c r="CE45" s="19"/>
      <c r="CF45" s="19"/>
      <c r="CG45" s="274"/>
      <c r="CI45" s="19">
        <f>SUM(CI46:CI48)</f>
        <v>0</v>
      </c>
      <c r="CJ45" s="19"/>
      <c r="CK45" s="19"/>
      <c r="CL45" s="274"/>
      <c r="CN45" s="19">
        <f>SUM(CN46:CN48)</f>
        <v>0</v>
      </c>
      <c r="CO45" s="19"/>
      <c r="CP45" s="19"/>
      <c r="CQ45" s="274"/>
      <c r="CS45" s="19">
        <f>SUM(CS46:CS48)</f>
        <v>0</v>
      </c>
      <c r="CT45" s="19"/>
      <c r="CU45" s="19"/>
      <c r="CV45" s="274"/>
      <c r="CX45" s="19">
        <f>SUM(CX46:CX48)</f>
        <v>0</v>
      </c>
      <c r="CY45" s="19"/>
      <c r="CZ45" s="19"/>
      <c r="DA45" s="274"/>
      <c r="DC45" s="19">
        <f>SUM(DC46:DC48)</f>
        <v>0</v>
      </c>
      <c r="DD45" s="19"/>
      <c r="DE45" s="19"/>
      <c r="DF45" s="274"/>
      <c r="DH45" s="19">
        <f>SUM(DH46:DH48)</f>
        <v>0</v>
      </c>
      <c r="DI45" s="19"/>
      <c r="DJ45" s="19"/>
      <c r="DK45" s="274"/>
      <c r="DM45" s="19">
        <f>SUM(DM46:DM48)</f>
        <v>0</v>
      </c>
      <c r="DN45" s="19"/>
      <c r="DO45" s="19"/>
      <c r="DP45" s="274"/>
      <c r="DR45" s="19">
        <f>SUM(DR46:DR48)</f>
        <v>0</v>
      </c>
      <c r="DS45" s="19"/>
      <c r="DT45" s="19"/>
      <c r="DU45" s="274"/>
      <c r="DW45" s="19">
        <f>SUM(DW46:DW48)</f>
        <v>0</v>
      </c>
      <c r="DX45" s="19"/>
      <c r="DY45" s="19"/>
      <c r="DZ45" s="274"/>
      <c r="EB45" s="19">
        <f>SUM(EB46:EB48)</f>
        <v>0</v>
      </c>
      <c r="EC45" s="19"/>
      <c r="ED45" s="19"/>
      <c r="EE45" s="274"/>
      <c r="EG45" s="19">
        <f>SUM(EG46:EG48)</f>
        <v>0</v>
      </c>
      <c r="EH45" s="19"/>
      <c r="EI45" s="19"/>
      <c r="EJ45" s="274"/>
      <c r="EK45" s="19"/>
      <c r="EL45" s="19">
        <f>SUM(EL46:EL48)</f>
        <v>0</v>
      </c>
      <c r="EO45" s="244"/>
      <c r="EP45" s="451"/>
      <c r="EQ45" s="451"/>
    </row>
    <row r="46" spans="4:147" ht="12.75" hidden="1" customHeight="1" x14ac:dyDescent="0.2">
      <c r="D46" s="244" t="s">
        <v>344</v>
      </c>
      <c r="E46" s="82"/>
      <c r="F46" s="112"/>
      <c r="G46" s="374">
        <v>0</v>
      </c>
      <c r="H46" s="475"/>
      <c r="I46" s="19"/>
      <c r="J46" s="274"/>
      <c r="K46" s="173"/>
      <c r="L46" s="374">
        <v>0</v>
      </c>
      <c r="M46" s="475"/>
      <c r="N46" s="19"/>
      <c r="O46" s="274"/>
      <c r="P46" s="112"/>
      <c r="Q46" s="374">
        <v>0</v>
      </c>
      <c r="R46" s="475"/>
      <c r="S46" s="19"/>
      <c r="T46" s="274"/>
      <c r="U46" s="112"/>
      <c r="V46" s="374">
        <v>0</v>
      </c>
      <c r="W46" s="475"/>
      <c r="X46" s="19"/>
      <c r="Y46" s="274"/>
      <c r="Z46" s="112"/>
      <c r="AA46" s="374">
        <v>0</v>
      </c>
      <c r="AB46" s="475"/>
      <c r="AC46" s="19"/>
      <c r="AD46" s="274"/>
      <c r="AE46" s="112"/>
      <c r="AF46" s="374">
        <v>0</v>
      </c>
      <c r="AG46" s="475"/>
      <c r="AH46" s="19"/>
      <c r="AI46" s="274"/>
      <c r="AJ46" s="112"/>
      <c r="AK46" s="374">
        <v>0</v>
      </c>
      <c r="AL46" s="475"/>
      <c r="AM46" s="19"/>
      <c r="AN46" s="274"/>
      <c r="AO46" s="112"/>
      <c r="AP46" s="374">
        <v>0</v>
      </c>
      <c r="AQ46" s="475"/>
      <c r="AR46" s="19"/>
      <c r="AS46" s="274"/>
      <c r="AT46" s="112"/>
      <c r="AU46" s="374">
        <v>0</v>
      </c>
      <c r="AV46" s="475"/>
      <c r="AW46" s="19"/>
      <c r="AX46" s="274"/>
      <c r="AY46" s="112"/>
      <c r="AZ46" s="374">
        <v>0</v>
      </c>
      <c r="BA46" s="475"/>
      <c r="BB46" s="19"/>
      <c r="BC46" s="274"/>
      <c r="BD46" s="112"/>
      <c r="BE46" s="374">
        <v>0</v>
      </c>
      <c r="BF46" s="475"/>
      <c r="BG46" s="19"/>
      <c r="BH46" s="274"/>
      <c r="BI46" s="112"/>
      <c r="BJ46" s="374">
        <v>0</v>
      </c>
      <c r="BK46" s="475"/>
      <c r="BL46" s="19"/>
      <c r="BM46" s="274"/>
      <c r="BN46" s="112"/>
      <c r="BO46" s="374">
        <v>0</v>
      </c>
      <c r="BP46" s="475"/>
      <c r="BQ46" s="19"/>
      <c r="BR46" s="274"/>
      <c r="BS46" s="173"/>
      <c r="BT46" s="374">
        <f>SUM(L46:BO46)</f>
        <v>0</v>
      </c>
      <c r="BU46" s="475"/>
      <c r="BV46" s="19"/>
      <c r="BW46" s="274"/>
      <c r="BX46" s="173"/>
      <c r="BY46" s="374">
        <v>0</v>
      </c>
      <c r="BZ46" s="475"/>
      <c r="CA46" s="19"/>
      <c r="CB46" s="274"/>
      <c r="CC46" s="173"/>
      <c r="CD46" s="374">
        <v>0</v>
      </c>
      <c r="CE46" s="475"/>
      <c r="CF46" s="19"/>
      <c r="CG46" s="274"/>
      <c r="CH46" s="112"/>
      <c r="CI46" s="374">
        <v>0</v>
      </c>
      <c r="CJ46" s="475"/>
      <c r="CK46" s="19"/>
      <c r="CL46" s="274"/>
      <c r="CM46" s="112"/>
      <c r="CN46" s="374">
        <v>0</v>
      </c>
      <c r="CO46" s="475"/>
      <c r="CP46" s="19"/>
      <c r="CQ46" s="274"/>
      <c r="CR46" s="112"/>
      <c r="CS46" s="374">
        <v>0</v>
      </c>
      <c r="CT46" s="475"/>
      <c r="CU46" s="19"/>
      <c r="CV46" s="274"/>
      <c r="CW46" s="112"/>
      <c r="CX46" s="374">
        <v>0</v>
      </c>
      <c r="CY46" s="475"/>
      <c r="CZ46" s="19"/>
      <c r="DA46" s="274"/>
      <c r="DB46" s="112"/>
      <c r="DC46" s="374">
        <v>0</v>
      </c>
      <c r="DD46" s="475"/>
      <c r="DE46" s="19"/>
      <c r="DF46" s="274"/>
      <c r="DG46" s="112"/>
      <c r="DH46" s="374">
        <v>0</v>
      </c>
      <c r="DI46" s="475"/>
      <c r="DJ46" s="19"/>
      <c r="DK46" s="274"/>
      <c r="DL46" s="112"/>
      <c r="DM46" s="374">
        <v>0</v>
      </c>
      <c r="DN46" s="475"/>
      <c r="DO46" s="19"/>
      <c r="DP46" s="274"/>
      <c r="DQ46" s="112"/>
      <c r="DR46" s="374">
        <v>0</v>
      </c>
      <c r="DS46" s="475"/>
      <c r="DT46" s="19"/>
      <c r="DU46" s="274"/>
      <c r="DV46" s="112"/>
      <c r="DW46" s="374">
        <v>0</v>
      </c>
      <c r="DX46" s="475"/>
      <c r="DY46" s="19"/>
      <c r="DZ46" s="274"/>
      <c r="EA46" s="112"/>
      <c r="EB46" s="374">
        <v>0</v>
      </c>
      <c r="EC46" s="475"/>
      <c r="ED46" s="19"/>
      <c r="EE46" s="274"/>
      <c r="EF46" s="112"/>
      <c r="EG46" s="374">
        <v>0</v>
      </c>
      <c r="EH46" s="475"/>
      <c r="EI46" s="19"/>
      <c r="EJ46" s="274"/>
      <c r="EK46" s="173"/>
      <c r="EL46" s="374">
        <f>SUM(CD46:DM46)</f>
        <v>0</v>
      </c>
      <c r="EM46" s="297"/>
      <c r="EO46" s="244"/>
      <c r="EP46" s="451"/>
      <c r="EQ46" s="451"/>
    </row>
    <row r="47" spans="4:147" ht="12.75" hidden="1" customHeight="1" x14ac:dyDescent="0.2">
      <c r="D47" s="244" t="s">
        <v>426</v>
      </c>
      <c r="E47" s="82"/>
      <c r="F47" s="82"/>
      <c r="G47" s="19">
        <v>0</v>
      </c>
      <c r="H47" s="18"/>
      <c r="I47" s="19"/>
      <c r="J47" s="274"/>
      <c r="K47" s="274"/>
      <c r="L47" s="19">
        <v>0</v>
      </c>
      <c r="M47" s="18"/>
      <c r="N47" s="19"/>
      <c r="O47" s="274"/>
      <c r="P47" s="82"/>
      <c r="Q47" s="19">
        <v>0</v>
      </c>
      <c r="R47" s="18"/>
      <c r="S47" s="19"/>
      <c r="T47" s="274"/>
      <c r="U47" s="82"/>
      <c r="V47" s="19">
        <v>0</v>
      </c>
      <c r="W47" s="18"/>
      <c r="X47" s="19"/>
      <c r="Y47" s="274"/>
      <c r="Z47" s="82"/>
      <c r="AA47" s="19">
        <v>0</v>
      </c>
      <c r="AB47" s="18"/>
      <c r="AC47" s="19"/>
      <c r="AD47" s="274"/>
      <c r="AE47" s="82"/>
      <c r="AF47" s="19">
        <v>0</v>
      </c>
      <c r="AG47" s="18"/>
      <c r="AH47" s="19"/>
      <c r="AI47" s="274"/>
      <c r="AJ47" s="82"/>
      <c r="AK47" s="19">
        <v>0</v>
      </c>
      <c r="AL47" s="18"/>
      <c r="AM47" s="19"/>
      <c r="AN47" s="274"/>
      <c r="AO47" s="82"/>
      <c r="AP47" s="19">
        <v>0</v>
      </c>
      <c r="AQ47" s="18"/>
      <c r="AR47" s="19"/>
      <c r="AS47" s="274"/>
      <c r="AT47" s="82"/>
      <c r="AU47" s="19">
        <v>0</v>
      </c>
      <c r="AV47" s="18"/>
      <c r="AW47" s="19"/>
      <c r="AX47" s="274"/>
      <c r="AY47" s="82"/>
      <c r="AZ47" s="19">
        <v>0</v>
      </c>
      <c r="BA47" s="18"/>
      <c r="BB47" s="19"/>
      <c r="BC47" s="274"/>
      <c r="BD47" s="82"/>
      <c r="BE47" s="19">
        <v>0</v>
      </c>
      <c r="BF47" s="18"/>
      <c r="BG47" s="19"/>
      <c r="BH47" s="274"/>
      <c r="BI47" s="82"/>
      <c r="BJ47" s="19">
        <v>0</v>
      </c>
      <c r="BK47" s="18"/>
      <c r="BL47" s="19"/>
      <c r="BM47" s="274"/>
      <c r="BN47" s="82"/>
      <c r="BO47" s="19">
        <v>0</v>
      </c>
      <c r="BP47" s="18"/>
      <c r="BQ47" s="19"/>
      <c r="BR47" s="274"/>
      <c r="BS47" s="274"/>
      <c r="BT47" s="19">
        <f>SUM(L47:BO47)</f>
        <v>0</v>
      </c>
      <c r="BU47" s="18"/>
      <c r="BV47" s="19"/>
      <c r="BW47" s="274"/>
      <c r="BX47" s="274"/>
      <c r="BY47" s="19">
        <v>0</v>
      </c>
      <c r="BZ47" s="18"/>
      <c r="CA47" s="19"/>
      <c r="CB47" s="274"/>
      <c r="CC47" s="274"/>
      <c r="CD47" s="19">
        <v>0</v>
      </c>
      <c r="CE47" s="18"/>
      <c r="CF47" s="19"/>
      <c r="CG47" s="274"/>
      <c r="CH47" s="82"/>
      <c r="CI47" s="19">
        <v>0</v>
      </c>
      <c r="CJ47" s="18"/>
      <c r="CK47" s="19"/>
      <c r="CL47" s="274"/>
      <c r="CM47" s="82"/>
      <c r="CN47" s="19">
        <v>0</v>
      </c>
      <c r="CO47" s="18"/>
      <c r="CP47" s="19"/>
      <c r="CQ47" s="274"/>
      <c r="CR47" s="82"/>
      <c r="CS47" s="19">
        <v>0</v>
      </c>
      <c r="CT47" s="18"/>
      <c r="CU47" s="19"/>
      <c r="CV47" s="274"/>
      <c r="CW47" s="82"/>
      <c r="CX47" s="19">
        <v>0</v>
      </c>
      <c r="CY47" s="18"/>
      <c r="CZ47" s="19"/>
      <c r="DA47" s="274"/>
      <c r="DB47" s="82"/>
      <c r="DC47" s="19">
        <v>0</v>
      </c>
      <c r="DD47" s="18"/>
      <c r="DE47" s="19"/>
      <c r="DF47" s="274"/>
      <c r="DG47" s="82"/>
      <c r="DH47" s="19">
        <v>0</v>
      </c>
      <c r="DI47" s="18"/>
      <c r="DJ47" s="19"/>
      <c r="DK47" s="274"/>
      <c r="DL47" s="82"/>
      <c r="DM47" s="19">
        <v>0</v>
      </c>
      <c r="DN47" s="18"/>
      <c r="DO47" s="19"/>
      <c r="DP47" s="274"/>
      <c r="DQ47" s="82"/>
      <c r="DR47" s="19">
        <v>0</v>
      </c>
      <c r="DS47" s="18"/>
      <c r="DT47" s="19"/>
      <c r="DU47" s="274"/>
      <c r="DV47" s="82"/>
      <c r="DW47" s="19">
        <v>0</v>
      </c>
      <c r="DX47" s="18"/>
      <c r="DY47" s="19"/>
      <c r="DZ47" s="274"/>
      <c r="EA47" s="82"/>
      <c r="EB47" s="19">
        <v>0</v>
      </c>
      <c r="EC47" s="18"/>
      <c r="ED47" s="19"/>
      <c r="EE47" s="274"/>
      <c r="EF47" s="82"/>
      <c r="EG47" s="19">
        <v>0</v>
      </c>
      <c r="EH47" s="18"/>
      <c r="EI47" s="19"/>
      <c r="EJ47" s="274"/>
      <c r="EK47" s="274"/>
      <c r="EL47" s="19">
        <f>SUM(CD47:DM47)</f>
        <v>0</v>
      </c>
      <c r="EM47" s="375"/>
      <c r="EO47" s="244"/>
      <c r="EP47" s="451"/>
      <c r="EQ47" s="451"/>
    </row>
    <row r="48" spans="4:147" ht="12.75" hidden="1" customHeight="1" x14ac:dyDescent="0.2">
      <c r="D48" s="244" t="s">
        <v>427</v>
      </c>
      <c r="E48" s="82"/>
      <c r="F48" s="276"/>
      <c r="G48" s="37">
        <v>0</v>
      </c>
      <c r="H48" s="36"/>
      <c r="I48" s="19"/>
      <c r="J48" s="274"/>
      <c r="K48" s="231"/>
      <c r="L48" s="37">
        <v>0</v>
      </c>
      <c r="M48" s="36"/>
      <c r="N48" s="19"/>
      <c r="O48" s="274"/>
      <c r="P48" s="276"/>
      <c r="Q48" s="37">
        <v>0</v>
      </c>
      <c r="R48" s="36"/>
      <c r="S48" s="19"/>
      <c r="T48" s="274"/>
      <c r="U48" s="276"/>
      <c r="V48" s="37">
        <v>0</v>
      </c>
      <c r="W48" s="36"/>
      <c r="X48" s="19"/>
      <c r="Y48" s="274"/>
      <c r="Z48" s="276"/>
      <c r="AA48" s="37">
        <v>0</v>
      </c>
      <c r="AB48" s="36"/>
      <c r="AC48" s="19"/>
      <c r="AD48" s="274"/>
      <c r="AE48" s="276"/>
      <c r="AF48" s="37">
        <v>0</v>
      </c>
      <c r="AG48" s="36"/>
      <c r="AH48" s="19"/>
      <c r="AI48" s="274"/>
      <c r="AJ48" s="276"/>
      <c r="AK48" s="37">
        <v>0</v>
      </c>
      <c r="AL48" s="36"/>
      <c r="AM48" s="19"/>
      <c r="AN48" s="274"/>
      <c r="AO48" s="276"/>
      <c r="AP48" s="37">
        <v>0</v>
      </c>
      <c r="AQ48" s="36"/>
      <c r="AR48" s="19"/>
      <c r="AS48" s="274"/>
      <c r="AT48" s="276"/>
      <c r="AU48" s="37">
        <v>0</v>
      </c>
      <c r="AV48" s="36"/>
      <c r="AW48" s="19"/>
      <c r="AX48" s="274"/>
      <c r="AY48" s="276"/>
      <c r="AZ48" s="37">
        <v>0</v>
      </c>
      <c r="BA48" s="36"/>
      <c r="BB48" s="19"/>
      <c r="BC48" s="274"/>
      <c r="BD48" s="276"/>
      <c r="BE48" s="37">
        <v>0</v>
      </c>
      <c r="BF48" s="36"/>
      <c r="BG48" s="19"/>
      <c r="BH48" s="274"/>
      <c r="BI48" s="276"/>
      <c r="BJ48" s="37">
        <v>0</v>
      </c>
      <c r="BK48" s="36"/>
      <c r="BL48" s="19"/>
      <c r="BM48" s="274"/>
      <c r="BN48" s="276"/>
      <c r="BO48" s="37">
        <v>0</v>
      </c>
      <c r="BP48" s="36"/>
      <c r="BQ48" s="19"/>
      <c r="BR48" s="274"/>
      <c r="BS48" s="231"/>
      <c r="BT48" s="37">
        <f>SUM(L48:BO48)</f>
        <v>0</v>
      </c>
      <c r="BU48" s="36"/>
      <c r="BV48" s="19"/>
      <c r="BW48" s="274"/>
      <c r="BX48" s="231"/>
      <c r="BY48" s="37">
        <v>0</v>
      </c>
      <c r="BZ48" s="36"/>
      <c r="CA48" s="19"/>
      <c r="CB48" s="274"/>
      <c r="CC48" s="231"/>
      <c r="CD48" s="37">
        <v>0</v>
      </c>
      <c r="CE48" s="36"/>
      <c r="CF48" s="19"/>
      <c r="CG48" s="274"/>
      <c r="CH48" s="276"/>
      <c r="CI48" s="37">
        <v>0</v>
      </c>
      <c r="CJ48" s="36"/>
      <c r="CK48" s="19"/>
      <c r="CL48" s="274"/>
      <c r="CM48" s="276"/>
      <c r="CN48" s="37">
        <v>0</v>
      </c>
      <c r="CO48" s="36"/>
      <c r="CP48" s="19"/>
      <c r="CQ48" s="274"/>
      <c r="CR48" s="276"/>
      <c r="CS48" s="37">
        <v>0</v>
      </c>
      <c r="CT48" s="36"/>
      <c r="CU48" s="19"/>
      <c r="CV48" s="274"/>
      <c r="CW48" s="276"/>
      <c r="CX48" s="37">
        <v>0</v>
      </c>
      <c r="CY48" s="36"/>
      <c r="CZ48" s="19"/>
      <c r="DA48" s="274"/>
      <c r="DB48" s="276"/>
      <c r="DC48" s="37">
        <v>0</v>
      </c>
      <c r="DD48" s="36"/>
      <c r="DE48" s="19"/>
      <c r="DF48" s="274"/>
      <c r="DG48" s="276"/>
      <c r="DH48" s="37">
        <v>0</v>
      </c>
      <c r="DI48" s="36"/>
      <c r="DJ48" s="19"/>
      <c r="DK48" s="274"/>
      <c r="DL48" s="276"/>
      <c r="DM48" s="37">
        <v>0</v>
      </c>
      <c r="DN48" s="36"/>
      <c r="DO48" s="19"/>
      <c r="DP48" s="274"/>
      <c r="DQ48" s="276"/>
      <c r="DR48" s="37">
        <v>0</v>
      </c>
      <c r="DS48" s="36"/>
      <c r="DT48" s="19"/>
      <c r="DU48" s="274"/>
      <c r="DV48" s="276"/>
      <c r="DW48" s="37">
        <v>0</v>
      </c>
      <c r="DX48" s="36"/>
      <c r="DY48" s="19"/>
      <c r="DZ48" s="274"/>
      <c r="EA48" s="276"/>
      <c r="EB48" s="37">
        <v>0</v>
      </c>
      <c r="EC48" s="36"/>
      <c r="ED48" s="19"/>
      <c r="EE48" s="274"/>
      <c r="EF48" s="276"/>
      <c r="EG48" s="37">
        <v>0</v>
      </c>
      <c r="EH48" s="36"/>
      <c r="EI48" s="19"/>
      <c r="EJ48" s="274"/>
      <c r="EK48" s="231"/>
      <c r="EL48" s="37">
        <f>SUM(CD48:DM48)</f>
        <v>0</v>
      </c>
      <c r="EM48" s="158"/>
      <c r="EO48" s="244"/>
      <c r="EP48" s="451"/>
      <c r="EQ48" s="451"/>
    </row>
    <row r="49" spans="4:147" ht="12.75" hidden="1" customHeight="1" x14ac:dyDescent="0.2">
      <c r="D49" s="244"/>
      <c r="E49" s="82"/>
      <c r="G49" s="19"/>
      <c r="H49" s="19"/>
      <c r="I49" s="19"/>
      <c r="J49" s="274"/>
      <c r="K49" s="19"/>
      <c r="L49" s="19"/>
      <c r="M49" s="19"/>
      <c r="N49" s="19"/>
      <c r="O49" s="274"/>
      <c r="P49" s="19"/>
      <c r="Q49" s="19"/>
      <c r="R49" s="19"/>
      <c r="S49" s="19"/>
      <c r="T49" s="274"/>
      <c r="U49" s="19"/>
      <c r="V49" s="19"/>
      <c r="W49" s="19"/>
      <c r="X49" s="19"/>
      <c r="Y49" s="274"/>
      <c r="Z49" s="19"/>
      <c r="AA49" s="19"/>
      <c r="AB49" s="19"/>
      <c r="AC49" s="19"/>
      <c r="AD49" s="274"/>
      <c r="AE49" s="19"/>
      <c r="AF49" s="19"/>
      <c r="AG49" s="19"/>
      <c r="AH49" s="19"/>
      <c r="AI49" s="274"/>
      <c r="AJ49" s="19"/>
      <c r="AK49" s="19"/>
      <c r="AL49" s="19"/>
      <c r="AM49" s="19"/>
      <c r="AN49" s="274"/>
      <c r="AO49" s="19"/>
      <c r="AP49" s="19"/>
      <c r="AQ49" s="19"/>
      <c r="AR49" s="19"/>
      <c r="AS49" s="274"/>
      <c r="AT49" s="19"/>
      <c r="AU49" s="19"/>
      <c r="AV49" s="19"/>
      <c r="AW49" s="19"/>
      <c r="AX49" s="274"/>
      <c r="AY49" s="19"/>
      <c r="AZ49" s="19"/>
      <c r="BA49" s="19"/>
      <c r="BB49" s="19"/>
      <c r="BC49" s="274"/>
      <c r="BD49" s="19"/>
      <c r="BE49" s="19"/>
      <c r="BF49" s="19"/>
      <c r="BG49" s="19"/>
      <c r="BH49" s="274"/>
      <c r="BI49" s="19"/>
      <c r="BJ49" s="19"/>
      <c r="BK49" s="19"/>
      <c r="BL49" s="19"/>
      <c r="BM49" s="274"/>
      <c r="BN49" s="19"/>
      <c r="BO49" s="19"/>
      <c r="BP49" s="19"/>
      <c r="BQ49" s="19"/>
      <c r="BR49" s="274"/>
      <c r="BS49" s="19"/>
      <c r="BT49" s="19"/>
      <c r="BU49" s="19"/>
      <c r="BV49" s="19"/>
      <c r="BW49" s="274"/>
      <c r="BX49" s="19"/>
      <c r="BY49" s="19"/>
      <c r="BZ49" s="19"/>
      <c r="CA49" s="19"/>
      <c r="CB49" s="274"/>
      <c r="CC49" s="19"/>
      <c r="CD49" s="19"/>
      <c r="CE49" s="19"/>
      <c r="CF49" s="19"/>
      <c r="CG49" s="274"/>
      <c r="CH49" s="19"/>
      <c r="CI49" s="19"/>
      <c r="CJ49" s="19"/>
      <c r="CK49" s="19"/>
      <c r="CL49" s="274"/>
      <c r="CM49" s="19"/>
      <c r="CN49" s="19"/>
      <c r="CO49" s="19"/>
      <c r="CP49" s="19"/>
      <c r="CQ49" s="274"/>
      <c r="CR49" s="19"/>
      <c r="CS49" s="19"/>
      <c r="CT49" s="19"/>
      <c r="CU49" s="19"/>
      <c r="CV49" s="274"/>
      <c r="CW49" s="19"/>
      <c r="CX49" s="19"/>
      <c r="CY49" s="19"/>
      <c r="CZ49" s="19"/>
      <c r="DA49" s="274"/>
      <c r="DB49" s="19"/>
      <c r="DC49" s="19"/>
      <c r="DD49" s="19"/>
      <c r="DE49" s="19"/>
      <c r="DF49" s="274"/>
      <c r="DG49" s="19"/>
      <c r="DH49" s="19"/>
      <c r="DI49" s="19"/>
      <c r="DJ49" s="19"/>
      <c r="DK49" s="274"/>
      <c r="DL49" s="19"/>
      <c r="DM49" s="19"/>
      <c r="DN49" s="19"/>
      <c r="DO49" s="19"/>
      <c r="DP49" s="274"/>
      <c r="DQ49" s="19"/>
      <c r="DR49" s="19"/>
      <c r="DS49" s="19"/>
      <c r="DT49" s="19"/>
      <c r="DU49" s="274"/>
      <c r="DV49" s="19"/>
      <c r="DW49" s="19"/>
      <c r="DX49" s="19"/>
      <c r="DY49" s="19"/>
      <c r="DZ49" s="274"/>
      <c r="EA49" s="19"/>
      <c r="EB49" s="19"/>
      <c r="EC49" s="19"/>
      <c r="ED49" s="19"/>
      <c r="EE49" s="274"/>
      <c r="EF49" s="19"/>
      <c r="EG49" s="19"/>
      <c r="EH49" s="19"/>
      <c r="EI49" s="19"/>
      <c r="EJ49" s="274"/>
      <c r="EK49" s="19"/>
      <c r="EL49" s="19"/>
      <c r="EO49" s="244"/>
      <c r="EP49" s="451"/>
      <c r="EQ49" s="451"/>
    </row>
    <row r="50" spans="4:147" ht="12.75" customHeight="1" x14ac:dyDescent="0.2">
      <c r="D50" s="244" t="s">
        <v>372</v>
      </c>
      <c r="E50" s="82"/>
      <c r="G50" s="19">
        <f>SUM(G51:G53)</f>
        <v>4880000</v>
      </c>
      <c r="H50" s="19"/>
      <c r="I50" s="19"/>
      <c r="J50" s="274"/>
      <c r="K50" s="19"/>
      <c r="L50" s="19">
        <f>SUM(L51:L53)</f>
        <v>0</v>
      </c>
      <c r="M50" s="19"/>
      <c r="N50" s="19"/>
      <c r="O50" s="274"/>
      <c r="Q50" s="19">
        <f>SUM(Q51:Q53)</f>
        <v>0</v>
      </c>
      <c r="R50" s="19"/>
      <c r="S50" s="19"/>
      <c r="T50" s="274"/>
      <c r="V50" s="19">
        <f>SUM(V51:V53)</f>
        <v>0</v>
      </c>
      <c r="W50" s="19"/>
      <c r="X50" s="19"/>
      <c r="Y50" s="274"/>
      <c r="AA50" s="19">
        <f>SUM(AA51:AA53)</f>
        <v>0</v>
      </c>
      <c r="AB50" s="19"/>
      <c r="AC50" s="19"/>
      <c r="AD50" s="274"/>
      <c r="AF50" s="19">
        <f>SUM(AF51:AF53)</f>
        <v>0</v>
      </c>
      <c r="AG50" s="19"/>
      <c r="AH50" s="19"/>
      <c r="AI50" s="274"/>
      <c r="AK50" s="19">
        <f>SUM(AK51:AK53)</f>
        <v>0</v>
      </c>
      <c r="AL50" s="19"/>
      <c r="AM50" s="19"/>
      <c r="AN50" s="274"/>
      <c r="AP50" s="19">
        <f>SUM(AP51:AP53)</f>
        <v>0</v>
      </c>
      <c r="AQ50" s="19"/>
      <c r="AR50" s="19"/>
      <c r="AS50" s="274"/>
      <c r="AU50" s="19">
        <f>SUM(AU51:AU53)</f>
        <v>0</v>
      </c>
      <c r="AV50" s="19"/>
      <c r="AW50" s="19"/>
      <c r="AX50" s="274"/>
      <c r="AZ50" s="19">
        <f>SUM(AZ51:AZ53)</f>
        <v>0</v>
      </c>
      <c r="BA50" s="19"/>
      <c r="BB50" s="19"/>
      <c r="BC50" s="274"/>
      <c r="BE50" s="19">
        <f>SUM(BE51:BE53)</f>
        <v>0</v>
      </c>
      <c r="BF50" s="19"/>
      <c r="BG50" s="19"/>
      <c r="BH50" s="274"/>
      <c r="BJ50" s="19">
        <f>SUM(BJ51:BJ53)</f>
        <v>6805000</v>
      </c>
      <c r="BK50" s="19"/>
      <c r="BL50" s="19"/>
      <c r="BM50" s="274"/>
      <c r="BO50" s="19">
        <f>SUM(BO51:BO53)</f>
        <v>0</v>
      </c>
      <c r="BP50" s="19"/>
      <c r="BQ50" s="19"/>
      <c r="BR50" s="274"/>
      <c r="BS50" s="19"/>
      <c r="BT50" s="19">
        <f>SUM(BT51:BT53)</f>
        <v>6805000</v>
      </c>
      <c r="BU50" s="19"/>
      <c r="BV50" s="19"/>
      <c r="BW50" s="274"/>
      <c r="BX50" s="19"/>
      <c r="BY50" s="19">
        <f>SUM(BY51:BY53)</f>
        <v>0</v>
      </c>
      <c r="BZ50" s="19"/>
      <c r="CA50" s="19"/>
      <c r="CB50" s="274"/>
      <c r="CC50" s="19"/>
      <c r="CD50" s="19">
        <f>SUM(CD51:CD53)</f>
        <v>0</v>
      </c>
      <c r="CE50" s="19"/>
      <c r="CF50" s="19"/>
      <c r="CG50" s="274"/>
      <c r="CI50" s="19">
        <f>SUM(CI51:CI53)</f>
        <v>0</v>
      </c>
      <c r="CJ50" s="19"/>
      <c r="CK50" s="19"/>
      <c r="CL50" s="274"/>
      <c r="CN50" s="19">
        <f>SUM(CN51:CN53)</f>
        <v>0</v>
      </c>
      <c r="CO50" s="19"/>
      <c r="CP50" s="19"/>
      <c r="CQ50" s="274"/>
      <c r="CS50" s="19">
        <f>SUM(CS51:CS53)</f>
        <v>0</v>
      </c>
      <c r="CT50" s="19"/>
      <c r="CU50" s="19"/>
      <c r="CV50" s="274"/>
      <c r="CX50" s="19">
        <f>SUM(CX51:CX53)</f>
        <v>0</v>
      </c>
      <c r="CY50" s="19"/>
      <c r="CZ50" s="19"/>
      <c r="DA50" s="274"/>
      <c r="DC50" s="19">
        <f>SUM(DC51:DC53)</f>
        <v>0</v>
      </c>
      <c r="DD50" s="19"/>
      <c r="DE50" s="19"/>
      <c r="DF50" s="274"/>
      <c r="DH50" s="19">
        <f>SUM(DH51:DH53)</f>
        <v>0</v>
      </c>
      <c r="DI50" s="19"/>
      <c r="DJ50" s="19"/>
      <c r="DK50" s="274"/>
      <c r="DM50" s="19">
        <f>SUM(DM51:DM53)</f>
        <v>0</v>
      </c>
      <c r="DN50" s="19"/>
      <c r="DO50" s="19"/>
      <c r="DP50" s="274"/>
      <c r="DR50" s="19">
        <f>SUM(DR51:DR53)</f>
        <v>0</v>
      </c>
      <c r="DS50" s="19"/>
      <c r="DT50" s="19"/>
      <c r="DU50" s="274"/>
      <c r="DW50" s="19">
        <f>SUM(DW51:DW53)</f>
        <v>0</v>
      </c>
      <c r="DX50" s="19"/>
      <c r="DY50" s="19"/>
      <c r="DZ50" s="274"/>
      <c r="EB50" s="19">
        <f>SUM(EB51:EB53)</f>
        <v>0</v>
      </c>
      <c r="EC50" s="19"/>
      <c r="ED50" s="19"/>
      <c r="EE50" s="274"/>
      <c r="EG50" s="19">
        <f>SUM(EG51:EG53)</f>
        <v>0</v>
      </c>
      <c r="EH50" s="19"/>
      <c r="EI50" s="19"/>
      <c r="EJ50" s="274"/>
      <c r="EK50" s="19"/>
      <c r="EL50" s="19">
        <f>SUM(EL51:EL53)</f>
        <v>0</v>
      </c>
      <c r="EO50" s="244"/>
      <c r="EP50" s="451"/>
      <c r="EQ50" s="451"/>
    </row>
    <row r="51" spans="4:147" ht="12.75" customHeight="1" x14ac:dyDescent="0.2">
      <c r="D51" s="244" t="s">
        <v>344</v>
      </c>
      <c r="E51" s="82"/>
      <c r="F51" s="112"/>
      <c r="G51" s="374">
        <v>4880000</v>
      </c>
      <c r="H51" s="475"/>
      <c r="I51" s="19"/>
      <c r="J51" s="274"/>
      <c r="K51" s="173"/>
      <c r="L51" s="374">
        <v>0</v>
      </c>
      <c r="M51" s="475"/>
      <c r="N51" s="19"/>
      <c r="O51" s="274"/>
      <c r="P51" s="112"/>
      <c r="Q51" s="374">
        <v>0</v>
      </c>
      <c r="R51" s="475"/>
      <c r="S51" s="19"/>
      <c r="T51" s="274"/>
      <c r="U51" s="112"/>
      <c r="V51" s="374">
        <v>0</v>
      </c>
      <c r="W51" s="475"/>
      <c r="X51" s="19"/>
      <c r="Y51" s="274"/>
      <c r="Z51" s="112"/>
      <c r="AA51" s="374">
        <v>0</v>
      </c>
      <c r="AB51" s="475"/>
      <c r="AC51" s="19"/>
      <c r="AD51" s="274"/>
      <c r="AE51" s="112"/>
      <c r="AF51" s="374">
        <v>0</v>
      </c>
      <c r="AG51" s="475"/>
      <c r="AH51" s="19"/>
      <c r="AI51" s="274"/>
      <c r="AJ51" s="112"/>
      <c r="AK51" s="374">
        <v>0</v>
      </c>
      <c r="AL51" s="475"/>
      <c r="AM51" s="19"/>
      <c r="AN51" s="274"/>
      <c r="AO51" s="112"/>
      <c r="AP51" s="374">
        <v>0</v>
      </c>
      <c r="AQ51" s="475"/>
      <c r="AR51" s="19"/>
      <c r="AS51" s="274"/>
      <c r="AT51" s="112"/>
      <c r="AU51" s="374">
        <v>0</v>
      </c>
      <c r="AV51" s="475"/>
      <c r="AW51" s="19"/>
      <c r="AX51" s="274"/>
      <c r="AY51" s="112"/>
      <c r="AZ51" s="374">
        <v>0</v>
      </c>
      <c r="BA51" s="475"/>
      <c r="BB51" s="19"/>
      <c r="BC51" s="274"/>
      <c r="BD51" s="112"/>
      <c r="BE51" s="374">
        <v>0</v>
      </c>
      <c r="BF51" s="475"/>
      <c r="BG51" s="19"/>
      <c r="BH51" s="274"/>
      <c r="BI51" s="112"/>
      <c r="BJ51" s="374">
        <v>6805000</v>
      </c>
      <c r="BK51" s="475"/>
      <c r="BL51" s="19"/>
      <c r="BM51" s="274"/>
      <c r="BN51" s="112"/>
      <c r="BO51" s="374">
        <v>0</v>
      </c>
      <c r="BP51" s="475"/>
      <c r="BQ51" s="19"/>
      <c r="BR51" s="274"/>
      <c r="BS51" s="173"/>
      <c r="BT51" s="374">
        <f>SUM(L51:BO51)</f>
        <v>6805000</v>
      </c>
      <c r="BU51" s="475"/>
      <c r="BV51" s="19"/>
      <c r="BW51" s="274"/>
      <c r="BX51" s="173"/>
      <c r="BY51" s="374">
        <v>0</v>
      </c>
      <c r="BZ51" s="475"/>
      <c r="CA51" s="19"/>
      <c r="CB51" s="274"/>
      <c r="CC51" s="173"/>
      <c r="CD51" s="374">
        <v>0</v>
      </c>
      <c r="CE51" s="475"/>
      <c r="CF51" s="19"/>
      <c r="CG51" s="274"/>
      <c r="CH51" s="112"/>
      <c r="CI51" s="374">
        <v>0</v>
      </c>
      <c r="CJ51" s="475"/>
      <c r="CK51" s="19"/>
      <c r="CL51" s="274"/>
      <c r="CM51" s="112"/>
      <c r="CN51" s="374">
        <v>0</v>
      </c>
      <c r="CO51" s="475"/>
      <c r="CP51" s="19"/>
      <c r="CQ51" s="274"/>
      <c r="CR51" s="112"/>
      <c r="CS51" s="374">
        <v>0</v>
      </c>
      <c r="CT51" s="475"/>
      <c r="CU51" s="19"/>
      <c r="CV51" s="274"/>
      <c r="CW51" s="112"/>
      <c r="CX51" s="374">
        <v>0</v>
      </c>
      <c r="CY51" s="475"/>
      <c r="CZ51" s="19"/>
      <c r="DA51" s="274"/>
      <c r="DB51" s="112"/>
      <c r="DC51" s="374">
        <v>0</v>
      </c>
      <c r="DD51" s="475"/>
      <c r="DE51" s="19"/>
      <c r="DF51" s="274"/>
      <c r="DG51" s="112"/>
      <c r="DH51" s="374">
        <v>0</v>
      </c>
      <c r="DI51" s="475"/>
      <c r="DJ51" s="19"/>
      <c r="DK51" s="274"/>
      <c r="DL51" s="112"/>
      <c r="DM51" s="374">
        <v>0</v>
      </c>
      <c r="DN51" s="475"/>
      <c r="DO51" s="19"/>
      <c r="DP51" s="274"/>
      <c r="DQ51" s="112"/>
      <c r="DR51" s="374">
        <v>0</v>
      </c>
      <c r="DS51" s="475"/>
      <c r="DT51" s="19"/>
      <c r="DU51" s="274"/>
      <c r="DV51" s="112"/>
      <c r="DW51" s="374">
        <v>0</v>
      </c>
      <c r="DX51" s="475"/>
      <c r="DY51" s="19"/>
      <c r="DZ51" s="274"/>
      <c r="EA51" s="112"/>
      <c r="EB51" s="374">
        <v>0</v>
      </c>
      <c r="EC51" s="475"/>
      <c r="ED51" s="19"/>
      <c r="EE51" s="274"/>
      <c r="EF51" s="112"/>
      <c r="EG51" s="374">
        <v>0</v>
      </c>
      <c r="EH51" s="475"/>
      <c r="EI51" s="19"/>
      <c r="EJ51" s="274"/>
      <c r="EK51" s="173"/>
      <c r="EL51" s="374">
        <f>SUM(CD51:EG51)</f>
        <v>0</v>
      </c>
      <c r="EM51" s="297"/>
      <c r="EO51" s="244"/>
      <c r="EP51" s="451"/>
      <c r="EQ51" s="451"/>
    </row>
    <row r="52" spans="4:147" ht="12.75" customHeight="1" x14ac:dyDescent="0.2">
      <c r="D52" s="244" t="s">
        <v>426</v>
      </c>
      <c r="E52" s="82"/>
      <c r="F52" s="82"/>
      <c r="G52" s="19">
        <v>0</v>
      </c>
      <c r="H52" s="18"/>
      <c r="I52" s="19"/>
      <c r="J52" s="274"/>
      <c r="K52" s="274"/>
      <c r="L52" s="19">
        <v>0</v>
      </c>
      <c r="M52" s="18"/>
      <c r="N52" s="19"/>
      <c r="O52" s="274"/>
      <c r="P52" s="82"/>
      <c r="Q52" s="19">
        <v>0</v>
      </c>
      <c r="R52" s="18"/>
      <c r="S52" s="19"/>
      <c r="T52" s="274"/>
      <c r="U52" s="82"/>
      <c r="V52" s="19">
        <v>0</v>
      </c>
      <c r="W52" s="18"/>
      <c r="X52" s="19"/>
      <c r="Y52" s="274"/>
      <c r="Z52" s="82"/>
      <c r="AA52" s="19">
        <v>0</v>
      </c>
      <c r="AB52" s="18"/>
      <c r="AC52" s="19"/>
      <c r="AD52" s="274"/>
      <c r="AE52" s="82"/>
      <c r="AF52" s="19">
        <v>0</v>
      </c>
      <c r="AG52" s="18"/>
      <c r="AH52" s="19"/>
      <c r="AI52" s="274"/>
      <c r="AJ52" s="82"/>
      <c r="AK52" s="19">
        <v>0</v>
      </c>
      <c r="AL52" s="18"/>
      <c r="AM52" s="19"/>
      <c r="AN52" s="274"/>
      <c r="AO52" s="82"/>
      <c r="AP52" s="19">
        <v>0</v>
      </c>
      <c r="AQ52" s="18"/>
      <c r="AR52" s="19"/>
      <c r="AS52" s="274"/>
      <c r="AT52" s="82"/>
      <c r="AU52" s="19">
        <v>0</v>
      </c>
      <c r="AV52" s="18"/>
      <c r="AW52" s="19"/>
      <c r="AX52" s="274"/>
      <c r="AY52" s="82"/>
      <c r="AZ52" s="19">
        <v>0</v>
      </c>
      <c r="BA52" s="18"/>
      <c r="BB52" s="19"/>
      <c r="BC52" s="274"/>
      <c r="BD52" s="82"/>
      <c r="BE52" s="19">
        <v>0</v>
      </c>
      <c r="BF52" s="18"/>
      <c r="BG52" s="19"/>
      <c r="BH52" s="274"/>
      <c r="BI52" s="82"/>
      <c r="BJ52" s="19">
        <v>0</v>
      </c>
      <c r="BK52" s="18"/>
      <c r="BL52" s="19"/>
      <c r="BM52" s="274"/>
      <c r="BN52" s="82"/>
      <c r="BO52" s="19">
        <v>0</v>
      </c>
      <c r="BP52" s="18"/>
      <c r="BQ52" s="19"/>
      <c r="BR52" s="274"/>
      <c r="BS52" s="274"/>
      <c r="BT52" s="19">
        <f>SUM(L52:BO52)</f>
        <v>0</v>
      </c>
      <c r="BU52" s="18"/>
      <c r="BV52" s="19"/>
      <c r="BW52" s="274"/>
      <c r="BX52" s="274"/>
      <c r="BY52" s="19">
        <v>0</v>
      </c>
      <c r="BZ52" s="18"/>
      <c r="CA52" s="19"/>
      <c r="CB52" s="274"/>
      <c r="CC52" s="274"/>
      <c r="CD52" s="19">
        <v>0</v>
      </c>
      <c r="CE52" s="18"/>
      <c r="CF52" s="19"/>
      <c r="CG52" s="274"/>
      <c r="CH52" s="82"/>
      <c r="CI52" s="19">
        <v>0</v>
      </c>
      <c r="CJ52" s="18"/>
      <c r="CK52" s="19"/>
      <c r="CL52" s="274"/>
      <c r="CM52" s="82"/>
      <c r="CN52" s="19">
        <v>0</v>
      </c>
      <c r="CO52" s="18"/>
      <c r="CP52" s="19"/>
      <c r="CQ52" s="274"/>
      <c r="CR52" s="82"/>
      <c r="CS52" s="19">
        <v>0</v>
      </c>
      <c r="CT52" s="18"/>
      <c r="CU52" s="19"/>
      <c r="CV52" s="274"/>
      <c r="CW52" s="82"/>
      <c r="CX52" s="19">
        <v>0</v>
      </c>
      <c r="CY52" s="18"/>
      <c r="CZ52" s="19"/>
      <c r="DA52" s="274"/>
      <c r="DB52" s="82"/>
      <c r="DC52" s="19">
        <v>0</v>
      </c>
      <c r="DD52" s="18"/>
      <c r="DE52" s="19"/>
      <c r="DF52" s="274"/>
      <c r="DG52" s="82"/>
      <c r="DH52" s="19">
        <v>0</v>
      </c>
      <c r="DI52" s="18"/>
      <c r="DJ52" s="19"/>
      <c r="DK52" s="274"/>
      <c r="DL52" s="82"/>
      <c r="DM52" s="19">
        <v>0</v>
      </c>
      <c r="DN52" s="18"/>
      <c r="DO52" s="19"/>
      <c r="DP52" s="274"/>
      <c r="DQ52" s="82"/>
      <c r="DR52" s="19">
        <v>0</v>
      </c>
      <c r="DS52" s="18"/>
      <c r="DT52" s="19"/>
      <c r="DU52" s="274"/>
      <c r="DV52" s="82"/>
      <c r="DW52" s="19">
        <v>0</v>
      </c>
      <c r="DX52" s="18"/>
      <c r="DY52" s="19"/>
      <c r="DZ52" s="274"/>
      <c r="EA52" s="82"/>
      <c r="EB52" s="19">
        <v>0</v>
      </c>
      <c r="EC52" s="18"/>
      <c r="ED52" s="19"/>
      <c r="EE52" s="274"/>
      <c r="EF52" s="82"/>
      <c r="EG52" s="19">
        <v>0</v>
      </c>
      <c r="EH52" s="18"/>
      <c r="EI52" s="19"/>
      <c r="EJ52" s="274"/>
      <c r="EK52" s="274"/>
      <c r="EL52" s="19">
        <f>SUM(CD52:EG52)</f>
        <v>0</v>
      </c>
      <c r="EM52" s="375"/>
      <c r="EO52" s="244"/>
      <c r="EP52" s="451"/>
      <c r="EQ52" s="451"/>
    </row>
    <row r="53" spans="4:147" ht="12.75" customHeight="1" x14ac:dyDescent="0.2">
      <c r="D53" s="244" t="s">
        <v>427</v>
      </c>
      <c r="E53" s="82"/>
      <c r="F53" s="276"/>
      <c r="G53" s="37">
        <v>0</v>
      </c>
      <c r="H53" s="36"/>
      <c r="I53" s="19"/>
      <c r="J53" s="274"/>
      <c r="K53" s="231"/>
      <c r="L53" s="37">
        <v>0</v>
      </c>
      <c r="M53" s="36"/>
      <c r="N53" s="19"/>
      <c r="O53" s="274"/>
      <c r="P53" s="276"/>
      <c r="Q53" s="37">
        <v>0</v>
      </c>
      <c r="R53" s="36"/>
      <c r="S53" s="19"/>
      <c r="T53" s="274"/>
      <c r="U53" s="276"/>
      <c r="V53" s="37">
        <v>0</v>
      </c>
      <c r="W53" s="36"/>
      <c r="X53" s="19"/>
      <c r="Y53" s="274"/>
      <c r="Z53" s="276"/>
      <c r="AA53" s="37">
        <v>0</v>
      </c>
      <c r="AB53" s="36"/>
      <c r="AC53" s="19"/>
      <c r="AD53" s="274"/>
      <c r="AE53" s="276"/>
      <c r="AF53" s="37">
        <v>0</v>
      </c>
      <c r="AG53" s="36"/>
      <c r="AH53" s="19"/>
      <c r="AI53" s="274"/>
      <c r="AJ53" s="276"/>
      <c r="AK53" s="37">
        <v>0</v>
      </c>
      <c r="AL53" s="36"/>
      <c r="AM53" s="19"/>
      <c r="AN53" s="274"/>
      <c r="AO53" s="276"/>
      <c r="AP53" s="37">
        <v>0</v>
      </c>
      <c r="AQ53" s="36"/>
      <c r="AR53" s="19"/>
      <c r="AS53" s="274"/>
      <c r="AT53" s="276"/>
      <c r="AU53" s="37">
        <v>0</v>
      </c>
      <c r="AV53" s="36"/>
      <c r="AW53" s="19"/>
      <c r="AX53" s="274"/>
      <c r="AY53" s="276"/>
      <c r="AZ53" s="37">
        <v>0</v>
      </c>
      <c r="BA53" s="36"/>
      <c r="BB53" s="19"/>
      <c r="BC53" s="274"/>
      <c r="BD53" s="276"/>
      <c r="BE53" s="37">
        <v>0</v>
      </c>
      <c r="BF53" s="36"/>
      <c r="BG53" s="19"/>
      <c r="BH53" s="274"/>
      <c r="BI53" s="276"/>
      <c r="BJ53" s="37">
        <v>0</v>
      </c>
      <c r="BK53" s="36"/>
      <c r="BL53" s="19"/>
      <c r="BM53" s="274"/>
      <c r="BN53" s="276"/>
      <c r="BO53" s="37">
        <v>0</v>
      </c>
      <c r="BP53" s="36"/>
      <c r="BQ53" s="19"/>
      <c r="BR53" s="274"/>
      <c r="BS53" s="231"/>
      <c r="BT53" s="37">
        <f>SUM(L53:BO53)</f>
        <v>0</v>
      </c>
      <c r="BU53" s="36"/>
      <c r="BV53" s="19"/>
      <c r="BW53" s="274"/>
      <c r="BX53" s="231"/>
      <c r="BY53" s="37">
        <v>0</v>
      </c>
      <c r="BZ53" s="36"/>
      <c r="CA53" s="19"/>
      <c r="CB53" s="274"/>
      <c r="CC53" s="231"/>
      <c r="CD53" s="37">
        <v>0</v>
      </c>
      <c r="CE53" s="36"/>
      <c r="CF53" s="19"/>
      <c r="CG53" s="274"/>
      <c r="CH53" s="276"/>
      <c r="CI53" s="37">
        <v>0</v>
      </c>
      <c r="CJ53" s="36"/>
      <c r="CK53" s="19"/>
      <c r="CL53" s="274"/>
      <c r="CM53" s="276"/>
      <c r="CN53" s="37">
        <v>0</v>
      </c>
      <c r="CO53" s="36"/>
      <c r="CP53" s="19"/>
      <c r="CQ53" s="274"/>
      <c r="CR53" s="276"/>
      <c r="CS53" s="37">
        <v>0</v>
      </c>
      <c r="CT53" s="36"/>
      <c r="CU53" s="19"/>
      <c r="CV53" s="274"/>
      <c r="CW53" s="276"/>
      <c r="CX53" s="37">
        <v>0</v>
      </c>
      <c r="CY53" s="36"/>
      <c r="CZ53" s="19"/>
      <c r="DA53" s="274"/>
      <c r="DB53" s="276"/>
      <c r="DC53" s="37">
        <v>0</v>
      </c>
      <c r="DD53" s="36"/>
      <c r="DE53" s="19"/>
      <c r="DF53" s="274"/>
      <c r="DG53" s="276"/>
      <c r="DH53" s="37">
        <v>0</v>
      </c>
      <c r="DI53" s="36"/>
      <c r="DJ53" s="19"/>
      <c r="DK53" s="274"/>
      <c r="DL53" s="276"/>
      <c r="DM53" s="37">
        <v>0</v>
      </c>
      <c r="DN53" s="36"/>
      <c r="DO53" s="19"/>
      <c r="DP53" s="274"/>
      <c r="DQ53" s="276"/>
      <c r="DR53" s="37">
        <v>0</v>
      </c>
      <c r="DS53" s="36"/>
      <c r="DT53" s="19"/>
      <c r="DU53" s="274"/>
      <c r="DV53" s="276"/>
      <c r="DW53" s="37">
        <v>0</v>
      </c>
      <c r="DX53" s="36"/>
      <c r="DY53" s="19"/>
      <c r="DZ53" s="274"/>
      <c r="EA53" s="276"/>
      <c r="EB53" s="37">
        <v>0</v>
      </c>
      <c r="EC53" s="36"/>
      <c r="ED53" s="19"/>
      <c r="EE53" s="274"/>
      <c r="EF53" s="276"/>
      <c r="EG53" s="37">
        <v>0</v>
      </c>
      <c r="EH53" s="36"/>
      <c r="EI53" s="19"/>
      <c r="EJ53" s="274"/>
      <c r="EK53" s="231"/>
      <c r="EL53" s="37">
        <f>SUM(CD53:EG53)</f>
        <v>0</v>
      </c>
      <c r="EM53" s="158"/>
      <c r="EO53" s="244"/>
      <c r="EP53" s="451"/>
      <c r="EQ53" s="451"/>
    </row>
    <row r="54" spans="4:147" x14ac:dyDescent="0.2">
      <c r="D54" s="244"/>
      <c r="E54" s="82"/>
      <c r="G54" s="19"/>
      <c r="H54" s="19"/>
      <c r="I54" s="19"/>
      <c r="J54" s="274"/>
      <c r="K54" s="19"/>
      <c r="L54" s="19"/>
      <c r="M54" s="19"/>
      <c r="N54" s="19"/>
      <c r="O54" s="274"/>
      <c r="P54" s="19"/>
      <c r="Q54" s="19"/>
      <c r="R54" s="19"/>
      <c r="S54" s="19"/>
      <c r="T54" s="274"/>
      <c r="U54" s="19"/>
      <c r="V54" s="19"/>
      <c r="W54" s="19"/>
      <c r="X54" s="19"/>
      <c r="Y54" s="274"/>
      <c r="Z54" s="19"/>
      <c r="AA54" s="19"/>
      <c r="AB54" s="19"/>
      <c r="AC54" s="19"/>
      <c r="AD54" s="274"/>
      <c r="AE54" s="19"/>
      <c r="AF54" s="19"/>
      <c r="AG54" s="19"/>
      <c r="AH54" s="19"/>
      <c r="AI54" s="274"/>
      <c r="AJ54" s="19"/>
      <c r="AK54" s="19"/>
      <c r="AL54" s="19"/>
      <c r="AM54" s="19"/>
      <c r="AN54" s="274"/>
      <c r="AO54" s="19"/>
      <c r="AP54" s="19"/>
      <c r="AQ54" s="19"/>
      <c r="AR54" s="19"/>
      <c r="AS54" s="274"/>
      <c r="AT54" s="19"/>
      <c r="AU54" s="19"/>
      <c r="AV54" s="19"/>
      <c r="AW54" s="19"/>
      <c r="AX54" s="274"/>
      <c r="AY54" s="19"/>
      <c r="AZ54" s="19"/>
      <c r="BA54" s="19"/>
      <c r="BB54" s="19"/>
      <c r="BC54" s="274"/>
      <c r="BD54" s="19"/>
      <c r="BE54" s="19"/>
      <c r="BF54" s="19"/>
      <c r="BG54" s="19"/>
      <c r="BH54" s="274"/>
      <c r="BI54" s="19"/>
      <c r="BJ54" s="19"/>
      <c r="BK54" s="19"/>
      <c r="BL54" s="19"/>
      <c r="BM54" s="274"/>
      <c r="BN54" s="19"/>
      <c r="BO54" s="19"/>
      <c r="BP54" s="19"/>
      <c r="BQ54" s="19"/>
      <c r="BR54" s="274"/>
      <c r="BS54" s="19"/>
      <c r="BT54" s="19"/>
      <c r="BU54" s="19"/>
      <c r="BV54" s="19"/>
      <c r="BW54" s="274"/>
      <c r="BX54" s="19"/>
      <c r="BY54" s="19"/>
      <c r="BZ54" s="19"/>
      <c r="CA54" s="19"/>
      <c r="CB54" s="274"/>
      <c r="CC54" s="19"/>
      <c r="CD54" s="19"/>
      <c r="CE54" s="19"/>
      <c r="CF54" s="19"/>
      <c r="CG54" s="274"/>
      <c r="CH54" s="19"/>
      <c r="CI54" s="19"/>
      <c r="CJ54" s="19"/>
      <c r="CK54" s="19"/>
      <c r="CL54" s="274"/>
      <c r="CM54" s="19"/>
      <c r="CN54" s="19"/>
      <c r="CO54" s="19"/>
      <c r="CP54" s="19"/>
      <c r="CQ54" s="274"/>
      <c r="CR54" s="19"/>
      <c r="CS54" s="19"/>
      <c r="CT54" s="19"/>
      <c r="CU54" s="19"/>
      <c r="CV54" s="274"/>
      <c r="CW54" s="19"/>
      <c r="CX54" s="19"/>
      <c r="CY54" s="19"/>
      <c r="CZ54" s="19"/>
      <c r="DA54" s="274"/>
      <c r="DB54" s="19"/>
      <c r="DC54" s="19"/>
      <c r="DD54" s="19"/>
      <c r="DE54" s="19"/>
      <c r="DF54" s="274"/>
      <c r="DG54" s="19"/>
      <c r="DH54" s="19"/>
      <c r="DI54" s="19"/>
      <c r="DJ54" s="19"/>
      <c r="DK54" s="274"/>
      <c r="DL54" s="19"/>
      <c r="DM54" s="19"/>
      <c r="DN54" s="19"/>
      <c r="DO54" s="19"/>
      <c r="DP54" s="274"/>
      <c r="DQ54" s="19"/>
      <c r="DR54" s="19"/>
      <c r="DS54" s="19"/>
      <c r="DT54" s="19"/>
      <c r="DU54" s="274"/>
      <c r="DV54" s="19"/>
      <c r="DW54" s="19"/>
      <c r="DX54" s="19"/>
      <c r="DY54" s="19"/>
      <c r="DZ54" s="274"/>
      <c r="EA54" s="19"/>
      <c r="EB54" s="19"/>
      <c r="EC54" s="19"/>
      <c r="ED54" s="19"/>
      <c r="EE54" s="274"/>
      <c r="EF54" s="19"/>
      <c r="EG54" s="19"/>
      <c r="EH54" s="19"/>
      <c r="EI54" s="19"/>
      <c r="EJ54" s="274"/>
      <c r="EK54" s="19"/>
      <c r="EL54" s="19"/>
      <c r="EO54" s="244"/>
      <c r="EP54" s="451"/>
      <c r="EQ54" s="451"/>
    </row>
    <row r="55" spans="4:147" x14ac:dyDescent="0.2">
      <c r="D55" s="244" t="s">
        <v>364</v>
      </c>
      <c r="E55" s="82"/>
      <c r="G55" s="19">
        <f>SUM(G56:G58)</f>
        <v>0</v>
      </c>
      <c r="H55" s="19"/>
      <c r="I55" s="19"/>
      <c r="J55" s="274"/>
      <c r="K55" s="19"/>
      <c r="L55" s="19">
        <f>SUM(L56:L58)</f>
        <v>0</v>
      </c>
      <c r="M55" s="19"/>
      <c r="N55" s="19"/>
      <c r="O55" s="274"/>
      <c r="Q55" s="19">
        <f>SUM(Q56:Q58)</f>
        <v>0</v>
      </c>
      <c r="R55" s="19"/>
      <c r="S55" s="19"/>
      <c r="T55" s="274"/>
      <c r="V55" s="19">
        <f>SUM(V56:V58)</f>
        <v>0</v>
      </c>
      <c r="W55" s="19"/>
      <c r="X55" s="19"/>
      <c r="Y55" s="274"/>
      <c r="AA55" s="19">
        <f>SUM(AA56:AA58)</f>
        <v>0</v>
      </c>
      <c r="AB55" s="19"/>
      <c r="AC55" s="19"/>
      <c r="AD55" s="274"/>
      <c r="AF55" s="19">
        <f>SUM(AF56:AF58)</f>
        <v>0</v>
      </c>
      <c r="AG55" s="19"/>
      <c r="AH55" s="19"/>
      <c r="AI55" s="274"/>
      <c r="AK55" s="19">
        <f>SUM(AK56:AK58)</f>
        <v>0</v>
      </c>
      <c r="AL55" s="19"/>
      <c r="AM55" s="19"/>
      <c r="AN55" s="274"/>
      <c r="AP55" s="19">
        <f>SUM(AP56:AP58)</f>
        <v>0</v>
      </c>
      <c r="AQ55" s="19"/>
      <c r="AR55" s="19"/>
      <c r="AS55" s="274"/>
      <c r="AU55" s="19">
        <f>SUM(AU56:AU58)</f>
        <v>0</v>
      </c>
      <c r="AV55" s="19"/>
      <c r="AW55" s="19"/>
      <c r="AX55" s="274"/>
      <c r="AZ55" s="19">
        <f>SUM(AZ56:AZ58)</f>
        <v>0</v>
      </c>
      <c r="BA55" s="19"/>
      <c r="BB55" s="19"/>
      <c r="BC55" s="274"/>
      <c r="BE55" s="19">
        <f>SUM(BE56:BE58)</f>
        <v>0</v>
      </c>
      <c r="BF55" s="19"/>
      <c r="BG55" s="19"/>
      <c r="BH55" s="274"/>
      <c r="BJ55" s="19">
        <f>SUM(BJ56:BJ58)</f>
        <v>0</v>
      </c>
      <c r="BK55" s="19"/>
      <c r="BL55" s="19"/>
      <c r="BM55" s="274"/>
      <c r="BO55" s="19">
        <f>SUM(BO56:BO58)</f>
        <v>0</v>
      </c>
      <c r="BP55" s="19"/>
      <c r="BQ55" s="19"/>
      <c r="BR55" s="274"/>
      <c r="BS55" s="37"/>
      <c r="BT55" s="37">
        <f>SUM(BT56:BT58)</f>
        <v>0</v>
      </c>
      <c r="BU55" s="19"/>
      <c r="BV55" s="19"/>
      <c r="BW55" s="274"/>
      <c r="BX55" s="19"/>
      <c r="BY55" s="19">
        <f>SUM(BY56:BY58)</f>
        <v>12795000</v>
      </c>
      <c r="BZ55" s="19"/>
      <c r="CA55" s="19"/>
      <c r="CB55" s="274"/>
      <c r="CC55" s="19"/>
      <c r="CD55" s="19">
        <f>SUM(CD56:CD58)</f>
        <v>0</v>
      </c>
      <c r="CE55" s="19"/>
      <c r="CF55" s="19"/>
      <c r="CG55" s="274"/>
      <c r="CI55" s="19">
        <f>SUM(CI56:CI58)</f>
        <v>12795000</v>
      </c>
      <c r="CJ55" s="19"/>
      <c r="CK55" s="19"/>
      <c r="CL55" s="274"/>
      <c r="CN55" s="19">
        <f>SUM(CN56:CN58)</f>
        <v>0</v>
      </c>
      <c r="CO55" s="19"/>
      <c r="CP55" s="19"/>
      <c r="CQ55" s="274"/>
      <c r="CS55" s="19">
        <f>SUM(CS56:CS58)</f>
        <v>0</v>
      </c>
      <c r="CT55" s="19"/>
      <c r="CU55" s="19"/>
      <c r="CV55" s="274"/>
      <c r="CX55" s="19">
        <f>SUM(CX56:CX58)</f>
        <v>0</v>
      </c>
      <c r="CY55" s="19"/>
      <c r="CZ55" s="19"/>
      <c r="DA55" s="274"/>
      <c r="DC55" s="19">
        <f>SUM(DC56:DC58)</f>
        <v>0</v>
      </c>
      <c r="DD55" s="19"/>
      <c r="DE55" s="19"/>
      <c r="DF55" s="274"/>
      <c r="DH55" s="19">
        <f>SUM(DH56:DH58)</f>
        <v>0</v>
      </c>
      <c r="DI55" s="19"/>
      <c r="DJ55" s="19"/>
      <c r="DK55" s="274"/>
      <c r="DM55" s="19">
        <f>SUM(DM56:DM58)</f>
        <v>0</v>
      </c>
      <c r="DN55" s="19"/>
      <c r="DO55" s="19"/>
      <c r="DP55" s="274"/>
      <c r="DR55" s="19">
        <f>SUM(DR56:DR58)</f>
        <v>0</v>
      </c>
      <c r="DS55" s="19"/>
      <c r="DT55" s="19"/>
      <c r="DU55" s="274"/>
      <c r="DW55" s="19">
        <f>SUM(DW56:DW58)</f>
        <v>0</v>
      </c>
      <c r="DX55" s="19"/>
      <c r="DY55" s="19"/>
      <c r="DZ55" s="274"/>
      <c r="EB55" s="19">
        <f>SUM(EB56:EB58)</f>
        <v>0</v>
      </c>
      <c r="EC55" s="19"/>
      <c r="ED55" s="19"/>
      <c r="EE55" s="274"/>
      <c r="EG55" s="19">
        <f>SUM(EG56:EG58)</f>
        <v>0</v>
      </c>
      <c r="EH55" s="19"/>
      <c r="EI55" s="18"/>
      <c r="EJ55" s="274"/>
      <c r="EK55" s="19"/>
      <c r="EL55" s="19">
        <f>SUM(EL56:EL58)</f>
        <v>12795000</v>
      </c>
      <c r="EM55" s="19"/>
      <c r="EN55" s="19"/>
      <c r="EO55" s="244"/>
      <c r="EP55" s="451"/>
      <c r="EQ55" s="451"/>
    </row>
    <row r="56" spans="4:147" x14ac:dyDescent="0.2">
      <c r="D56" s="244" t="s">
        <v>344</v>
      </c>
      <c r="E56" s="82"/>
      <c r="F56" s="112"/>
      <c r="G56" s="374">
        <v>0</v>
      </c>
      <c r="H56" s="475"/>
      <c r="I56" s="19"/>
      <c r="J56" s="274"/>
      <c r="K56" s="173"/>
      <c r="L56" s="374">
        <v>0</v>
      </c>
      <c r="M56" s="475"/>
      <c r="N56" s="19"/>
      <c r="O56" s="274"/>
      <c r="P56" s="112"/>
      <c r="Q56" s="374">
        <v>0</v>
      </c>
      <c r="R56" s="475"/>
      <c r="S56" s="19"/>
      <c r="T56" s="274"/>
      <c r="U56" s="112"/>
      <c r="V56" s="374">
        <v>0</v>
      </c>
      <c r="W56" s="475"/>
      <c r="X56" s="19"/>
      <c r="Y56" s="274"/>
      <c r="Z56" s="112"/>
      <c r="AA56" s="374">
        <v>0</v>
      </c>
      <c r="AB56" s="475"/>
      <c r="AC56" s="19"/>
      <c r="AD56" s="274"/>
      <c r="AE56" s="112"/>
      <c r="AF56" s="374">
        <v>0</v>
      </c>
      <c r="AG56" s="475"/>
      <c r="AH56" s="19"/>
      <c r="AI56" s="274"/>
      <c r="AJ56" s="112"/>
      <c r="AK56" s="374">
        <v>0</v>
      </c>
      <c r="AL56" s="475"/>
      <c r="AM56" s="19"/>
      <c r="AN56" s="274"/>
      <c r="AO56" s="112"/>
      <c r="AP56" s="374">
        <v>0</v>
      </c>
      <c r="AQ56" s="475"/>
      <c r="AR56" s="19"/>
      <c r="AS56" s="274"/>
      <c r="AT56" s="112"/>
      <c r="AU56" s="374">
        <v>0</v>
      </c>
      <c r="AV56" s="475"/>
      <c r="AW56" s="19"/>
      <c r="AX56" s="274"/>
      <c r="AY56" s="112"/>
      <c r="AZ56" s="374">
        <v>0</v>
      </c>
      <c r="BA56" s="475"/>
      <c r="BB56" s="19"/>
      <c r="BC56" s="274"/>
      <c r="BD56" s="112"/>
      <c r="BE56" s="374">
        <v>0</v>
      </c>
      <c r="BF56" s="475"/>
      <c r="BG56" s="19"/>
      <c r="BH56" s="274"/>
      <c r="BI56" s="112"/>
      <c r="BJ56" s="374">
        <v>0</v>
      </c>
      <c r="BK56" s="475"/>
      <c r="BL56" s="19"/>
      <c r="BM56" s="274"/>
      <c r="BN56" s="112"/>
      <c r="BO56" s="374">
        <v>0</v>
      </c>
      <c r="BP56" s="475"/>
      <c r="BQ56" s="19"/>
      <c r="BR56" s="274"/>
      <c r="BS56" s="274"/>
      <c r="BT56" s="19">
        <f>SUM(L56:BO56)</f>
        <v>0</v>
      </c>
      <c r="BU56" s="475"/>
      <c r="BV56" s="19"/>
      <c r="BW56" s="274"/>
      <c r="BX56" s="173"/>
      <c r="BY56" s="374">
        <v>12795000</v>
      </c>
      <c r="BZ56" s="475"/>
      <c r="CA56" s="19"/>
      <c r="CB56" s="274"/>
      <c r="CC56" s="173"/>
      <c r="CD56" s="374">
        <v>0</v>
      </c>
      <c r="CE56" s="475"/>
      <c r="CF56" s="19"/>
      <c r="CG56" s="274"/>
      <c r="CH56" s="112"/>
      <c r="CI56" s="374">
        <v>12795000</v>
      </c>
      <c r="CJ56" s="475"/>
      <c r="CK56" s="19"/>
      <c r="CL56" s="274"/>
      <c r="CM56" s="112"/>
      <c r="CN56" s="374">
        <v>0</v>
      </c>
      <c r="CO56" s="475"/>
      <c r="CP56" s="19"/>
      <c r="CQ56" s="274"/>
      <c r="CR56" s="112"/>
      <c r="CS56" s="374">
        <v>0</v>
      </c>
      <c r="CT56" s="475"/>
      <c r="CU56" s="19"/>
      <c r="CV56" s="274"/>
      <c r="CW56" s="112"/>
      <c r="CX56" s="374">
        <v>0</v>
      </c>
      <c r="CY56" s="475"/>
      <c r="CZ56" s="19"/>
      <c r="DA56" s="274"/>
      <c r="DB56" s="112"/>
      <c r="DC56" s="374">
        <v>0</v>
      </c>
      <c r="DD56" s="475"/>
      <c r="DE56" s="19"/>
      <c r="DF56" s="274"/>
      <c r="DG56" s="112"/>
      <c r="DH56" s="374">
        <v>0</v>
      </c>
      <c r="DI56" s="475"/>
      <c r="DJ56" s="19"/>
      <c r="DK56" s="274"/>
      <c r="DL56" s="112"/>
      <c r="DM56" s="374">
        <v>0</v>
      </c>
      <c r="DN56" s="475"/>
      <c r="DO56" s="19"/>
      <c r="DP56" s="274"/>
      <c r="DQ56" s="112"/>
      <c r="DR56" s="374">
        <v>0</v>
      </c>
      <c r="DS56" s="475"/>
      <c r="DT56" s="19"/>
      <c r="DU56" s="274"/>
      <c r="DV56" s="112"/>
      <c r="DW56" s="374">
        <v>0</v>
      </c>
      <c r="DX56" s="475"/>
      <c r="DY56" s="19"/>
      <c r="DZ56" s="274"/>
      <c r="EA56" s="112"/>
      <c r="EB56" s="374">
        <v>0</v>
      </c>
      <c r="EC56" s="475"/>
      <c r="ED56" s="19"/>
      <c r="EE56" s="274"/>
      <c r="EF56" s="112"/>
      <c r="EG56" s="374">
        <v>0</v>
      </c>
      <c r="EH56" s="475"/>
      <c r="EI56" s="18"/>
      <c r="EJ56" s="17"/>
      <c r="EK56" s="173"/>
      <c r="EL56" s="374">
        <f>SUM(CD56:EG56)</f>
        <v>12795000</v>
      </c>
      <c r="EM56" s="475"/>
      <c r="EN56" s="19"/>
      <c r="EO56" s="244"/>
      <c r="EP56" s="451"/>
      <c r="EQ56" s="451"/>
    </row>
    <row r="57" spans="4:147" x14ac:dyDescent="0.2">
      <c r="D57" s="244" t="s">
        <v>426</v>
      </c>
      <c r="E57" s="82"/>
      <c r="F57" s="82"/>
      <c r="G57" s="19">
        <v>0</v>
      </c>
      <c r="H57" s="18"/>
      <c r="I57" s="19"/>
      <c r="J57" s="274"/>
      <c r="K57" s="274"/>
      <c r="L57" s="19">
        <v>0</v>
      </c>
      <c r="M57" s="18"/>
      <c r="N57" s="19"/>
      <c r="O57" s="274"/>
      <c r="P57" s="82"/>
      <c r="Q57" s="19">
        <v>0</v>
      </c>
      <c r="R57" s="18"/>
      <c r="S57" s="19"/>
      <c r="T57" s="274"/>
      <c r="U57" s="82"/>
      <c r="V57" s="19">
        <v>0</v>
      </c>
      <c r="W57" s="18"/>
      <c r="X57" s="19"/>
      <c r="Y57" s="274"/>
      <c r="Z57" s="82"/>
      <c r="AA57" s="19">
        <v>0</v>
      </c>
      <c r="AB57" s="18"/>
      <c r="AC57" s="19"/>
      <c r="AD57" s="274"/>
      <c r="AE57" s="82"/>
      <c r="AF57" s="19">
        <v>0</v>
      </c>
      <c r="AG57" s="18"/>
      <c r="AH57" s="19"/>
      <c r="AI57" s="274"/>
      <c r="AJ57" s="82"/>
      <c r="AK57" s="19">
        <v>0</v>
      </c>
      <c r="AL57" s="18"/>
      <c r="AM57" s="19"/>
      <c r="AN57" s="274"/>
      <c r="AO57" s="82"/>
      <c r="AP57" s="19">
        <v>0</v>
      </c>
      <c r="AQ57" s="18"/>
      <c r="AR57" s="19"/>
      <c r="AS57" s="274"/>
      <c r="AT57" s="82"/>
      <c r="AU57" s="19">
        <v>0</v>
      </c>
      <c r="AV57" s="18"/>
      <c r="AW57" s="19"/>
      <c r="AX57" s="274"/>
      <c r="AY57" s="82"/>
      <c r="AZ57" s="19">
        <v>0</v>
      </c>
      <c r="BA57" s="18"/>
      <c r="BB57" s="19"/>
      <c r="BC57" s="274"/>
      <c r="BD57" s="82"/>
      <c r="BE57" s="19">
        <v>0</v>
      </c>
      <c r="BF57" s="18"/>
      <c r="BG57" s="19"/>
      <c r="BH57" s="274"/>
      <c r="BI57" s="82"/>
      <c r="BJ57" s="19">
        <v>0</v>
      </c>
      <c r="BK57" s="18"/>
      <c r="BL57" s="19"/>
      <c r="BM57" s="274"/>
      <c r="BN57" s="82"/>
      <c r="BO57" s="19">
        <v>0</v>
      </c>
      <c r="BP57" s="18"/>
      <c r="BQ57" s="19"/>
      <c r="BR57" s="274"/>
      <c r="BS57" s="274"/>
      <c r="BT57" s="19">
        <f>SUM(L57:BO57)</f>
        <v>0</v>
      </c>
      <c r="BU57" s="18"/>
      <c r="BV57" s="19"/>
      <c r="BW57" s="274"/>
      <c r="BX57" s="274"/>
      <c r="BY57" s="19">
        <v>0</v>
      </c>
      <c r="BZ57" s="18"/>
      <c r="CA57" s="19"/>
      <c r="CB57" s="274"/>
      <c r="CC57" s="274"/>
      <c r="CD57" s="19">
        <v>0</v>
      </c>
      <c r="CE57" s="18"/>
      <c r="CF57" s="19"/>
      <c r="CG57" s="274"/>
      <c r="CH57" s="82"/>
      <c r="CI57" s="19">
        <v>0</v>
      </c>
      <c r="CJ57" s="18"/>
      <c r="CK57" s="19"/>
      <c r="CL57" s="274"/>
      <c r="CM57" s="82"/>
      <c r="CN57" s="19">
        <v>0</v>
      </c>
      <c r="CO57" s="18"/>
      <c r="CP57" s="19"/>
      <c r="CQ57" s="274"/>
      <c r="CR57" s="82"/>
      <c r="CS57" s="19">
        <v>0</v>
      </c>
      <c r="CT57" s="18"/>
      <c r="CU57" s="19"/>
      <c r="CV57" s="274"/>
      <c r="CW57" s="82"/>
      <c r="CX57" s="19">
        <v>0</v>
      </c>
      <c r="CY57" s="18"/>
      <c r="CZ57" s="19"/>
      <c r="DA57" s="274"/>
      <c r="DB57" s="82"/>
      <c r="DC57" s="19">
        <v>0</v>
      </c>
      <c r="DD57" s="18"/>
      <c r="DE57" s="19"/>
      <c r="DF57" s="274"/>
      <c r="DG57" s="82"/>
      <c r="DH57" s="19">
        <v>0</v>
      </c>
      <c r="DI57" s="18"/>
      <c r="DJ57" s="19"/>
      <c r="DK57" s="274"/>
      <c r="DL57" s="82"/>
      <c r="DM57" s="19">
        <v>0</v>
      </c>
      <c r="DN57" s="18"/>
      <c r="DO57" s="19"/>
      <c r="DP57" s="274"/>
      <c r="DQ57" s="82"/>
      <c r="DR57" s="19">
        <v>0</v>
      </c>
      <c r="DS57" s="18"/>
      <c r="DT57" s="19"/>
      <c r="DU57" s="274"/>
      <c r="DV57" s="82"/>
      <c r="DW57" s="19">
        <v>0</v>
      </c>
      <c r="DX57" s="18"/>
      <c r="DY57" s="19"/>
      <c r="DZ57" s="274"/>
      <c r="EA57" s="82"/>
      <c r="EB57" s="19">
        <v>0</v>
      </c>
      <c r="EC57" s="18"/>
      <c r="ED57" s="19"/>
      <c r="EE57" s="274"/>
      <c r="EF57" s="82"/>
      <c r="EG57" s="19">
        <v>0</v>
      </c>
      <c r="EH57" s="18"/>
      <c r="EI57" s="19"/>
      <c r="EJ57" s="274"/>
      <c r="EK57" s="274"/>
      <c r="EL57" s="19">
        <f>SUM(CD57:EG57)</f>
        <v>0</v>
      </c>
      <c r="EM57" s="18"/>
      <c r="EN57" s="19"/>
      <c r="EO57" s="244"/>
      <c r="EP57" s="451"/>
      <c r="EQ57" s="451"/>
    </row>
    <row r="58" spans="4:147" x14ac:dyDescent="0.2">
      <c r="D58" s="244" t="s">
        <v>427</v>
      </c>
      <c r="E58" s="82"/>
      <c r="F58" s="276"/>
      <c r="G58" s="37">
        <v>0</v>
      </c>
      <c r="H58" s="36"/>
      <c r="I58" s="19"/>
      <c r="J58" s="274"/>
      <c r="K58" s="231"/>
      <c r="L58" s="37">
        <v>0</v>
      </c>
      <c r="M58" s="36"/>
      <c r="N58" s="19"/>
      <c r="O58" s="274"/>
      <c r="P58" s="276"/>
      <c r="Q58" s="37">
        <v>0</v>
      </c>
      <c r="R58" s="36"/>
      <c r="S58" s="19"/>
      <c r="T58" s="274"/>
      <c r="U58" s="276"/>
      <c r="V58" s="37">
        <v>0</v>
      </c>
      <c r="W58" s="36"/>
      <c r="X58" s="19"/>
      <c r="Y58" s="274"/>
      <c r="Z58" s="276"/>
      <c r="AA58" s="37">
        <v>0</v>
      </c>
      <c r="AB58" s="36"/>
      <c r="AC58" s="19"/>
      <c r="AD58" s="274"/>
      <c r="AE58" s="276"/>
      <c r="AF58" s="37">
        <v>0</v>
      </c>
      <c r="AG58" s="36"/>
      <c r="AH58" s="19"/>
      <c r="AI58" s="274"/>
      <c r="AJ58" s="276"/>
      <c r="AK58" s="37">
        <v>0</v>
      </c>
      <c r="AL58" s="36"/>
      <c r="AM58" s="19"/>
      <c r="AN58" s="274"/>
      <c r="AO58" s="276"/>
      <c r="AP58" s="37">
        <v>0</v>
      </c>
      <c r="AQ58" s="36"/>
      <c r="AR58" s="19"/>
      <c r="AS58" s="274"/>
      <c r="AT58" s="276"/>
      <c r="AU58" s="37">
        <v>0</v>
      </c>
      <c r="AV58" s="36"/>
      <c r="AW58" s="19"/>
      <c r="AX58" s="274"/>
      <c r="AY58" s="276"/>
      <c r="AZ58" s="37">
        <v>0</v>
      </c>
      <c r="BA58" s="36"/>
      <c r="BB58" s="19"/>
      <c r="BC58" s="274"/>
      <c r="BD58" s="276"/>
      <c r="BE58" s="37">
        <v>0</v>
      </c>
      <c r="BF58" s="36"/>
      <c r="BG58" s="19"/>
      <c r="BH58" s="274"/>
      <c r="BI58" s="276"/>
      <c r="BJ58" s="37">
        <v>0</v>
      </c>
      <c r="BK58" s="36"/>
      <c r="BL58" s="19"/>
      <c r="BM58" s="274"/>
      <c r="BN58" s="276"/>
      <c r="BO58" s="37">
        <v>0</v>
      </c>
      <c r="BP58" s="36"/>
      <c r="BQ58" s="19"/>
      <c r="BR58" s="274"/>
      <c r="BS58" s="231"/>
      <c r="BT58" s="37">
        <f>SUM(L58:BO58)</f>
        <v>0</v>
      </c>
      <c r="BU58" s="36"/>
      <c r="BV58" s="19"/>
      <c r="BW58" s="274"/>
      <c r="BX58" s="231"/>
      <c r="BY58" s="37">
        <v>0</v>
      </c>
      <c r="BZ58" s="36"/>
      <c r="CA58" s="19"/>
      <c r="CB58" s="274"/>
      <c r="CC58" s="231"/>
      <c r="CD58" s="37">
        <v>0</v>
      </c>
      <c r="CE58" s="36"/>
      <c r="CF58" s="19"/>
      <c r="CG58" s="274"/>
      <c r="CH58" s="276"/>
      <c r="CI58" s="37">
        <v>0</v>
      </c>
      <c r="CJ58" s="36"/>
      <c r="CK58" s="19"/>
      <c r="CL58" s="274"/>
      <c r="CM58" s="276"/>
      <c r="CN58" s="37">
        <v>0</v>
      </c>
      <c r="CO58" s="36"/>
      <c r="CP58" s="19"/>
      <c r="CQ58" s="274"/>
      <c r="CR58" s="276"/>
      <c r="CS58" s="37">
        <v>0</v>
      </c>
      <c r="CT58" s="36"/>
      <c r="CU58" s="19"/>
      <c r="CV58" s="274"/>
      <c r="CW58" s="276"/>
      <c r="CX58" s="37">
        <v>0</v>
      </c>
      <c r="CY58" s="36"/>
      <c r="CZ58" s="19"/>
      <c r="DA58" s="274"/>
      <c r="DB58" s="276"/>
      <c r="DC58" s="37">
        <v>0</v>
      </c>
      <c r="DD58" s="36"/>
      <c r="DE58" s="19"/>
      <c r="DF58" s="274"/>
      <c r="DG58" s="276"/>
      <c r="DH58" s="37">
        <v>0</v>
      </c>
      <c r="DI58" s="36"/>
      <c r="DJ58" s="19"/>
      <c r="DK58" s="274"/>
      <c r="DL58" s="276"/>
      <c r="DM58" s="37">
        <v>0</v>
      </c>
      <c r="DN58" s="36"/>
      <c r="DO58" s="19"/>
      <c r="DP58" s="274"/>
      <c r="DQ58" s="276"/>
      <c r="DR58" s="37">
        <v>0</v>
      </c>
      <c r="DS58" s="36"/>
      <c r="DT58" s="19"/>
      <c r="DU58" s="274"/>
      <c r="DV58" s="276"/>
      <c r="DW58" s="37">
        <v>0</v>
      </c>
      <c r="DX58" s="36"/>
      <c r="DY58" s="19"/>
      <c r="DZ58" s="274"/>
      <c r="EA58" s="276"/>
      <c r="EB58" s="37">
        <v>0</v>
      </c>
      <c r="EC58" s="36"/>
      <c r="ED58" s="19"/>
      <c r="EE58" s="274"/>
      <c r="EF58" s="276"/>
      <c r="EG58" s="37">
        <v>0</v>
      </c>
      <c r="EH58" s="36"/>
      <c r="EI58" s="19"/>
      <c r="EJ58" s="274"/>
      <c r="EK58" s="231"/>
      <c r="EL58" s="37">
        <f>SUM(CD58:EG58)</f>
        <v>0</v>
      </c>
      <c r="EM58" s="36"/>
      <c r="EN58" s="19"/>
      <c r="EO58" s="244"/>
      <c r="EP58" s="451"/>
      <c r="EQ58" s="451"/>
    </row>
    <row r="59" spans="4:147" x14ac:dyDescent="0.2">
      <c r="D59" s="244"/>
      <c r="E59" s="82"/>
      <c r="G59" s="19"/>
      <c r="H59" s="19"/>
      <c r="I59" s="19"/>
      <c r="J59" s="274"/>
      <c r="K59" s="19"/>
      <c r="L59" s="19"/>
      <c r="M59" s="19"/>
      <c r="N59" s="19"/>
      <c r="O59" s="274"/>
      <c r="P59" s="19"/>
      <c r="Q59" s="19"/>
      <c r="R59" s="19"/>
      <c r="S59" s="19"/>
      <c r="T59" s="274"/>
      <c r="U59" s="19"/>
      <c r="V59" s="19"/>
      <c r="W59" s="19"/>
      <c r="X59" s="19"/>
      <c r="Y59" s="274"/>
      <c r="Z59" s="19"/>
      <c r="AA59" s="19"/>
      <c r="AB59" s="19"/>
      <c r="AC59" s="19"/>
      <c r="AD59" s="274"/>
      <c r="AE59" s="19"/>
      <c r="AF59" s="19"/>
      <c r="AG59" s="19"/>
      <c r="AH59" s="19"/>
      <c r="AI59" s="274"/>
      <c r="AJ59" s="19"/>
      <c r="AK59" s="19"/>
      <c r="AL59" s="19"/>
      <c r="AM59" s="19"/>
      <c r="AN59" s="274"/>
      <c r="AO59" s="19"/>
      <c r="AP59" s="19"/>
      <c r="AQ59" s="19"/>
      <c r="AR59" s="19"/>
      <c r="AS59" s="274"/>
      <c r="AT59" s="19"/>
      <c r="AU59" s="19"/>
      <c r="AV59" s="19"/>
      <c r="AW59" s="19"/>
      <c r="AX59" s="274"/>
      <c r="AY59" s="19"/>
      <c r="AZ59" s="19"/>
      <c r="BA59" s="19"/>
      <c r="BB59" s="19"/>
      <c r="BC59" s="274"/>
      <c r="BD59" s="19"/>
      <c r="BE59" s="19"/>
      <c r="BF59" s="19"/>
      <c r="BG59" s="19"/>
      <c r="BH59" s="274"/>
      <c r="BI59" s="19"/>
      <c r="BJ59" s="19"/>
      <c r="BK59" s="19"/>
      <c r="BL59" s="19"/>
      <c r="BM59" s="274"/>
      <c r="BN59" s="19"/>
      <c r="BO59" s="19"/>
      <c r="BP59" s="19"/>
      <c r="BQ59" s="19"/>
      <c r="BR59" s="274"/>
      <c r="BS59" s="19"/>
      <c r="BT59" s="19"/>
      <c r="BU59" s="19"/>
      <c r="BV59" s="19"/>
      <c r="BW59" s="274"/>
      <c r="BX59" s="19"/>
      <c r="BY59" s="19"/>
      <c r="BZ59" s="19"/>
      <c r="CA59" s="19"/>
      <c r="CB59" s="274"/>
      <c r="CC59" s="19"/>
      <c r="CD59" s="19"/>
      <c r="CE59" s="19"/>
      <c r="CF59" s="19"/>
      <c r="CG59" s="274"/>
      <c r="CH59" s="19"/>
      <c r="CI59" s="19"/>
      <c r="CJ59" s="19"/>
      <c r="CK59" s="19"/>
      <c r="CL59" s="274"/>
      <c r="CM59" s="19"/>
      <c r="CN59" s="19"/>
      <c r="CO59" s="19"/>
      <c r="CP59" s="19"/>
      <c r="CQ59" s="274"/>
      <c r="CR59" s="19"/>
      <c r="CS59" s="19"/>
      <c r="CT59" s="19"/>
      <c r="CU59" s="19"/>
      <c r="CV59" s="274"/>
      <c r="CW59" s="19"/>
      <c r="CX59" s="19"/>
      <c r="CY59" s="19"/>
      <c r="CZ59" s="19"/>
      <c r="DA59" s="274"/>
      <c r="DB59" s="19"/>
      <c r="DC59" s="19"/>
      <c r="DD59" s="19"/>
      <c r="DE59" s="19"/>
      <c r="DF59" s="274"/>
      <c r="DG59" s="19"/>
      <c r="DH59" s="19"/>
      <c r="DI59" s="19"/>
      <c r="DJ59" s="19"/>
      <c r="DK59" s="274"/>
      <c r="DL59" s="19"/>
      <c r="DM59" s="19"/>
      <c r="DN59" s="19"/>
      <c r="DO59" s="19"/>
      <c r="DP59" s="274"/>
      <c r="DQ59" s="19"/>
      <c r="DR59" s="19"/>
      <c r="DS59" s="19"/>
      <c r="DT59" s="19"/>
      <c r="DU59" s="274"/>
      <c r="DV59" s="19"/>
      <c r="DW59" s="19"/>
      <c r="DX59" s="19"/>
      <c r="DY59" s="19"/>
      <c r="DZ59" s="274"/>
      <c r="EA59" s="19"/>
      <c r="EB59" s="19"/>
      <c r="EC59" s="19"/>
      <c r="ED59" s="19"/>
      <c r="EE59" s="274"/>
      <c r="EF59" s="19"/>
      <c r="EG59" s="19"/>
      <c r="EH59" s="19"/>
      <c r="EI59" s="19"/>
      <c r="EJ59" s="274"/>
      <c r="EK59" s="19"/>
      <c r="EL59" s="19"/>
      <c r="EO59" s="244"/>
      <c r="EP59" s="451"/>
      <c r="EQ59" s="451"/>
    </row>
    <row r="60" spans="4:147" ht="12.75" hidden="1" customHeight="1" x14ac:dyDescent="0.2">
      <c r="D60" s="244" t="s">
        <v>361</v>
      </c>
      <c r="E60" s="82"/>
      <c r="G60" s="19">
        <f>SUM(G61:G63)</f>
        <v>0</v>
      </c>
      <c r="H60" s="19"/>
      <c r="I60" s="19"/>
      <c r="J60" s="274"/>
      <c r="K60" s="19"/>
      <c r="L60" s="19">
        <f>SUM(L61:L63)</f>
        <v>0</v>
      </c>
      <c r="M60" s="19"/>
      <c r="N60" s="19"/>
      <c r="O60" s="274"/>
      <c r="Q60" s="19">
        <f>SUM(Q61:Q63)</f>
        <v>0</v>
      </c>
      <c r="R60" s="19"/>
      <c r="S60" s="19"/>
      <c r="T60" s="274"/>
      <c r="V60" s="19">
        <f>SUM(V61:V63)</f>
        <v>0</v>
      </c>
      <c r="W60" s="19"/>
      <c r="X60" s="19"/>
      <c r="Y60" s="274"/>
      <c r="AA60" s="19">
        <f>SUM(AA61:AA63)</f>
        <v>0</v>
      </c>
      <c r="AB60" s="19"/>
      <c r="AC60" s="19"/>
      <c r="AD60" s="274"/>
      <c r="AF60" s="19">
        <f>SUM(AF61:AF63)</f>
        <v>0</v>
      </c>
      <c r="AG60" s="19"/>
      <c r="AH60" s="19"/>
      <c r="AI60" s="274"/>
      <c r="AK60" s="19">
        <f>SUM(AK61:AK63)</f>
        <v>0</v>
      </c>
      <c r="AL60" s="19"/>
      <c r="AM60" s="19"/>
      <c r="AN60" s="274"/>
      <c r="AP60" s="19">
        <f>SUM(AP61:AP63)</f>
        <v>0</v>
      </c>
      <c r="AQ60" s="19"/>
      <c r="AR60" s="19"/>
      <c r="AS60" s="274"/>
      <c r="AU60" s="19">
        <f>SUM(AU61:AU63)</f>
        <v>0</v>
      </c>
      <c r="AV60" s="19"/>
      <c r="AW60" s="19"/>
      <c r="AX60" s="274"/>
      <c r="AZ60" s="19">
        <f>SUM(AZ61:AZ63)</f>
        <v>0</v>
      </c>
      <c r="BA60" s="19"/>
      <c r="BB60" s="19"/>
      <c r="BC60" s="274"/>
      <c r="BE60" s="19">
        <f>SUM(BE61:BE63)</f>
        <v>0</v>
      </c>
      <c r="BF60" s="19"/>
      <c r="BG60" s="19"/>
      <c r="BH60" s="274"/>
      <c r="BJ60" s="19">
        <f>SUM(BJ61:BJ63)</f>
        <v>0</v>
      </c>
      <c r="BK60" s="19"/>
      <c r="BL60" s="19"/>
      <c r="BM60" s="274"/>
      <c r="BO60" s="19">
        <f>SUM(BO61:BO63)</f>
        <v>0</v>
      </c>
      <c r="BP60" s="19"/>
      <c r="BQ60" s="19"/>
      <c r="BR60" s="274"/>
      <c r="BS60" s="37"/>
      <c r="BT60" s="37">
        <f>SUM(BT61:BT63)</f>
        <v>0</v>
      </c>
      <c r="BU60" s="19"/>
      <c r="BV60" s="19"/>
      <c r="BW60" s="274"/>
      <c r="BX60" s="19"/>
      <c r="BY60" s="19">
        <f>SUM(BY61:BY63)</f>
        <v>0</v>
      </c>
      <c r="BZ60" s="19"/>
      <c r="CA60" s="19"/>
      <c r="CB60" s="274"/>
      <c r="CC60" s="19"/>
      <c r="CD60" s="19">
        <f>SUM(CD61:CD63)</f>
        <v>0</v>
      </c>
      <c r="CE60" s="19"/>
      <c r="CF60" s="19"/>
      <c r="CG60" s="274"/>
      <c r="CI60" s="19">
        <f>SUM(CI61:CI63)</f>
        <v>0</v>
      </c>
      <c r="CJ60" s="19"/>
      <c r="CK60" s="19"/>
      <c r="CL60" s="274"/>
      <c r="CN60" s="19">
        <f>SUM(CN61:CN63)</f>
        <v>0</v>
      </c>
      <c r="CO60" s="19"/>
      <c r="CP60" s="19"/>
      <c r="CQ60" s="274"/>
      <c r="CS60" s="19">
        <f>SUM(CS61:CS63)</f>
        <v>0</v>
      </c>
      <c r="CT60" s="19"/>
      <c r="CU60" s="19"/>
      <c r="CV60" s="274"/>
      <c r="CX60" s="19">
        <f>SUM(CX61:CX63)</f>
        <v>0</v>
      </c>
      <c r="CY60" s="19"/>
      <c r="CZ60" s="19"/>
      <c r="DA60" s="274"/>
      <c r="DC60" s="19">
        <f>SUM(DC61:DC63)</f>
        <v>0</v>
      </c>
      <c r="DD60" s="19"/>
      <c r="DE60" s="19"/>
      <c r="DF60" s="274"/>
      <c r="DH60" s="19">
        <f>SUM(DH61:DH63)</f>
        <v>0</v>
      </c>
      <c r="DI60" s="19"/>
      <c r="DJ60" s="19"/>
      <c r="DK60" s="274"/>
      <c r="DM60" s="19">
        <f>SUM(DM61:DM63)</f>
        <v>0</v>
      </c>
      <c r="DN60" s="19"/>
      <c r="DO60" s="19"/>
      <c r="DP60" s="274"/>
      <c r="DR60" s="19">
        <f>SUM(DR61:DR63)</f>
        <v>0</v>
      </c>
      <c r="DS60" s="19"/>
      <c r="DT60" s="19"/>
      <c r="DU60" s="274"/>
      <c r="DW60" s="19">
        <f>SUM(DW61:DW63)</f>
        <v>0</v>
      </c>
      <c r="DX60" s="19"/>
      <c r="DY60" s="19"/>
      <c r="DZ60" s="274"/>
      <c r="EB60" s="19">
        <f>SUM(EB61:EB63)</f>
        <v>0</v>
      </c>
      <c r="EC60" s="19"/>
      <c r="ED60" s="19"/>
      <c r="EE60" s="274"/>
      <c r="EG60" s="19">
        <f>SUM(EG61:EG63)</f>
        <v>0</v>
      </c>
      <c r="EH60" s="19"/>
      <c r="EI60" s="18"/>
      <c r="EJ60" s="274"/>
      <c r="EK60" s="19"/>
      <c r="EL60" s="19">
        <f>SUM(EL61:EL63)</f>
        <v>0</v>
      </c>
      <c r="EM60" s="19"/>
      <c r="EN60" s="19"/>
      <c r="EO60" s="244"/>
      <c r="EP60" s="451"/>
      <c r="EQ60" s="451"/>
    </row>
    <row r="61" spans="4:147" ht="12.75" hidden="1" customHeight="1" x14ac:dyDescent="0.2">
      <c r="D61" s="244" t="s">
        <v>344</v>
      </c>
      <c r="E61" s="82"/>
      <c r="F61" s="112"/>
      <c r="G61" s="374">
        <v>0</v>
      </c>
      <c r="H61" s="475"/>
      <c r="I61" s="19"/>
      <c r="J61" s="274"/>
      <c r="K61" s="173"/>
      <c r="L61" s="374">
        <v>0</v>
      </c>
      <c r="M61" s="475"/>
      <c r="N61" s="19"/>
      <c r="O61" s="274"/>
      <c r="P61" s="112"/>
      <c r="Q61" s="374">
        <v>0</v>
      </c>
      <c r="R61" s="475"/>
      <c r="S61" s="19"/>
      <c r="T61" s="274"/>
      <c r="U61" s="112"/>
      <c r="V61" s="374">
        <v>0</v>
      </c>
      <c r="W61" s="475"/>
      <c r="X61" s="19"/>
      <c r="Y61" s="274"/>
      <c r="Z61" s="112"/>
      <c r="AA61" s="374">
        <v>0</v>
      </c>
      <c r="AB61" s="475"/>
      <c r="AC61" s="19"/>
      <c r="AD61" s="274"/>
      <c r="AE61" s="112"/>
      <c r="AF61" s="374">
        <v>0</v>
      </c>
      <c r="AG61" s="475"/>
      <c r="AH61" s="19"/>
      <c r="AI61" s="274"/>
      <c r="AJ61" s="112"/>
      <c r="AK61" s="374">
        <v>0</v>
      </c>
      <c r="AL61" s="475"/>
      <c r="AM61" s="19"/>
      <c r="AN61" s="274"/>
      <c r="AO61" s="112"/>
      <c r="AP61" s="374">
        <v>0</v>
      </c>
      <c r="AQ61" s="475"/>
      <c r="AR61" s="19"/>
      <c r="AS61" s="274"/>
      <c r="AT61" s="112"/>
      <c r="AU61" s="374">
        <v>0</v>
      </c>
      <c r="AV61" s="475"/>
      <c r="AW61" s="19"/>
      <c r="AX61" s="274"/>
      <c r="AY61" s="112"/>
      <c r="AZ61" s="374">
        <v>0</v>
      </c>
      <c r="BA61" s="475"/>
      <c r="BB61" s="19"/>
      <c r="BC61" s="274"/>
      <c r="BD61" s="112"/>
      <c r="BE61" s="374">
        <v>0</v>
      </c>
      <c r="BF61" s="475"/>
      <c r="BG61" s="19"/>
      <c r="BH61" s="274"/>
      <c r="BI61" s="112"/>
      <c r="BJ61" s="374">
        <v>0</v>
      </c>
      <c r="BK61" s="475"/>
      <c r="BL61" s="19"/>
      <c r="BM61" s="274"/>
      <c r="BN61" s="112"/>
      <c r="BO61" s="374">
        <v>0</v>
      </c>
      <c r="BP61" s="475"/>
      <c r="BQ61" s="19"/>
      <c r="BR61" s="274"/>
      <c r="BS61" s="274"/>
      <c r="BT61" s="19">
        <f>SUM(L61:BO61)</f>
        <v>0</v>
      </c>
      <c r="BU61" s="475"/>
      <c r="BV61" s="19"/>
      <c r="BW61" s="274"/>
      <c r="BX61" s="173"/>
      <c r="BY61" s="374">
        <v>0</v>
      </c>
      <c r="BZ61" s="475"/>
      <c r="CA61" s="19"/>
      <c r="CB61" s="274"/>
      <c r="CC61" s="173"/>
      <c r="CD61" s="374">
        <v>0</v>
      </c>
      <c r="CE61" s="475"/>
      <c r="CF61" s="19"/>
      <c r="CG61" s="274"/>
      <c r="CH61" s="112"/>
      <c r="CI61" s="374">
        <v>0</v>
      </c>
      <c r="CJ61" s="475"/>
      <c r="CK61" s="19"/>
      <c r="CL61" s="274"/>
      <c r="CM61" s="112"/>
      <c r="CN61" s="374">
        <v>0</v>
      </c>
      <c r="CO61" s="475"/>
      <c r="CP61" s="19"/>
      <c r="CQ61" s="274"/>
      <c r="CR61" s="112"/>
      <c r="CS61" s="374">
        <v>0</v>
      </c>
      <c r="CT61" s="475"/>
      <c r="CU61" s="19"/>
      <c r="CV61" s="274"/>
      <c r="CW61" s="112"/>
      <c r="CX61" s="374">
        <v>0</v>
      </c>
      <c r="CY61" s="475"/>
      <c r="CZ61" s="19"/>
      <c r="DA61" s="274"/>
      <c r="DB61" s="112"/>
      <c r="DC61" s="374">
        <v>0</v>
      </c>
      <c r="DD61" s="475"/>
      <c r="DE61" s="19"/>
      <c r="DF61" s="274"/>
      <c r="DG61" s="112"/>
      <c r="DH61" s="374">
        <v>0</v>
      </c>
      <c r="DI61" s="475"/>
      <c r="DJ61" s="19"/>
      <c r="DK61" s="274"/>
      <c r="DL61" s="112"/>
      <c r="DM61" s="374">
        <v>0</v>
      </c>
      <c r="DN61" s="475"/>
      <c r="DO61" s="19"/>
      <c r="DP61" s="274"/>
      <c r="DQ61" s="112"/>
      <c r="DR61" s="374">
        <v>0</v>
      </c>
      <c r="DS61" s="475"/>
      <c r="DT61" s="19"/>
      <c r="DU61" s="274"/>
      <c r="DV61" s="112"/>
      <c r="DW61" s="374">
        <v>0</v>
      </c>
      <c r="DX61" s="475"/>
      <c r="DY61" s="19"/>
      <c r="DZ61" s="274"/>
      <c r="EA61" s="112"/>
      <c r="EB61" s="374">
        <v>0</v>
      </c>
      <c r="EC61" s="475"/>
      <c r="ED61" s="19"/>
      <c r="EE61" s="274"/>
      <c r="EF61" s="112"/>
      <c r="EG61" s="374">
        <v>0</v>
      </c>
      <c r="EH61" s="475"/>
      <c r="EI61" s="18"/>
      <c r="EJ61" s="17"/>
      <c r="EK61" s="173"/>
      <c r="EL61" s="374">
        <f>SUM(CD61:DM61)</f>
        <v>0</v>
      </c>
      <c r="EM61" s="475"/>
      <c r="EN61" s="19"/>
      <c r="EO61" s="244"/>
      <c r="EP61" s="451"/>
      <c r="EQ61" s="451"/>
    </row>
    <row r="62" spans="4:147" ht="12.75" hidden="1" customHeight="1" x14ac:dyDescent="0.2">
      <c r="D62" s="244" t="s">
        <v>426</v>
      </c>
      <c r="E62" s="82"/>
      <c r="F62" s="82"/>
      <c r="G62" s="19">
        <v>0</v>
      </c>
      <c r="H62" s="18"/>
      <c r="I62" s="19"/>
      <c r="J62" s="274"/>
      <c r="K62" s="274"/>
      <c r="L62" s="19">
        <v>0</v>
      </c>
      <c r="M62" s="18"/>
      <c r="N62" s="19"/>
      <c r="O62" s="274"/>
      <c r="P62" s="82"/>
      <c r="Q62" s="19">
        <v>0</v>
      </c>
      <c r="R62" s="18"/>
      <c r="S62" s="19"/>
      <c r="T62" s="274"/>
      <c r="U62" s="82"/>
      <c r="V62" s="19">
        <v>0</v>
      </c>
      <c r="W62" s="18"/>
      <c r="X62" s="19"/>
      <c r="Y62" s="274"/>
      <c r="Z62" s="82"/>
      <c r="AA62" s="19">
        <v>0</v>
      </c>
      <c r="AB62" s="18"/>
      <c r="AC62" s="19"/>
      <c r="AD62" s="274"/>
      <c r="AE62" s="82"/>
      <c r="AF62" s="19">
        <v>0</v>
      </c>
      <c r="AG62" s="18"/>
      <c r="AH62" s="19"/>
      <c r="AI62" s="274"/>
      <c r="AJ62" s="82"/>
      <c r="AK62" s="19">
        <v>0</v>
      </c>
      <c r="AL62" s="18"/>
      <c r="AM62" s="19"/>
      <c r="AN62" s="274"/>
      <c r="AO62" s="82"/>
      <c r="AP62" s="19">
        <v>0</v>
      </c>
      <c r="AQ62" s="18"/>
      <c r="AR62" s="19"/>
      <c r="AS62" s="274"/>
      <c r="AT62" s="82"/>
      <c r="AU62" s="19">
        <v>0</v>
      </c>
      <c r="AV62" s="18"/>
      <c r="AW62" s="19"/>
      <c r="AX62" s="274"/>
      <c r="AY62" s="82"/>
      <c r="AZ62" s="19">
        <v>0</v>
      </c>
      <c r="BA62" s="18"/>
      <c r="BB62" s="19"/>
      <c r="BC62" s="274"/>
      <c r="BD62" s="82"/>
      <c r="BE62" s="19">
        <v>0</v>
      </c>
      <c r="BF62" s="18"/>
      <c r="BG62" s="19"/>
      <c r="BH62" s="274"/>
      <c r="BI62" s="82"/>
      <c r="BJ62" s="19">
        <v>0</v>
      </c>
      <c r="BK62" s="18"/>
      <c r="BL62" s="19"/>
      <c r="BM62" s="274"/>
      <c r="BN62" s="82"/>
      <c r="BO62" s="19">
        <v>0</v>
      </c>
      <c r="BP62" s="18"/>
      <c r="BQ62" s="19"/>
      <c r="BR62" s="274"/>
      <c r="BS62" s="274"/>
      <c r="BT62" s="19">
        <f>SUM(L62:BO62)</f>
        <v>0</v>
      </c>
      <c r="BU62" s="18"/>
      <c r="BV62" s="19"/>
      <c r="BW62" s="274"/>
      <c r="BX62" s="274"/>
      <c r="BY62" s="19">
        <v>0</v>
      </c>
      <c r="BZ62" s="18"/>
      <c r="CA62" s="19"/>
      <c r="CB62" s="274"/>
      <c r="CC62" s="274"/>
      <c r="CD62" s="19">
        <v>0</v>
      </c>
      <c r="CE62" s="18"/>
      <c r="CF62" s="19"/>
      <c r="CG62" s="274"/>
      <c r="CH62" s="82"/>
      <c r="CI62" s="19">
        <v>0</v>
      </c>
      <c r="CJ62" s="18"/>
      <c r="CK62" s="19"/>
      <c r="CL62" s="274"/>
      <c r="CM62" s="82"/>
      <c r="CN62" s="19">
        <v>0</v>
      </c>
      <c r="CO62" s="18"/>
      <c r="CP62" s="19"/>
      <c r="CQ62" s="274"/>
      <c r="CR62" s="82"/>
      <c r="CS62" s="19">
        <v>0</v>
      </c>
      <c r="CT62" s="18"/>
      <c r="CU62" s="19"/>
      <c r="CV62" s="274"/>
      <c r="CW62" s="82"/>
      <c r="CX62" s="19">
        <v>0</v>
      </c>
      <c r="CY62" s="18"/>
      <c r="CZ62" s="19"/>
      <c r="DA62" s="274"/>
      <c r="DB62" s="82"/>
      <c r="DC62" s="19">
        <v>0</v>
      </c>
      <c r="DD62" s="18"/>
      <c r="DE62" s="19"/>
      <c r="DF62" s="274"/>
      <c r="DG62" s="82"/>
      <c r="DH62" s="19">
        <v>0</v>
      </c>
      <c r="DI62" s="18"/>
      <c r="DJ62" s="19"/>
      <c r="DK62" s="274"/>
      <c r="DL62" s="82"/>
      <c r="DM62" s="19">
        <v>0</v>
      </c>
      <c r="DN62" s="18"/>
      <c r="DO62" s="19"/>
      <c r="DP62" s="274"/>
      <c r="DQ62" s="82"/>
      <c r="DR62" s="19">
        <v>0</v>
      </c>
      <c r="DS62" s="18"/>
      <c r="DT62" s="19"/>
      <c r="DU62" s="274"/>
      <c r="DV62" s="82"/>
      <c r="DW62" s="19">
        <v>0</v>
      </c>
      <c r="DX62" s="18"/>
      <c r="DY62" s="19"/>
      <c r="DZ62" s="274"/>
      <c r="EA62" s="82"/>
      <c r="EB62" s="19">
        <v>0</v>
      </c>
      <c r="EC62" s="18"/>
      <c r="ED62" s="19"/>
      <c r="EE62" s="274"/>
      <c r="EF62" s="82"/>
      <c r="EG62" s="19">
        <v>0</v>
      </c>
      <c r="EH62" s="18"/>
      <c r="EI62" s="19"/>
      <c r="EJ62" s="274"/>
      <c r="EK62" s="274"/>
      <c r="EL62" s="19">
        <f>SUM(CD62:DM62)</f>
        <v>0</v>
      </c>
      <c r="EM62" s="18"/>
      <c r="EN62" s="19"/>
      <c r="EO62" s="244"/>
      <c r="EP62" s="451"/>
      <c r="EQ62" s="451"/>
    </row>
    <row r="63" spans="4:147" ht="12.75" hidden="1" customHeight="1" x14ac:dyDescent="0.2">
      <c r="D63" s="244" t="s">
        <v>427</v>
      </c>
      <c r="E63" s="82"/>
      <c r="F63" s="276"/>
      <c r="G63" s="37">
        <v>0</v>
      </c>
      <c r="H63" s="36"/>
      <c r="I63" s="19"/>
      <c r="J63" s="274"/>
      <c r="K63" s="231"/>
      <c r="L63" s="37">
        <v>0</v>
      </c>
      <c r="M63" s="36"/>
      <c r="N63" s="19"/>
      <c r="O63" s="274"/>
      <c r="P63" s="276"/>
      <c r="Q63" s="37">
        <v>0</v>
      </c>
      <c r="R63" s="36"/>
      <c r="S63" s="19"/>
      <c r="T63" s="274"/>
      <c r="U63" s="276"/>
      <c r="V63" s="37">
        <v>0</v>
      </c>
      <c r="W63" s="36"/>
      <c r="X63" s="19"/>
      <c r="Y63" s="274"/>
      <c r="Z63" s="276"/>
      <c r="AA63" s="37">
        <v>0</v>
      </c>
      <c r="AB63" s="36"/>
      <c r="AC63" s="19"/>
      <c r="AD63" s="274"/>
      <c r="AE63" s="276"/>
      <c r="AF63" s="37">
        <v>0</v>
      </c>
      <c r="AG63" s="36"/>
      <c r="AH63" s="19"/>
      <c r="AI63" s="274"/>
      <c r="AJ63" s="276"/>
      <c r="AK63" s="37">
        <v>0</v>
      </c>
      <c r="AL63" s="36"/>
      <c r="AM63" s="19"/>
      <c r="AN63" s="274"/>
      <c r="AO63" s="276"/>
      <c r="AP63" s="37">
        <v>0</v>
      </c>
      <c r="AQ63" s="36"/>
      <c r="AR63" s="19"/>
      <c r="AS63" s="274"/>
      <c r="AT63" s="276"/>
      <c r="AU63" s="37">
        <v>0</v>
      </c>
      <c r="AV63" s="36"/>
      <c r="AW63" s="19"/>
      <c r="AX63" s="274"/>
      <c r="AY63" s="276"/>
      <c r="AZ63" s="37">
        <v>0</v>
      </c>
      <c r="BA63" s="36"/>
      <c r="BB63" s="19"/>
      <c r="BC63" s="274"/>
      <c r="BD63" s="276"/>
      <c r="BE63" s="37">
        <v>0</v>
      </c>
      <c r="BF63" s="36"/>
      <c r="BG63" s="19"/>
      <c r="BH63" s="274"/>
      <c r="BI63" s="276"/>
      <c r="BJ63" s="37">
        <v>0</v>
      </c>
      <c r="BK63" s="36"/>
      <c r="BL63" s="19"/>
      <c r="BM63" s="274"/>
      <c r="BN63" s="276"/>
      <c r="BO63" s="37">
        <v>0</v>
      </c>
      <c r="BP63" s="36"/>
      <c r="BQ63" s="19"/>
      <c r="BR63" s="274"/>
      <c r="BS63" s="231"/>
      <c r="BT63" s="37">
        <f>SUM(L63:BO63)</f>
        <v>0</v>
      </c>
      <c r="BU63" s="36"/>
      <c r="BV63" s="19"/>
      <c r="BW63" s="274"/>
      <c r="BX63" s="231"/>
      <c r="BY63" s="37">
        <v>0</v>
      </c>
      <c r="BZ63" s="36"/>
      <c r="CA63" s="19"/>
      <c r="CB63" s="274"/>
      <c r="CC63" s="231"/>
      <c r="CD63" s="37">
        <v>0</v>
      </c>
      <c r="CE63" s="36"/>
      <c r="CF63" s="19"/>
      <c r="CG63" s="274"/>
      <c r="CH63" s="276"/>
      <c r="CI63" s="37">
        <v>0</v>
      </c>
      <c r="CJ63" s="36"/>
      <c r="CK63" s="19"/>
      <c r="CL63" s="274"/>
      <c r="CM63" s="276"/>
      <c r="CN63" s="37">
        <v>0</v>
      </c>
      <c r="CO63" s="36"/>
      <c r="CP63" s="19"/>
      <c r="CQ63" s="274"/>
      <c r="CR63" s="276"/>
      <c r="CS63" s="37">
        <v>0</v>
      </c>
      <c r="CT63" s="36"/>
      <c r="CU63" s="19"/>
      <c r="CV63" s="274"/>
      <c r="CW63" s="276"/>
      <c r="CX63" s="37">
        <v>0</v>
      </c>
      <c r="CY63" s="36"/>
      <c r="CZ63" s="19"/>
      <c r="DA63" s="274"/>
      <c r="DB63" s="276"/>
      <c r="DC63" s="37">
        <v>0</v>
      </c>
      <c r="DD63" s="36"/>
      <c r="DE63" s="19"/>
      <c r="DF63" s="274"/>
      <c r="DG63" s="276"/>
      <c r="DH63" s="37">
        <v>0</v>
      </c>
      <c r="DI63" s="36"/>
      <c r="DJ63" s="19"/>
      <c r="DK63" s="274"/>
      <c r="DL63" s="276"/>
      <c r="DM63" s="37">
        <v>0</v>
      </c>
      <c r="DN63" s="36"/>
      <c r="DO63" s="19"/>
      <c r="DP63" s="274"/>
      <c r="DQ63" s="276"/>
      <c r="DR63" s="37">
        <v>0</v>
      </c>
      <c r="DS63" s="36"/>
      <c r="DT63" s="19"/>
      <c r="DU63" s="274"/>
      <c r="DV63" s="276"/>
      <c r="DW63" s="37">
        <v>0</v>
      </c>
      <c r="DX63" s="36"/>
      <c r="DY63" s="19"/>
      <c r="DZ63" s="274"/>
      <c r="EA63" s="276"/>
      <c r="EB63" s="37">
        <v>0</v>
      </c>
      <c r="EC63" s="36"/>
      <c r="ED63" s="19"/>
      <c r="EE63" s="274"/>
      <c r="EF63" s="276"/>
      <c r="EG63" s="37">
        <v>0</v>
      </c>
      <c r="EH63" s="36"/>
      <c r="EI63" s="19"/>
      <c r="EJ63" s="274"/>
      <c r="EK63" s="231"/>
      <c r="EL63" s="37">
        <f>SUM(CD63:DM63)</f>
        <v>0</v>
      </c>
      <c r="EM63" s="36"/>
      <c r="EN63" s="19"/>
      <c r="EO63" s="244"/>
      <c r="EP63" s="451"/>
      <c r="EQ63" s="451"/>
    </row>
    <row r="64" spans="4:147" ht="12.75" hidden="1" customHeight="1" x14ac:dyDescent="0.2">
      <c r="D64" s="244"/>
      <c r="E64" s="82"/>
      <c r="G64" s="19"/>
      <c r="H64" s="19"/>
      <c r="I64" s="19"/>
      <c r="J64" s="274"/>
      <c r="K64" s="19"/>
      <c r="L64" s="19"/>
      <c r="M64" s="19"/>
      <c r="N64" s="19"/>
      <c r="O64" s="274"/>
      <c r="P64" s="19"/>
      <c r="Q64" s="19"/>
      <c r="R64" s="19"/>
      <c r="S64" s="19"/>
      <c r="T64" s="274"/>
      <c r="U64" s="19"/>
      <c r="V64" s="19"/>
      <c r="W64" s="19"/>
      <c r="X64" s="19"/>
      <c r="Y64" s="274"/>
      <c r="Z64" s="19"/>
      <c r="AA64" s="19"/>
      <c r="AB64" s="19"/>
      <c r="AC64" s="19"/>
      <c r="AD64" s="274"/>
      <c r="AE64" s="19"/>
      <c r="AF64" s="19"/>
      <c r="AG64" s="19"/>
      <c r="AH64" s="19"/>
      <c r="AI64" s="274"/>
      <c r="AJ64" s="19"/>
      <c r="AK64" s="19"/>
      <c r="AL64" s="19"/>
      <c r="AM64" s="19"/>
      <c r="AN64" s="274"/>
      <c r="AO64" s="19"/>
      <c r="AP64" s="19"/>
      <c r="AQ64" s="19"/>
      <c r="AR64" s="19"/>
      <c r="AS64" s="274"/>
      <c r="AT64" s="19"/>
      <c r="AU64" s="19"/>
      <c r="AV64" s="19"/>
      <c r="AW64" s="19"/>
      <c r="AX64" s="274"/>
      <c r="AY64" s="19"/>
      <c r="AZ64" s="19"/>
      <c r="BA64" s="19"/>
      <c r="BB64" s="19"/>
      <c r="BC64" s="274"/>
      <c r="BD64" s="19"/>
      <c r="BE64" s="19"/>
      <c r="BF64" s="19"/>
      <c r="BG64" s="19"/>
      <c r="BH64" s="274"/>
      <c r="BI64" s="19"/>
      <c r="BJ64" s="19"/>
      <c r="BK64" s="19"/>
      <c r="BL64" s="19"/>
      <c r="BM64" s="274"/>
      <c r="BN64" s="19"/>
      <c r="BO64" s="19"/>
      <c r="BP64" s="19"/>
      <c r="BQ64" s="19"/>
      <c r="BR64" s="274"/>
      <c r="BS64" s="19"/>
      <c r="BT64" s="19"/>
      <c r="BU64" s="19"/>
      <c r="BV64" s="19"/>
      <c r="BW64" s="274"/>
      <c r="BX64" s="19"/>
      <c r="BY64" s="19"/>
      <c r="BZ64" s="19"/>
      <c r="CA64" s="19"/>
      <c r="CB64" s="274"/>
      <c r="CC64" s="19"/>
      <c r="CD64" s="19"/>
      <c r="CE64" s="19"/>
      <c r="CF64" s="19"/>
      <c r="CG64" s="274"/>
      <c r="CH64" s="19"/>
      <c r="CI64" s="19"/>
      <c r="CJ64" s="19"/>
      <c r="CK64" s="19"/>
      <c r="CL64" s="274"/>
      <c r="CM64" s="19"/>
      <c r="CN64" s="19"/>
      <c r="CO64" s="19"/>
      <c r="CP64" s="19"/>
      <c r="CQ64" s="274"/>
      <c r="CR64" s="19"/>
      <c r="CS64" s="19"/>
      <c r="CT64" s="19"/>
      <c r="CU64" s="19"/>
      <c r="CV64" s="274"/>
      <c r="CW64" s="19"/>
      <c r="CX64" s="19"/>
      <c r="CY64" s="19"/>
      <c r="CZ64" s="19"/>
      <c r="DA64" s="274"/>
      <c r="DB64" s="19"/>
      <c r="DC64" s="19"/>
      <c r="DD64" s="19"/>
      <c r="DE64" s="19"/>
      <c r="DF64" s="274"/>
      <c r="DG64" s="19"/>
      <c r="DH64" s="19"/>
      <c r="DI64" s="19"/>
      <c r="DJ64" s="19"/>
      <c r="DK64" s="274"/>
      <c r="DL64" s="19"/>
      <c r="DM64" s="19"/>
      <c r="DN64" s="19"/>
      <c r="DO64" s="19"/>
      <c r="DP64" s="274"/>
      <c r="DQ64" s="19"/>
      <c r="DR64" s="19"/>
      <c r="DS64" s="19"/>
      <c r="DT64" s="19"/>
      <c r="DU64" s="274"/>
      <c r="DV64" s="19"/>
      <c r="DW64" s="19"/>
      <c r="DX64" s="19"/>
      <c r="DY64" s="19"/>
      <c r="DZ64" s="274"/>
      <c r="EA64" s="19"/>
      <c r="EB64" s="19"/>
      <c r="EC64" s="19"/>
      <c r="ED64" s="19"/>
      <c r="EE64" s="274"/>
      <c r="EF64" s="19"/>
      <c r="EG64" s="19"/>
      <c r="EH64" s="19"/>
      <c r="EI64" s="19"/>
      <c r="EJ64" s="274"/>
      <c r="EK64" s="19"/>
      <c r="EL64" s="19"/>
      <c r="EO64" s="244"/>
      <c r="EP64" s="451"/>
      <c r="EQ64" s="451"/>
    </row>
    <row r="65" spans="4:147" s="451" customFormat="1" x14ac:dyDescent="0.2">
      <c r="D65" s="484" t="s">
        <v>430</v>
      </c>
      <c r="E65" s="138"/>
      <c r="G65" s="14">
        <f>SUM(G66:G66)</f>
        <v>1028268</v>
      </c>
      <c r="H65" s="14"/>
      <c r="I65" s="14"/>
      <c r="J65" s="422"/>
      <c r="K65" s="14"/>
      <c r="L65" s="14">
        <f>SUM(L66:L66)</f>
        <v>487336</v>
      </c>
      <c r="M65" s="14"/>
      <c r="N65" s="14"/>
      <c r="O65" s="422"/>
      <c r="P65" s="14"/>
      <c r="Q65" s="14">
        <f>SUM(Q66:Q66)</f>
        <v>29682</v>
      </c>
      <c r="R65" s="14"/>
      <c r="S65" s="14"/>
      <c r="T65" s="422"/>
      <c r="U65" s="14"/>
      <c r="V65" s="14">
        <f>SUM(V66:V66)</f>
        <v>28489</v>
      </c>
      <c r="W65" s="14"/>
      <c r="X65" s="14"/>
      <c r="Y65" s="422"/>
      <c r="Z65" s="14"/>
      <c r="AA65" s="14">
        <f>SUM(AA66:AA66)</f>
        <v>0</v>
      </c>
      <c r="AB65" s="14"/>
      <c r="AC65" s="14"/>
      <c r="AD65" s="422"/>
      <c r="AE65" s="14"/>
      <c r="AF65" s="14">
        <f>SUM(AF66:AF66)</f>
        <v>41191</v>
      </c>
      <c r="AG65" s="14"/>
      <c r="AH65" s="14"/>
      <c r="AI65" s="422"/>
      <c r="AJ65" s="14"/>
      <c r="AK65" s="14">
        <f>SUM(AK66:AK66)</f>
        <v>18552</v>
      </c>
      <c r="AL65" s="14"/>
      <c r="AM65" s="14"/>
      <c r="AN65" s="422"/>
      <c r="AO65" s="14"/>
      <c r="AP65" s="14">
        <f>SUM(AP66:AP66)</f>
        <v>0</v>
      </c>
      <c r="AQ65" s="14"/>
      <c r="AR65" s="14"/>
      <c r="AS65" s="422"/>
      <c r="AT65" s="14"/>
      <c r="AU65" s="14">
        <f>SUM(AU66:AU66)</f>
        <v>0</v>
      </c>
      <c r="AV65" s="14"/>
      <c r="AW65" s="14"/>
      <c r="AX65" s="422"/>
      <c r="AY65" s="14"/>
      <c r="AZ65" s="14">
        <f>SUM(AZ66:AZ66)</f>
        <v>290338</v>
      </c>
      <c r="BA65" s="14"/>
      <c r="BB65" s="14"/>
      <c r="BC65" s="422"/>
      <c r="BD65" s="14"/>
      <c r="BE65" s="14">
        <f>SUM(BE66:BE66)</f>
        <v>132680</v>
      </c>
      <c r="BF65" s="14"/>
      <c r="BG65" s="14"/>
      <c r="BH65" s="422"/>
      <c r="BI65" s="14"/>
      <c r="BJ65" s="14">
        <f>SUM(BJ66:BJ66)</f>
        <v>1279237</v>
      </c>
      <c r="BK65" s="14"/>
      <c r="BL65" s="14"/>
      <c r="BM65" s="422"/>
      <c r="BN65" s="14"/>
      <c r="BO65" s="14">
        <f>SUM(BO66:BO66)</f>
        <v>2584491</v>
      </c>
      <c r="BP65" s="14"/>
      <c r="BQ65" s="14"/>
      <c r="BR65" s="422"/>
      <c r="BS65" s="14"/>
      <c r="BT65" s="14">
        <f>SUM(BT66:BT66)</f>
        <v>4891996</v>
      </c>
      <c r="BU65" s="14"/>
      <c r="BV65" s="14"/>
      <c r="BW65" s="422"/>
      <c r="BX65" s="14"/>
      <c r="BY65" s="14">
        <f>SUM(BY66:BY66)</f>
        <v>4361282</v>
      </c>
      <c r="BZ65" s="14"/>
      <c r="CA65" s="14"/>
      <c r="CB65" s="422"/>
      <c r="CC65" s="14"/>
      <c r="CD65" s="14">
        <f>SUM(CD66:CD66)</f>
        <v>3109689</v>
      </c>
      <c r="CE65" s="14"/>
      <c r="CF65" s="14"/>
      <c r="CG65" s="422"/>
      <c r="CH65" s="14"/>
      <c r="CI65" s="14">
        <f>SUM(CI66:CI66)</f>
        <v>0</v>
      </c>
      <c r="CJ65" s="14"/>
      <c r="CK65" s="14"/>
      <c r="CL65" s="422"/>
      <c r="CM65" s="14"/>
      <c r="CN65" s="14">
        <f>SUM(CN66:CN66)</f>
        <v>0</v>
      </c>
      <c r="CO65" s="14"/>
      <c r="CP65" s="14"/>
      <c r="CQ65" s="422"/>
      <c r="CR65" s="14"/>
      <c r="CS65" s="14">
        <f>SUM(CS66:CS66)</f>
        <v>0</v>
      </c>
      <c r="CT65" s="14"/>
      <c r="CU65" s="14"/>
      <c r="CV65" s="422"/>
      <c r="CW65" s="14"/>
      <c r="CX65" s="14">
        <f>SUM(CX66:CX66)</f>
        <v>289217</v>
      </c>
      <c r="CY65" s="14"/>
      <c r="CZ65" s="14"/>
      <c r="DA65" s="422"/>
      <c r="DB65" s="14"/>
      <c r="DC65" s="14">
        <f>SUM(DC66:DC66)</f>
        <v>235010</v>
      </c>
      <c r="DD65" s="14"/>
      <c r="DE65" s="14"/>
      <c r="DF65" s="422"/>
      <c r="DG65" s="14"/>
      <c r="DH65" s="14">
        <f>SUM(DH66:DH66)</f>
        <v>0</v>
      </c>
      <c r="DI65" s="14"/>
      <c r="DJ65" s="14"/>
      <c r="DK65" s="422"/>
      <c r="DL65" s="14"/>
      <c r="DM65" s="14">
        <f>SUM(DM66:DM66)</f>
        <v>64127</v>
      </c>
      <c r="DN65" s="14"/>
      <c r="DO65" s="14"/>
      <c r="DP65" s="422"/>
      <c r="DQ65" s="14"/>
      <c r="DR65" s="14">
        <f>SUM(DR66:DR66)</f>
        <v>0</v>
      </c>
      <c r="DS65" s="14"/>
      <c r="DT65" s="14"/>
      <c r="DU65" s="422"/>
      <c r="DV65" s="14"/>
      <c r="DW65" s="14">
        <f>SUM(DW66:DW66)</f>
        <v>0</v>
      </c>
      <c r="DX65" s="14"/>
      <c r="DY65" s="14"/>
      <c r="DZ65" s="422"/>
      <c r="EA65" s="14"/>
      <c r="EB65" s="14">
        <f>SUM(EB66:EB66)</f>
        <v>0</v>
      </c>
      <c r="EC65" s="14"/>
      <c r="ED65" s="14"/>
      <c r="EE65" s="422"/>
      <c r="EF65" s="14"/>
      <c r="EG65" s="14">
        <f>SUM(EG66:EG66)</f>
        <v>663239</v>
      </c>
      <c r="EH65" s="14"/>
      <c r="EI65" s="14"/>
      <c r="EJ65" s="422"/>
      <c r="EK65" s="14"/>
      <c r="EL65" s="14">
        <f>SUM(EL66:EL66)</f>
        <v>4361282</v>
      </c>
      <c r="EO65" s="484"/>
    </row>
    <row r="66" spans="4:147" x14ac:dyDescent="0.2">
      <c r="D66" s="244" t="s">
        <v>344</v>
      </c>
      <c r="E66" s="82"/>
      <c r="F66" s="91"/>
      <c r="G66" s="81">
        <f>G69+G75+G78+G81+G84+G87+G90+G93+G96+G102+G105+G108+G111+G99+G117+G120+G72+G114</f>
        <v>1028268</v>
      </c>
      <c r="H66" s="49"/>
      <c r="I66" s="19"/>
      <c r="J66" s="274"/>
      <c r="K66" s="48"/>
      <c r="L66" s="81">
        <f>L69+L75+L78+L81+L84+L87+L90+L93+L96+L102+L105+L108+L111+L99+L117+L120+L72+L114</f>
        <v>487336</v>
      </c>
      <c r="M66" s="49"/>
      <c r="N66" s="19"/>
      <c r="O66" s="274"/>
      <c r="P66" s="48"/>
      <c r="Q66" s="81">
        <f>Q69+Q75+Q78+Q81+Q84+Q87+Q90+Q93+Q96+Q102+Q105+Q108+Q111+Q99+Q117+Q120+Q72+Q114</f>
        <v>29682</v>
      </c>
      <c r="R66" s="49"/>
      <c r="S66" s="19"/>
      <c r="T66" s="274"/>
      <c r="U66" s="48"/>
      <c r="V66" s="81">
        <f>V69+V75+V78+V81+V84+V87+V90+V93+V96+V102+V105+V108+V111+V99+V117+V120+V72+V114</f>
        <v>28489</v>
      </c>
      <c r="W66" s="49"/>
      <c r="X66" s="19"/>
      <c r="Y66" s="274"/>
      <c r="Z66" s="48"/>
      <c r="AA66" s="81">
        <v>0</v>
      </c>
      <c r="AB66" s="49"/>
      <c r="AC66" s="19"/>
      <c r="AD66" s="274"/>
      <c r="AE66" s="48"/>
      <c r="AF66" s="81">
        <f>AF69+AF75+AF78+AF81+AF84+AF87+AF90+AF93+AF96+AF102+AF105+AF108+AF111+AF99+AF117+AF120+AF72+AF114</f>
        <v>41191</v>
      </c>
      <c r="AG66" s="49"/>
      <c r="AH66" s="19"/>
      <c r="AI66" s="274"/>
      <c r="AJ66" s="48"/>
      <c r="AK66" s="81">
        <f>AK69+AK75+AK78+AK81+AK84+AK87+AK90+AK93+AK96+AK102+AK105+AK108+AK111+AK99+AK117+AK120+AK72+AK114</f>
        <v>18552</v>
      </c>
      <c r="AL66" s="49"/>
      <c r="AM66" s="19"/>
      <c r="AN66" s="274"/>
      <c r="AO66" s="48"/>
      <c r="AP66" s="81">
        <f>AP69+AP75+AP78+AP81+AP84+AP87+AP90+AP93+AP96+AP102+AP105+AP108+AP111+AP99+AP117+AP120+AP72+AP114</f>
        <v>0</v>
      </c>
      <c r="AQ66" s="49"/>
      <c r="AR66" s="19"/>
      <c r="AS66" s="274"/>
      <c r="AT66" s="48"/>
      <c r="AU66" s="81">
        <f>AU69+AU75+AU78+AU81+AU84+AU87+AU90+AU93+AU96+AU102+AU105+AU108+AU111+AU99+AU117+AU120+AU72+AU114</f>
        <v>0</v>
      </c>
      <c r="AV66" s="49"/>
      <c r="AW66" s="19"/>
      <c r="AX66" s="274"/>
      <c r="AY66" s="48"/>
      <c r="AZ66" s="81">
        <f>AZ69+AZ75+AZ78+AZ81+AZ84+AZ87+AZ90+AZ93+AZ96+AZ102+AZ105+AZ108+AZ111+AZ99+AZ117+AZ120+AZ72+AZ114</f>
        <v>290338</v>
      </c>
      <c r="BA66" s="49"/>
      <c r="BB66" s="19"/>
      <c r="BC66" s="274"/>
      <c r="BD66" s="48"/>
      <c r="BE66" s="81">
        <f>BE69+BE75+BE78+BE81+BE84+BE87+BE90+BE93+BE96+BE102+BE105+BE108+BE111+BE99+BE117+BE120+BE72+BE114</f>
        <v>132680</v>
      </c>
      <c r="BF66" s="49"/>
      <c r="BG66" s="19"/>
      <c r="BH66" s="274"/>
      <c r="BI66" s="48"/>
      <c r="BJ66" s="81">
        <f>BJ69+BJ75+BJ78+BJ81+BJ84+BJ87+BJ90+BJ93+BJ96+BJ102+BJ105+BJ108+BJ111+BJ99+BJ117+BJ120+BJ72+BJ114</f>
        <v>1279237</v>
      </c>
      <c r="BK66" s="49"/>
      <c r="BL66" s="19"/>
      <c r="BM66" s="274"/>
      <c r="BN66" s="48"/>
      <c r="BO66" s="81">
        <f>BO69+BO75+BO78+BO81+BO84+BO87+BO90+BO93+BO96+BO102+BO105+BO108+BO111+BO99+BO117+BO120+BO72+BO114</f>
        <v>2584491</v>
      </c>
      <c r="BP66" s="49"/>
      <c r="BQ66" s="19"/>
      <c r="BR66" s="274"/>
      <c r="BS66" s="48"/>
      <c r="BT66" s="81">
        <f>BT69+BT75+BT78+BT81+BT84+BT87+BT90+BT93+BT96+BT102+BT105+BT108+BT111+BT99+BT117+BT120+BT72+BT114</f>
        <v>4891996</v>
      </c>
      <c r="BU66" s="49"/>
      <c r="BV66" s="19"/>
      <c r="BW66" s="274"/>
      <c r="BX66" s="48"/>
      <c r="BY66" s="81">
        <f>BY69+BY75+BY78+BY81+BY84+BY87+BY90+BY93+BY96+BY102+BY105+BY108+BY111+BY99+BY117+BY120+BY72+BY114</f>
        <v>4361282</v>
      </c>
      <c r="BZ66" s="49"/>
      <c r="CA66" s="19"/>
      <c r="CB66" s="274"/>
      <c r="CC66" s="48"/>
      <c r="CD66" s="81">
        <f>CD69+CD75+CD78+CD81+CD84+CD87+CD90+CD93+CD96+CD102+CD105+CD108+CD111+CD99+CD117+CD120+CD72+CD114</f>
        <v>3109689</v>
      </c>
      <c r="CE66" s="49"/>
      <c r="CF66" s="19"/>
      <c r="CG66" s="274"/>
      <c r="CH66" s="48"/>
      <c r="CI66" s="81">
        <v>0</v>
      </c>
      <c r="CJ66" s="49"/>
      <c r="CK66" s="19"/>
      <c r="CL66" s="274"/>
      <c r="CM66" s="48"/>
      <c r="CN66" s="81">
        <v>0</v>
      </c>
      <c r="CO66" s="49"/>
      <c r="CP66" s="19"/>
      <c r="CQ66" s="274"/>
      <c r="CR66" s="48"/>
      <c r="CS66" s="81">
        <v>0</v>
      </c>
      <c r="CT66" s="49"/>
      <c r="CU66" s="19"/>
      <c r="CV66" s="274"/>
      <c r="CW66" s="48"/>
      <c r="CX66" s="81">
        <f>CX69+CX75+CX78+CX81+CX84+CX87+CX90+CX93+CX96+CX102+CX105+CX108+CX111+CX99+CX117+CX120+CX72+CX114</f>
        <v>289217</v>
      </c>
      <c r="CY66" s="49"/>
      <c r="CZ66" s="19"/>
      <c r="DA66" s="274"/>
      <c r="DB66" s="48"/>
      <c r="DC66" s="81">
        <f>DC69+DC75+DC78+DC81+DC84+DC87+DC90+DC93+DC96+DC102+DC105+DC108+DC111+DC99+DC117+DC120+DC72+DC114</f>
        <v>235010</v>
      </c>
      <c r="DD66" s="49"/>
      <c r="DE66" s="19"/>
      <c r="DF66" s="274"/>
      <c r="DG66" s="48"/>
      <c r="DH66" s="81">
        <f>DH69+DH75+DH78+DH81+DH84+DH87+DH90+DH93+DH96+DH102+DH105+DH108+DH111+DH99+DH117+DH120+DH72+DH114</f>
        <v>0</v>
      </c>
      <c r="DI66" s="49"/>
      <c r="DJ66" s="19"/>
      <c r="DK66" s="274"/>
      <c r="DL66" s="48"/>
      <c r="DM66" s="81">
        <f>DM69+DM75+DM78+DM81+DM84+DM87+DM90+DM93+DM96+DM102+DM105+DM108+DM111+DM99+DM117+DM120+DM72+DM114</f>
        <v>64127</v>
      </c>
      <c r="DN66" s="49"/>
      <c r="DO66" s="19"/>
      <c r="DP66" s="274"/>
      <c r="DQ66" s="48"/>
      <c r="DR66" s="81">
        <v>0</v>
      </c>
      <c r="DS66" s="49"/>
      <c r="DT66" s="19"/>
      <c r="DU66" s="274"/>
      <c r="DV66" s="48"/>
      <c r="DW66" s="81">
        <v>0</v>
      </c>
      <c r="DX66" s="49"/>
      <c r="DY66" s="19"/>
      <c r="DZ66" s="274"/>
      <c r="EA66" s="48"/>
      <c r="EB66" s="81">
        <v>0</v>
      </c>
      <c r="EC66" s="49"/>
      <c r="ED66" s="19"/>
      <c r="EE66" s="274"/>
      <c r="EF66" s="48"/>
      <c r="EG66" s="81">
        <f>EG69+EG75+EG78+EG81+EG84+EG87+EG90+EG93+EG96+EG102+EG105+EG108+EG111+EG99+EG117+EG120+EG72+EG114</f>
        <v>663239</v>
      </c>
      <c r="EH66" s="49"/>
      <c r="EI66" s="19"/>
      <c r="EJ66" s="274"/>
      <c r="EK66" s="48"/>
      <c r="EL66" s="81">
        <f>EL69+EL75+EL78+EL81+EL84+EL87+EL90+EL93+EL96+EL102+EL105+EL108+EL111+EL99+EL117+EL120+EL72+EL114</f>
        <v>4361282</v>
      </c>
      <c r="EM66" s="100"/>
      <c r="EO66" s="244"/>
      <c r="EP66" s="451"/>
      <c r="EQ66" s="451"/>
    </row>
    <row r="67" spans="4:147" x14ac:dyDescent="0.2">
      <c r="D67" s="244"/>
      <c r="E67" s="82"/>
      <c r="G67" s="19"/>
      <c r="H67" s="19"/>
      <c r="I67" s="19"/>
      <c r="J67" s="274"/>
      <c r="K67" s="19"/>
      <c r="L67" s="19"/>
      <c r="M67" s="19"/>
      <c r="N67" s="19"/>
      <c r="O67" s="274"/>
      <c r="P67" s="19"/>
      <c r="Q67" s="19"/>
      <c r="R67" s="19"/>
      <c r="S67" s="19"/>
      <c r="T67" s="274"/>
      <c r="U67" s="19"/>
      <c r="V67" s="19"/>
      <c r="W67" s="19"/>
      <c r="X67" s="19"/>
      <c r="Y67" s="274"/>
      <c r="Z67" s="19"/>
      <c r="AA67" s="19"/>
      <c r="AB67" s="19"/>
      <c r="AC67" s="19"/>
      <c r="AD67" s="274"/>
      <c r="AE67" s="19"/>
      <c r="AF67" s="19"/>
      <c r="AG67" s="19"/>
      <c r="AH67" s="19"/>
      <c r="AI67" s="274"/>
      <c r="AJ67" s="19"/>
      <c r="AK67" s="19"/>
      <c r="AL67" s="19"/>
      <c r="AM67" s="19"/>
      <c r="AN67" s="274"/>
      <c r="AO67" s="19"/>
      <c r="AP67" s="19"/>
      <c r="AQ67" s="19"/>
      <c r="AR67" s="19"/>
      <c r="AS67" s="274"/>
      <c r="AT67" s="19"/>
      <c r="AU67" s="19"/>
      <c r="AV67" s="19"/>
      <c r="AW67" s="19"/>
      <c r="AX67" s="274"/>
      <c r="AY67" s="19"/>
      <c r="AZ67" s="19"/>
      <c r="BA67" s="19"/>
      <c r="BB67" s="19"/>
      <c r="BC67" s="274"/>
      <c r="BD67" s="19"/>
      <c r="BE67" s="19"/>
      <c r="BF67" s="19"/>
      <c r="BG67" s="19"/>
      <c r="BH67" s="274"/>
      <c r="BI67" s="19"/>
      <c r="BJ67" s="19"/>
      <c r="BK67" s="19"/>
      <c r="BL67" s="19"/>
      <c r="BM67" s="274"/>
      <c r="BN67" s="19"/>
      <c r="BO67" s="19"/>
      <c r="BP67" s="19"/>
      <c r="BQ67" s="19"/>
      <c r="BR67" s="274"/>
      <c r="BS67" s="19"/>
      <c r="BT67" s="19"/>
      <c r="BU67" s="19"/>
      <c r="BV67" s="19"/>
      <c r="BW67" s="274"/>
      <c r="BX67" s="19"/>
      <c r="BY67" s="19"/>
      <c r="BZ67" s="19"/>
      <c r="CA67" s="19"/>
      <c r="CB67" s="274"/>
      <c r="CC67" s="19"/>
      <c r="CD67" s="19"/>
      <c r="CE67" s="19"/>
      <c r="CF67" s="19"/>
      <c r="CG67" s="274"/>
      <c r="CH67" s="19"/>
      <c r="CI67" s="19"/>
      <c r="CJ67" s="19"/>
      <c r="CK67" s="19"/>
      <c r="CL67" s="274"/>
      <c r="CM67" s="19"/>
      <c r="CN67" s="19"/>
      <c r="CO67" s="19"/>
      <c r="CP67" s="19"/>
      <c r="CQ67" s="274"/>
      <c r="CR67" s="19"/>
      <c r="CS67" s="19"/>
      <c r="CT67" s="19"/>
      <c r="CU67" s="19"/>
      <c r="CV67" s="274"/>
      <c r="CW67" s="19"/>
      <c r="CX67" s="19"/>
      <c r="CY67" s="19"/>
      <c r="CZ67" s="19"/>
      <c r="DA67" s="274"/>
      <c r="DB67" s="19"/>
      <c r="DC67" s="19"/>
      <c r="DD67" s="19"/>
      <c r="DE67" s="19"/>
      <c r="DF67" s="274"/>
      <c r="DG67" s="19"/>
      <c r="DH67" s="19"/>
      <c r="DI67" s="19"/>
      <c r="DJ67" s="19"/>
      <c r="DK67" s="274"/>
      <c r="DL67" s="19"/>
      <c r="DM67" s="19"/>
      <c r="DN67" s="19"/>
      <c r="DO67" s="19"/>
      <c r="DP67" s="274"/>
      <c r="DQ67" s="19"/>
      <c r="DR67" s="19"/>
      <c r="DS67" s="19"/>
      <c r="DT67" s="19"/>
      <c r="DU67" s="274"/>
      <c r="DV67" s="19"/>
      <c r="DW67" s="19"/>
      <c r="DX67" s="19"/>
      <c r="DY67" s="19"/>
      <c r="DZ67" s="274"/>
      <c r="EA67" s="19"/>
      <c r="EB67" s="19"/>
      <c r="EC67" s="19"/>
      <c r="ED67" s="19"/>
      <c r="EE67" s="274"/>
      <c r="EF67" s="19"/>
      <c r="EG67" s="19"/>
      <c r="EH67" s="19"/>
      <c r="EI67" s="19"/>
      <c r="EJ67" s="274"/>
      <c r="EK67" s="19"/>
      <c r="EL67" s="19"/>
      <c r="EO67" s="244"/>
      <c r="EP67" s="451"/>
      <c r="EQ67" s="451"/>
    </row>
    <row r="68" spans="4:147" x14ac:dyDescent="0.2">
      <c r="D68" s="244" t="s">
        <v>370</v>
      </c>
      <c r="E68" s="82"/>
      <c r="G68" s="19">
        <f>SUM(G69:G69)</f>
        <v>218557</v>
      </c>
      <c r="H68" s="19"/>
      <c r="I68" s="19"/>
      <c r="J68" s="274"/>
      <c r="K68" s="19"/>
      <c r="L68" s="19">
        <f>SUM(L69:L69)</f>
        <v>0</v>
      </c>
      <c r="M68" s="19"/>
      <c r="N68" s="19"/>
      <c r="O68" s="274"/>
      <c r="P68" s="19"/>
      <c r="Q68" s="19">
        <f>SUM(Q69:Q69)</f>
        <v>0</v>
      </c>
      <c r="R68" s="19"/>
      <c r="S68" s="19"/>
      <c r="T68" s="274"/>
      <c r="U68" s="19"/>
      <c r="V68" s="19">
        <f>SUM(V69:V69)</f>
        <v>0</v>
      </c>
      <c r="W68" s="19"/>
      <c r="X68" s="19"/>
      <c r="Y68" s="274"/>
      <c r="Z68" s="19"/>
      <c r="AA68" s="19">
        <f>SUM(AA69:AA69)</f>
        <v>0</v>
      </c>
      <c r="AB68" s="19"/>
      <c r="AC68" s="19"/>
      <c r="AD68" s="274"/>
      <c r="AE68" s="19"/>
      <c r="AF68" s="19">
        <f>SUM(AF69:AF69)</f>
        <v>0</v>
      </c>
      <c r="AG68" s="19"/>
      <c r="AH68" s="19"/>
      <c r="AI68" s="274"/>
      <c r="AJ68" s="19"/>
      <c r="AK68" s="19">
        <f>SUM(AK69:AK69)</f>
        <v>0</v>
      </c>
      <c r="AL68" s="19"/>
      <c r="AM68" s="19"/>
      <c r="AN68" s="274"/>
      <c r="AO68" s="19"/>
      <c r="AP68" s="19">
        <f>SUM(AP69:AP69)</f>
        <v>0</v>
      </c>
      <c r="AQ68" s="19"/>
      <c r="AR68" s="19"/>
      <c r="AS68" s="274"/>
      <c r="AT68" s="19"/>
      <c r="AU68" s="19">
        <f>SUM(AU69:AU69)</f>
        <v>0</v>
      </c>
      <c r="AV68" s="19"/>
      <c r="AW68" s="19"/>
      <c r="AX68" s="274"/>
      <c r="AY68" s="19"/>
      <c r="AZ68" s="19">
        <f>SUM(AZ69:AZ69)</f>
        <v>85877</v>
      </c>
      <c r="BA68" s="19"/>
      <c r="BB68" s="19"/>
      <c r="BC68" s="274"/>
      <c r="BD68" s="19"/>
      <c r="BE68" s="19">
        <f>SUM(BE69:BE69)</f>
        <v>132680</v>
      </c>
      <c r="BF68" s="19"/>
      <c r="BG68" s="19"/>
      <c r="BH68" s="274"/>
      <c r="BI68" s="19"/>
      <c r="BJ68" s="19">
        <f>SUM(BJ69:BJ69)</f>
        <v>0</v>
      </c>
      <c r="BK68" s="19"/>
      <c r="BL68" s="19"/>
      <c r="BM68" s="274"/>
      <c r="BN68" s="19"/>
      <c r="BO68" s="19">
        <f>SUM(BO69:BO69)</f>
        <v>0</v>
      </c>
      <c r="BP68" s="19"/>
      <c r="BQ68" s="19"/>
      <c r="BR68" s="274"/>
      <c r="BS68" s="19"/>
      <c r="BT68" s="19">
        <f>SUM(BT69:BT69)</f>
        <v>218557</v>
      </c>
      <c r="BU68" s="19"/>
      <c r="BV68" s="19"/>
      <c r="BW68" s="274"/>
      <c r="BX68" s="19"/>
      <c r="BY68" s="19">
        <f>SUM(BY69:BY69)</f>
        <v>0</v>
      </c>
      <c r="BZ68" s="19"/>
      <c r="CA68" s="19"/>
      <c r="CB68" s="274"/>
      <c r="CC68" s="19"/>
      <c r="CD68" s="19">
        <f>SUM(CD69:CD69)</f>
        <v>0</v>
      </c>
      <c r="CE68" s="19"/>
      <c r="CF68" s="19"/>
      <c r="CG68" s="274"/>
      <c r="CH68" s="19"/>
      <c r="CI68" s="19">
        <f>SUM(CI69:CI69)</f>
        <v>0</v>
      </c>
      <c r="CJ68" s="19"/>
      <c r="CK68" s="19"/>
      <c r="CL68" s="274"/>
      <c r="CM68" s="19"/>
      <c r="CN68" s="19">
        <f>SUM(CN69:CN69)</f>
        <v>0</v>
      </c>
      <c r="CO68" s="19"/>
      <c r="CP68" s="19"/>
      <c r="CQ68" s="274"/>
      <c r="CR68" s="19"/>
      <c r="CS68" s="19">
        <f>SUM(CS69:CS69)</f>
        <v>0</v>
      </c>
      <c r="CT68" s="19"/>
      <c r="CU68" s="19"/>
      <c r="CV68" s="274"/>
      <c r="CW68" s="19"/>
      <c r="CX68" s="19">
        <f>SUM(CX69:CX69)</f>
        <v>0</v>
      </c>
      <c r="CY68" s="19"/>
      <c r="CZ68" s="19"/>
      <c r="DA68" s="274"/>
      <c r="DB68" s="19"/>
      <c r="DC68" s="19">
        <f>SUM(DC69:DC69)</f>
        <v>0</v>
      </c>
      <c r="DD68" s="19"/>
      <c r="DE68" s="19"/>
      <c r="DF68" s="274"/>
      <c r="DG68" s="19"/>
      <c r="DH68" s="19">
        <f>SUM(DH69:DH69)</f>
        <v>0</v>
      </c>
      <c r="DI68" s="19"/>
      <c r="DJ68" s="19"/>
      <c r="DK68" s="274"/>
      <c r="DL68" s="19"/>
      <c r="DM68" s="19">
        <f>SUM(DM69:DM69)</f>
        <v>0</v>
      </c>
      <c r="DN68" s="19"/>
      <c r="DO68" s="19"/>
      <c r="DP68" s="274"/>
      <c r="DQ68" s="19"/>
      <c r="DR68" s="19">
        <f>SUM(DR69:DR69)</f>
        <v>0</v>
      </c>
      <c r="DS68" s="19"/>
      <c r="DT68" s="19"/>
      <c r="DU68" s="274"/>
      <c r="DV68" s="19"/>
      <c r="DW68" s="19">
        <f>SUM(DW69:DW69)</f>
        <v>0</v>
      </c>
      <c r="DX68" s="19"/>
      <c r="DY68" s="19"/>
      <c r="DZ68" s="274"/>
      <c r="EA68" s="19"/>
      <c r="EB68" s="19">
        <f>SUM(EB69:EB69)</f>
        <v>0</v>
      </c>
      <c r="EC68" s="19"/>
      <c r="ED68" s="19"/>
      <c r="EE68" s="274"/>
      <c r="EF68" s="19"/>
      <c r="EG68" s="19">
        <f>SUM(EG69:EG69)</f>
        <v>0</v>
      </c>
      <c r="EH68" s="19"/>
      <c r="EI68" s="19"/>
      <c r="EJ68" s="274"/>
      <c r="EK68" s="19"/>
      <c r="EL68" s="19">
        <f>SUM(EL69:EL69)</f>
        <v>0</v>
      </c>
      <c r="EO68" s="244"/>
      <c r="EP68" s="451"/>
      <c r="EQ68" s="451"/>
    </row>
    <row r="69" spans="4:147" x14ac:dyDescent="0.2">
      <c r="D69" s="244" t="s">
        <v>344</v>
      </c>
      <c r="E69" s="82"/>
      <c r="F69" s="91"/>
      <c r="G69" s="81">
        <v>218557</v>
      </c>
      <c r="H69" s="49"/>
      <c r="I69" s="19"/>
      <c r="J69" s="274"/>
      <c r="K69" s="48"/>
      <c r="L69" s="81">
        <v>0</v>
      </c>
      <c r="M69" s="49"/>
      <c r="N69" s="19"/>
      <c r="O69" s="274"/>
      <c r="P69" s="48"/>
      <c r="Q69" s="81">
        <v>0</v>
      </c>
      <c r="R69" s="49"/>
      <c r="S69" s="19"/>
      <c r="T69" s="274"/>
      <c r="U69" s="48"/>
      <c r="V69" s="81">
        <v>0</v>
      </c>
      <c r="W69" s="49"/>
      <c r="X69" s="19"/>
      <c r="Y69" s="274"/>
      <c r="Z69" s="48"/>
      <c r="AA69" s="81">
        <v>0</v>
      </c>
      <c r="AB69" s="49"/>
      <c r="AC69" s="19"/>
      <c r="AD69" s="274"/>
      <c r="AE69" s="48"/>
      <c r="AF69" s="81">
        <v>0</v>
      </c>
      <c r="AG69" s="49"/>
      <c r="AH69" s="19"/>
      <c r="AI69" s="274"/>
      <c r="AJ69" s="48"/>
      <c r="AK69" s="81">
        <v>0</v>
      </c>
      <c r="AL69" s="49"/>
      <c r="AM69" s="19"/>
      <c r="AN69" s="274"/>
      <c r="AO69" s="48"/>
      <c r="AP69" s="81">
        <v>0</v>
      </c>
      <c r="AQ69" s="49"/>
      <c r="AR69" s="19"/>
      <c r="AS69" s="274"/>
      <c r="AT69" s="48"/>
      <c r="AU69" s="81">
        <v>0</v>
      </c>
      <c r="AV69" s="49"/>
      <c r="AW69" s="19"/>
      <c r="AX69" s="274"/>
      <c r="AY69" s="48"/>
      <c r="AZ69" s="81">
        <v>85877</v>
      </c>
      <c r="BA69" s="49"/>
      <c r="BB69" s="19"/>
      <c r="BC69" s="274"/>
      <c r="BD69" s="48"/>
      <c r="BE69" s="81">
        <v>132680</v>
      </c>
      <c r="BF69" s="49"/>
      <c r="BG69" s="19"/>
      <c r="BH69" s="274"/>
      <c r="BI69" s="48"/>
      <c r="BJ69" s="81">
        <v>0</v>
      </c>
      <c r="BK69" s="49"/>
      <c r="BL69" s="19"/>
      <c r="BM69" s="274"/>
      <c r="BN69" s="48"/>
      <c r="BO69" s="81">
        <v>0</v>
      </c>
      <c r="BP69" s="49"/>
      <c r="BQ69" s="19"/>
      <c r="BR69" s="274"/>
      <c r="BS69" s="48"/>
      <c r="BT69" s="81">
        <f>SUM(L69:BO69)</f>
        <v>218557</v>
      </c>
      <c r="BU69" s="49"/>
      <c r="BV69" s="19"/>
      <c r="BW69" s="274"/>
      <c r="BX69" s="48"/>
      <c r="BY69" s="81">
        <v>0</v>
      </c>
      <c r="BZ69" s="49"/>
      <c r="CA69" s="19"/>
      <c r="CB69" s="274"/>
      <c r="CC69" s="48"/>
      <c r="CD69" s="81">
        <v>0</v>
      </c>
      <c r="CE69" s="49"/>
      <c r="CF69" s="19"/>
      <c r="CG69" s="274"/>
      <c r="CH69" s="48"/>
      <c r="CI69" s="81">
        <v>0</v>
      </c>
      <c r="CJ69" s="49"/>
      <c r="CK69" s="19"/>
      <c r="CL69" s="274"/>
      <c r="CM69" s="48"/>
      <c r="CN69" s="81">
        <v>0</v>
      </c>
      <c r="CO69" s="49"/>
      <c r="CP69" s="19"/>
      <c r="CQ69" s="274"/>
      <c r="CR69" s="48"/>
      <c r="CS69" s="81">
        <v>0</v>
      </c>
      <c r="CT69" s="49"/>
      <c r="CU69" s="19"/>
      <c r="CV69" s="274"/>
      <c r="CW69" s="48"/>
      <c r="CX69" s="81">
        <v>0</v>
      </c>
      <c r="CY69" s="49"/>
      <c r="CZ69" s="19"/>
      <c r="DA69" s="274"/>
      <c r="DB69" s="48"/>
      <c r="DC69" s="81">
        <v>0</v>
      </c>
      <c r="DD69" s="49"/>
      <c r="DE69" s="19"/>
      <c r="DF69" s="274"/>
      <c r="DG69" s="48"/>
      <c r="DH69" s="81">
        <v>0</v>
      </c>
      <c r="DI69" s="49"/>
      <c r="DJ69" s="19"/>
      <c r="DK69" s="274"/>
      <c r="DL69" s="48"/>
      <c r="DM69" s="81">
        <v>0</v>
      </c>
      <c r="DN69" s="49"/>
      <c r="DO69" s="19"/>
      <c r="DP69" s="274"/>
      <c r="DQ69" s="48"/>
      <c r="DR69" s="81">
        <v>0</v>
      </c>
      <c r="DS69" s="49"/>
      <c r="DT69" s="19"/>
      <c r="DU69" s="274"/>
      <c r="DV69" s="48"/>
      <c r="DW69" s="81">
        <v>0</v>
      </c>
      <c r="DX69" s="49"/>
      <c r="DY69" s="19"/>
      <c r="DZ69" s="274"/>
      <c r="EA69" s="48"/>
      <c r="EB69" s="81">
        <v>0</v>
      </c>
      <c r="EC69" s="49"/>
      <c r="ED69" s="19"/>
      <c r="EE69" s="274"/>
      <c r="EF69" s="48"/>
      <c r="EG69" s="81">
        <v>0</v>
      </c>
      <c r="EH69" s="49"/>
      <c r="EI69" s="19"/>
      <c r="EJ69" s="274"/>
      <c r="EK69" s="48"/>
      <c r="EL69" s="81">
        <f>SUM(CD69:EG69)</f>
        <v>0</v>
      </c>
      <c r="EM69" s="100"/>
      <c r="EO69" s="244"/>
      <c r="EP69" s="451"/>
      <c r="EQ69" s="451"/>
    </row>
    <row r="70" spans="4:147" x14ac:dyDescent="0.2">
      <c r="D70" s="244"/>
      <c r="E70" s="82"/>
      <c r="G70" s="299"/>
      <c r="H70" s="299"/>
      <c r="I70" s="299"/>
      <c r="J70" s="403"/>
      <c r="K70" s="299"/>
      <c r="L70" s="299"/>
      <c r="M70" s="299"/>
      <c r="N70" s="299"/>
      <c r="O70" s="403"/>
      <c r="P70" s="299"/>
      <c r="Q70" s="299"/>
      <c r="R70" s="299"/>
      <c r="S70" s="299"/>
      <c r="T70" s="403"/>
      <c r="U70" s="299"/>
      <c r="V70" s="299"/>
      <c r="W70" s="299"/>
      <c r="X70" s="299"/>
      <c r="Y70" s="403"/>
      <c r="Z70" s="299"/>
      <c r="AA70" s="299"/>
      <c r="AB70" s="299"/>
      <c r="AC70" s="299"/>
      <c r="AD70" s="403"/>
      <c r="AE70" s="299"/>
      <c r="AF70" s="299"/>
      <c r="AG70" s="299"/>
      <c r="AH70" s="299"/>
      <c r="AI70" s="403"/>
      <c r="AJ70" s="299"/>
      <c r="AK70" s="299"/>
      <c r="AL70" s="299"/>
      <c r="AM70" s="299"/>
      <c r="AN70" s="403"/>
      <c r="AO70" s="299"/>
      <c r="AP70" s="299"/>
      <c r="AQ70" s="299"/>
      <c r="AR70" s="299"/>
      <c r="AS70" s="403"/>
      <c r="AT70" s="299"/>
      <c r="AU70" s="299"/>
      <c r="AV70" s="299"/>
      <c r="AW70" s="299"/>
      <c r="AX70" s="403"/>
      <c r="AY70" s="299"/>
      <c r="AZ70" s="299"/>
      <c r="BA70" s="299"/>
      <c r="BB70" s="299"/>
      <c r="BC70" s="403"/>
      <c r="BD70" s="299"/>
      <c r="BE70" s="299"/>
      <c r="BF70" s="299"/>
      <c r="BG70" s="299"/>
      <c r="BH70" s="403"/>
      <c r="BI70" s="299"/>
      <c r="BJ70" s="299"/>
      <c r="BK70" s="299"/>
      <c r="BL70" s="299"/>
      <c r="BM70" s="403"/>
      <c r="BN70" s="299"/>
      <c r="BO70" s="299"/>
      <c r="BP70" s="299"/>
      <c r="BQ70" s="299"/>
      <c r="BR70" s="403"/>
      <c r="BS70" s="299"/>
      <c r="BT70" s="19"/>
      <c r="BU70" s="19"/>
      <c r="BV70" s="19"/>
      <c r="BW70" s="274"/>
      <c r="BX70" s="19"/>
      <c r="BY70" s="19"/>
      <c r="BZ70" s="299"/>
      <c r="CA70" s="299"/>
      <c r="CB70" s="403"/>
      <c r="CC70" s="299"/>
      <c r="CD70" s="299"/>
      <c r="CE70" s="299"/>
      <c r="CF70" s="299"/>
      <c r="CG70" s="403"/>
      <c r="CH70" s="299"/>
      <c r="CI70" s="299"/>
      <c r="CJ70" s="299"/>
      <c r="CK70" s="299"/>
      <c r="CL70" s="403"/>
      <c r="CM70" s="299"/>
      <c r="CN70" s="299"/>
      <c r="CO70" s="299"/>
      <c r="CP70" s="299"/>
      <c r="CQ70" s="403"/>
      <c r="CR70" s="299"/>
      <c r="CS70" s="299"/>
      <c r="CT70" s="299"/>
      <c r="CU70" s="299"/>
      <c r="CV70" s="403"/>
      <c r="CW70" s="299"/>
      <c r="CX70" s="299"/>
      <c r="CY70" s="299"/>
      <c r="CZ70" s="299"/>
      <c r="DA70" s="403"/>
      <c r="DB70" s="299"/>
      <c r="DC70" s="299"/>
      <c r="DD70" s="299"/>
      <c r="DE70" s="299"/>
      <c r="DF70" s="403"/>
      <c r="DG70" s="299"/>
      <c r="DH70" s="299"/>
      <c r="DI70" s="299"/>
      <c r="DJ70" s="299"/>
      <c r="DK70" s="403"/>
      <c r="DL70" s="299"/>
      <c r="DM70" s="299"/>
      <c r="DN70" s="299"/>
      <c r="DO70" s="299"/>
      <c r="DP70" s="403"/>
      <c r="DQ70" s="299"/>
      <c r="DR70" s="299"/>
      <c r="DS70" s="299"/>
      <c r="DT70" s="299"/>
      <c r="DU70" s="403"/>
      <c r="DV70" s="299"/>
      <c r="DW70" s="299"/>
      <c r="DX70" s="299"/>
      <c r="DY70" s="299"/>
      <c r="DZ70" s="403"/>
      <c r="EA70" s="299"/>
      <c r="EB70" s="299"/>
      <c r="EC70" s="299"/>
      <c r="ED70" s="299"/>
      <c r="EE70" s="403"/>
      <c r="EF70" s="299"/>
      <c r="EG70" s="299"/>
      <c r="EH70" s="299"/>
      <c r="EI70" s="299"/>
      <c r="EJ70" s="403"/>
      <c r="EK70" s="299"/>
      <c r="EL70" s="19"/>
      <c r="EO70" s="244"/>
      <c r="EP70" s="451"/>
      <c r="EQ70" s="451"/>
    </row>
    <row r="71" spans="4:147" x14ac:dyDescent="0.2">
      <c r="D71" s="244" t="s">
        <v>371</v>
      </c>
      <c r="E71" s="82"/>
      <c r="G71" s="19">
        <f>SUM(G72:G72)</f>
        <v>555556</v>
      </c>
      <c r="H71" s="19"/>
      <c r="I71" s="19"/>
      <c r="J71" s="274"/>
      <c r="K71" s="19"/>
      <c r="L71" s="19">
        <f>SUM(L72:L72)</f>
        <v>487336</v>
      </c>
      <c r="M71" s="19"/>
      <c r="N71" s="19"/>
      <c r="O71" s="274"/>
      <c r="P71" s="19"/>
      <c r="Q71" s="19">
        <f>SUM(Q72:Q72)</f>
        <v>0</v>
      </c>
      <c r="R71" s="19"/>
      <c r="S71" s="19"/>
      <c r="T71" s="274"/>
      <c r="U71" s="19"/>
      <c r="V71" s="19">
        <f>SUM(V72:V72)</f>
        <v>0</v>
      </c>
      <c r="W71" s="19"/>
      <c r="X71" s="19"/>
      <c r="Y71" s="274"/>
      <c r="Z71" s="19"/>
      <c r="AA71" s="19">
        <f>SUM(AA72:AA72)</f>
        <v>0</v>
      </c>
      <c r="AB71" s="19"/>
      <c r="AC71" s="19"/>
      <c r="AD71" s="274"/>
      <c r="AE71" s="19"/>
      <c r="AF71" s="19">
        <f>SUM(AF72:AF72)</f>
        <v>0</v>
      </c>
      <c r="AG71" s="19"/>
      <c r="AH71" s="19"/>
      <c r="AI71" s="274"/>
      <c r="AJ71" s="19"/>
      <c r="AK71" s="19">
        <f>SUM(AK72:AK72)</f>
        <v>0</v>
      </c>
      <c r="AL71" s="19"/>
      <c r="AM71" s="19"/>
      <c r="AN71" s="274"/>
      <c r="AO71" s="19"/>
      <c r="AP71" s="19">
        <f>SUM(AP72:AP72)</f>
        <v>0</v>
      </c>
      <c r="AQ71" s="19"/>
      <c r="AR71" s="19"/>
      <c r="AS71" s="274"/>
      <c r="AT71" s="19"/>
      <c r="AU71" s="19">
        <f>SUM(AU72:AU72)</f>
        <v>0</v>
      </c>
      <c r="AV71" s="19"/>
      <c r="AW71" s="19"/>
      <c r="AX71" s="274"/>
      <c r="AY71" s="19"/>
      <c r="AZ71" s="19">
        <f>SUM(AZ72:AZ72)</f>
        <v>68220</v>
      </c>
      <c r="BA71" s="19"/>
      <c r="BB71" s="19"/>
      <c r="BC71" s="274"/>
      <c r="BD71" s="19"/>
      <c r="BE71" s="19">
        <f>SUM(BE72:BE72)</f>
        <v>0</v>
      </c>
      <c r="BF71" s="19"/>
      <c r="BG71" s="19"/>
      <c r="BH71" s="274"/>
      <c r="BI71" s="19"/>
      <c r="BJ71" s="19">
        <f>SUM(BJ72:BJ72)</f>
        <v>119402</v>
      </c>
      <c r="BK71" s="19"/>
      <c r="BL71" s="19"/>
      <c r="BM71" s="274"/>
      <c r="BN71" s="19"/>
      <c r="BO71" s="19">
        <f>SUM(BO72:BO72)</f>
        <v>31938</v>
      </c>
      <c r="BP71" s="19"/>
      <c r="BQ71" s="19"/>
      <c r="BR71" s="274"/>
      <c r="BS71" s="19"/>
      <c r="BT71" s="19">
        <f>SUM(BT72:BT72)</f>
        <v>706896</v>
      </c>
      <c r="BU71" s="19"/>
      <c r="BV71" s="19"/>
      <c r="BW71" s="274"/>
      <c r="BX71" s="19"/>
      <c r="BY71" s="19">
        <f>SUM(BY72:BY72)</f>
        <v>89569</v>
      </c>
      <c r="BZ71" s="19"/>
      <c r="CA71" s="19"/>
      <c r="CB71" s="274"/>
      <c r="CC71" s="19"/>
      <c r="CD71" s="19">
        <f>SUM(CD72:CD72)</f>
        <v>0</v>
      </c>
      <c r="CE71" s="19"/>
      <c r="CF71" s="19"/>
      <c r="CG71" s="274"/>
      <c r="CH71" s="19"/>
      <c r="CI71" s="19">
        <f>SUM(CI72:CI72)</f>
        <v>0</v>
      </c>
      <c r="CJ71" s="19"/>
      <c r="CK71" s="19"/>
      <c r="CL71" s="274"/>
      <c r="CM71" s="19"/>
      <c r="CN71" s="19">
        <f>SUM(CN72:CN72)</f>
        <v>0</v>
      </c>
      <c r="CO71" s="19"/>
      <c r="CP71" s="19"/>
      <c r="CQ71" s="274"/>
      <c r="CR71" s="19"/>
      <c r="CS71" s="19">
        <f>SUM(CS72:CS72)</f>
        <v>0</v>
      </c>
      <c r="CT71" s="19"/>
      <c r="CU71" s="19"/>
      <c r="CV71" s="274"/>
      <c r="CW71" s="19"/>
      <c r="CX71" s="19">
        <f>SUM(CX72:CX72)</f>
        <v>0</v>
      </c>
      <c r="CY71" s="19"/>
      <c r="CZ71" s="19"/>
      <c r="DA71" s="274"/>
      <c r="DB71" s="19"/>
      <c r="DC71" s="19">
        <f>SUM(DC72:DC72)</f>
        <v>0</v>
      </c>
      <c r="DD71" s="19"/>
      <c r="DE71" s="19"/>
      <c r="DF71" s="274"/>
      <c r="DG71" s="19"/>
      <c r="DH71" s="19">
        <f>SUM(DH72:DH72)</f>
        <v>0</v>
      </c>
      <c r="DI71" s="19"/>
      <c r="DJ71" s="19"/>
      <c r="DK71" s="274"/>
      <c r="DL71" s="19"/>
      <c r="DM71" s="19">
        <f>SUM(DM72:DM72)</f>
        <v>0</v>
      </c>
      <c r="DN71" s="19"/>
      <c r="DO71" s="19"/>
      <c r="DP71" s="274"/>
      <c r="DQ71" s="19"/>
      <c r="DR71" s="19">
        <f>SUM(DR72:DR72)</f>
        <v>0</v>
      </c>
      <c r="DS71" s="19"/>
      <c r="DT71" s="19"/>
      <c r="DU71" s="274"/>
      <c r="DV71" s="19"/>
      <c r="DW71" s="19">
        <f>SUM(DW72:DW72)</f>
        <v>0</v>
      </c>
      <c r="DX71" s="19"/>
      <c r="DY71" s="19"/>
      <c r="DZ71" s="274"/>
      <c r="EA71" s="19"/>
      <c r="EB71" s="19">
        <f>SUM(EB72:EB72)</f>
        <v>0</v>
      </c>
      <c r="EC71" s="19"/>
      <c r="ED71" s="19"/>
      <c r="EE71" s="274"/>
      <c r="EF71" s="19"/>
      <c r="EG71" s="19">
        <f>SUM(EG72:EG72)</f>
        <v>89569</v>
      </c>
      <c r="EH71" s="19"/>
      <c r="EI71" s="19"/>
      <c r="EJ71" s="274"/>
      <c r="EK71" s="19"/>
      <c r="EL71" s="19">
        <f>SUM(EL72:EL72)</f>
        <v>89569</v>
      </c>
      <c r="EO71" s="244"/>
      <c r="EP71" s="451"/>
      <c r="EQ71" s="451"/>
    </row>
    <row r="72" spans="4:147" x14ac:dyDescent="0.2">
      <c r="D72" s="244" t="s">
        <v>344</v>
      </c>
      <c r="E72" s="82"/>
      <c r="F72" s="91"/>
      <c r="G72" s="81">
        <v>555556</v>
      </c>
      <c r="H72" s="49"/>
      <c r="I72" s="19"/>
      <c r="J72" s="274"/>
      <c r="K72" s="48"/>
      <c r="L72" s="81">
        <v>487336</v>
      </c>
      <c r="M72" s="49"/>
      <c r="N72" s="19"/>
      <c r="O72" s="274"/>
      <c r="P72" s="48"/>
      <c r="Q72" s="81">
        <v>0</v>
      </c>
      <c r="R72" s="49"/>
      <c r="S72" s="19"/>
      <c r="T72" s="274"/>
      <c r="U72" s="48"/>
      <c r="V72" s="81">
        <v>0</v>
      </c>
      <c r="W72" s="49"/>
      <c r="X72" s="19"/>
      <c r="Y72" s="274"/>
      <c r="Z72" s="48"/>
      <c r="AA72" s="81">
        <v>0</v>
      </c>
      <c r="AB72" s="49"/>
      <c r="AC72" s="19"/>
      <c r="AD72" s="274"/>
      <c r="AE72" s="48"/>
      <c r="AF72" s="81">
        <v>0</v>
      </c>
      <c r="AG72" s="49"/>
      <c r="AH72" s="19"/>
      <c r="AI72" s="274"/>
      <c r="AJ72" s="48"/>
      <c r="AK72" s="81">
        <v>0</v>
      </c>
      <c r="AL72" s="49"/>
      <c r="AM72" s="19"/>
      <c r="AN72" s="274"/>
      <c r="AO72" s="48"/>
      <c r="AP72" s="81">
        <v>0</v>
      </c>
      <c r="AQ72" s="49"/>
      <c r="AR72" s="19"/>
      <c r="AS72" s="274"/>
      <c r="AT72" s="48"/>
      <c r="AU72" s="81">
        <v>0</v>
      </c>
      <c r="AV72" s="49"/>
      <c r="AW72" s="19"/>
      <c r="AX72" s="274"/>
      <c r="AY72" s="48"/>
      <c r="AZ72" s="81">
        <v>68220</v>
      </c>
      <c r="BA72" s="49"/>
      <c r="BB72" s="19"/>
      <c r="BC72" s="274"/>
      <c r="BD72" s="48"/>
      <c r="BE72" s="81">
        <v>0</v>
      </c>
      <c r="BF72" s="49"/>
      <c r="BG72" s="19"/>
      <c r="BH72" s="274"/>
      <c r="BI72" s="48"/>
      <c r="BJ72" s="81">
        <v>119402</v>
      </c>
      <c r="BK72" s="49"/>
      <c r="BL72" s="19"/>
      <c r="BM72" s="274"/>
      <c r="BN72" s="48"/>
      <c r="BO72" s="81">
        <v>31938</v>
      </c>
      <c r="BP72" s="49"/>
      <c r="BQ72" s="19"/>
      <c r="BR72" s="274"/>
      <c r="BS72" s="48"/>
      <c r="BT72" s="81">
        <f>SUM(L72:BO72)</f>
        <v>706896</v>
      </c>
      <c r="BU72" s="49"/>
      <c r="BV72" s="19"/>
      <c r="BW72" s="274"/>
      <c r="BX72" s="48"/>
      <c r="BY72" s="81">
        <v>89569</v>
      </c>
      <c r="BZ72" s="49"/>
      <c r="CA72" s="19"/>
      <c r="CB72" s="274"/>
      <c r="CC72" s="48"/>
      <c r="CD72" s="81">
        <v>0</v>
      </c>
      <c r="CE72" s="49"/>
      <c r="CF72" s="19"/>
      <c r="CG72" s="274"/>
      <c r="CH72" s="48"/>
      <c r="CI72" s="81">
        <v>0</v>
      </c>
      <c r="CJ72" s="49"/>
      <c r="CK72" s="19"/>
      <c r="CL72" s="274"/>
      <c r="CM72" s="48"/>
      <c r="CN72" s="81">
        <v>0</v>
      </c>
      <c r="CO72" s="49"/>
      <c r="CP72" s="19"/>
      <c r="CQ72" s="274"/>
      <c r="CR72" s="48"/>
      <c r="CS72" s="81">
        <v>0</v>
      </c>
      <c r="CT72" s="49"/>
      <c r="CU72" s="19"/>
      <c r="CV72" s="274"/>
      <c r="CW72" s="48"/>
      <c r="CX72" s="81">
        <v>0</v>
      </c>
      <c r="CY72" s="49"/>
      <c r="CZ72" s="19"/>
      <c r="DA72" s="274"/>
      <c r="DB72" s="48"/>
      <c r="DC72" s="81">
        <v>0</v>
      </c>
      <c r="DD72" s="49"/>
      <c r="DE72" s="19"/>
      <c r="DF72" s="274"/>
      <c r="DG72" s="48"/>
      <c r="DH72" s="81">
        <v>0</v>
      </c>
      <c r="DI72" s="49"/>
      <c r="DJ72" s="19"/>
      <c r="DK72" s="274"/>
      <c r="DL72" s="48"/>
      <c r="DM72" s="81">
        <v>0</v>
      </c>
      <c r="DN72" s="49"/>
      <c r="DO72" s="19"/>
      <c r="DP72" s="274"/>
      <c r="DQ72" s="48"/>
      <c r="DR72" s="81">
        <v>0</v>
      </c>
      <c r="DS72" s="49"/>
      <c r="DT72" s="19"/>
      <c r="DU72" s="274"/>
      <c r="DV72" s="48"/>
      <c r="DW72" s="81">
        <v>0</v>
      </c>
      <c r="DX72" s="49"/>
      <c r="DY72" s="19"/>
      <c r="DZ72" s="274"/>
      <c r="EA72" s="48"/>
      <c r="EB72" s="81">
        <v>0</v>
      </c>
      <c r="EC72" s="49"/>
      <c r="ED72" s="19"/>
      <c r="EE72" s="274"/>
      <c r="EF72" s="48"/>
      <c r="EG72" s="81">
        <v>89569</v>
      </c>
      <c r="EH72" s="49"/>
      <c r="EI72" s="19"/>
      <c r="EJ72" s="274"/>
      <c r="EK72" s="48"/>
      <c r="EL72" s="81">
        <f>SUM(CD72:EG72)</f>
        <v>89569</v>
      </c>
      <c r="EM72" s="100"/>
      <c r="EO72" s="244"/>
      <c r="EP72" s="451"/>
      <c r="EQ72" s="451"/>
    </row>
    <row r="73" spans="4:147" x14ac:dyDescent="0.2">
      <c r="D73" s="244"/>
      <c r="E73" s="82"/>
      <c r="G73" s="299"/>
      <c r="H73" s="299"/>
      <c r="I73" s="299"/>
      <c r="J73" s="403"/>
      <c r="K73" s="299"/>
      <c r="L73" s="299"/>
      <c r="M73" s="299"/>
      <c r="N73" s="299"/>
      <c r="O73" s="403"/>
      <c r="P73" s="299"/>
      <c r="Q73" s="299"/>
      <c r="R73" s="299"/>
      <c r="S73" s="299"/>
      <c r="T73" s="403"/>
      <c r="U73" s="299"/>
      <c r="V73" s="299"/>
      <c r="W73" s="299"/>
      <c r="X73" s="299"/>
      <c r="Y73" s="403"/>
      <c r="Z73" s="299"/>
      <c r="AA73" s="299"/>
      <c r="AB73" s="299"/>
      <c r="AC73" s="299"/>
      <c r="AD73" s="403"/>
      <c r="AE73" s="299"/>
      <c r="AF73" s="299"/>
      <c r="AG73" s="299"/>
      <c r="AH73" s="299"/>
      <c r="AI73" s="403"/>
      <c r="AJ73" s="299"/>
      <c r="AK73" s="299"/>
      <c r="AL73" s="299"/>
      <c r="AM73" s="299"/>
      <c r="AN73" s="403"/>
      <c r="AO73" s="299"/>
      <c r="AP73" s="299"/>
      <c r="AQ73" s="299"/>
      <c r="AR73" s="299"/>
      <c r="AS73" s="403"/>
      <c r="AT73" s="299"/>
      <c r="AU73" s="299"/>
      <c r="AV73" s="299"/>
      <c r="AW73" s="299"/>
      <c r="AX73" s="403"/>
      <c r="AY73" s="299"/>
      <c r="AZ73" s="299"/>
      <c r="BA73" s="299"/>
      <c r="BB73" s="299"/>
      <c r="BC73" s="403"/>
      <c r="BD73" s="299"/>
      <c r="BE73" s="299"/>
      <c r="BF73" s="299"/>
      <c r="BG73" s="299"/>
      <c r="BH73" s="403"/>
      <c r="BI73" s="299"/>
      <c r="BJ73" s="299"/>
      <c r="BK73" s="299"/>
      <c r="BL73" s="299"/>
      <c r="BM73" s="403"/>
      <c r="BN73" s="299"/>
      <c r="BO73" s="299"/>
      <c r="BP73" s="299"/>
      <c r="BQ73" s="299"/>
      <c r="BR73" s="403"/>
      <c r="BS73" s="299"/>
      <c r="BT73" s="19"/>
      <c r="BU73" s="19"/>
      <c r="BV73" s="19"/>
      <c r="BW73" s="274"/>
      <c r="BX73" s="19"/>
      <c r="BY73" s="19"/>
      <c r="BZ73" s="299"/>
      <c r="CA73" s="299"/>
      <c r="CB73" s="403"/>
      <c r="CC73" s="299"/>
      <c r="CD73" s="299"/>
      <c r="CE73" s="299"/>
      <c r="CF73" s="299"/>
      <c r="CG73" s="403"/>
      <c r="CH73" s="299"/>
      <c r="CI73" s="299"/>
      <c r="CJ73" s="299"/>
      <c r="CK73" s="299"/>
      <c r="CL73" s="403"/>
      <c r="CM73" s="299"/>
      <c r="CN73" s="299"/>
      <c r="CO73" s="299"/>
      <c r="CP73" s="299"/>
      <c r="CQ73" s="403"/>
      <c r="CR73" s="299"/>
      <c r="CS73" s="299"/>
      <c r="CT73" s="299"/>
      <c r="CU73" s="299"/>
      <c r="CV73" s="403"/>
      <c r="CW73" s="299"/>
      <c r="CX73" s="299"/>
      <c r="CY73" s="299"/>
      <c r="CZ73" s="299"/>
      <c r="DA73" s="403"/>
      <c r="DB73" s="299"/>
      <c r="DC73" s="299"/>
      <c r="DD73" s="299"/>
      <c r="DE73" s="299"/>
      <c r="DF73" s="403"/>
      <c r="DG73" s="299"/>
      <c r="DH73" s="299"/>
      <c r="DI73" s="299"/>
      <c r="DJ73" s="299"/>
      <c r="DK73" s="403"/>
      <c r="DL73" s="299"/>
      <c r="DM73" s="299"/>
      <c r="DN73" s="299"/>
      <c r="DO73" s="299"/>
      <c r="DP73" s="403"/>
      <c r="DQ73" s="299"/>
      <c r="DR73" s="299"/>
      <c r="DS73" s="299"/>
      <c r="DT73" s="299"/>
      <c r="DU73" s="403"/>
      <c r="DV73" s="299"/>
      <c r="DW73" s="299"/>
      <c r="DX73" s="299"/>
      <c r="DY73" s="299"/>
      <c r="DZ73" s="403"/>
      <c r="EA73" s="299"/>
      <c r="EB73" s="299"/>
      <c r="EC73" s="299"/>
      <c r="ED73" s="299"/>
      <c r="EE73" s="403"/>
      <c r="EF73" s="299"/>
      <c r="EG73" s="299"/>
      <c r="EH73" s="299"/>
      <c r="EI73" s="299"/>
      <c r="EJ73" s="403"/>
      <c r="EK73" s="299"/>
      <c r="EL73" s="19"/>
      <c r="EO73" s="244"/>
      <c r="EP73" s="451"/>
      <c r="EQ73" s="451"/>
    </row>
    <row r="74" spans="4:147" x14ac:dyDescent="0.2">
      <c r="D74" s="244" t="str">
        <f>[51]domlongtermissues!D292</f>
        <v xml:space="preserve">  R2044 (8.75%  2044-45-46/01/31)</v>
      </c>
      <c r="E74" s="82"/>
      <c r="G74" s="19">
        <f>SUM(G75:G75)</f>
        <v>77049</v>
      </c>
      <c r="H74" s="19"/>
      <c r="I74" s="19"/>
      <c r="J74" s="274"/>
      <c r="K74" s="19"/>
      <c r="L74" s="19">
        <f>SUM(L75:L75)</f>
        <v>0</v>
      </c>
      <c r="M74" s="19"/>
      <c r="N74" s="19"/>
      <c r="O74" s="274"/>
      <c r="P74" s="19"/>
      <c r="Q74" s="19">
        <f>SUM(Q75:Q75)</f>
        <v>0</v>
      </c>
      <c r="R74" s="19"/>
      <c r="S74" s="19"/>
      <c r="T74" s="274"/>
      <c r="U74" s="19"/>
      <c r="V74" s="19">
        <f>SUM(V75:V75)</f>
        <v>0</v>
      </c>
      <c r="W74" s="19"/>
      <c r="X74" s="19"/>
      <c r="Y74" s="274"/>
      <c r="Z74" s="19"/>
      <c r="AA74" s="19">
        <f>SUM(AA75:AA75)</f>
        <v>0</v>
      </c>
      <c r="AB74" s="19"/>
      <c r="AC74" s="19"/>
      <c r="AD74" s="274"/>
      <c r="AE74" s="19"/>
      <c r="AF74" s="19">
        <f>SUM(AF75:AF75)</f>
        <v>0</v>
      </c>
      <c r="AG74" s="19"/>
      <c r="AH74" s="19"/>
      <c r="AI74" s="274"/>
      <c r="AJ74" s="19"/>
      <c r="AK74" s="19">
        <f>SUM(AK75:AK75)</f>
        <v>0</v>
      </c>
      <c r="AL74" s="19"/>
      <c r="AM74" s="19"/>
      <c r="AN74" s="274"/>
      <c r="AO74" s="19"/>
      <c r="AP74" s="19">
        <f>SUM(AP75:AP75)</f>
        <v>0</v>
      </c>
      <c r="AQ74" s="19"/>
      <c r="AR74" s="19"/>
      <c r="AS74" s="274"/>
      <c r="AT74" s="19"/>
      <c r="AU74" s="19">
        <f>SUM(AU75:AU75)</f>
        <v>0</v>
      </c>
      <c r="AV74" s="19"/>
      <c r="AW74" s="19"/>
      <c r="AX74" s="274"/>
      <c r="AY74" s="19"/>
      <c r="AZ74" s="19">
        <f>SUM(AZ75:AZ75)</f>
        <v>77049</v>
      </c>
      <c r="BA74" s="19"/>
      <c r="BB74" s="19"/>
      <c r="BC74" s="274"/>
      <c r="BD74" s="19"/>
      <c r="BE74" s="19">
        <f>SUM(BE75:BE75)</f>
        <v>0</v>
      </c>
      <c r="BF74" s="19"/>
      <c r="BG74" s="19"/>
      <c r="BH74" s="274"/>
      <c r="BI74" s="19"/>
      <c r="BJ74" s="19">
        <f>SUM(BJ75:BJ75)</f>
        <v>0</v>
      </c>
      <c r="BK74" s="19"/>
      <c r="BL74" s="19"/>
      <c r="BM74" s="274"/>
      <c r="BN74" s="19"/>
      <c r="BO74" s="19">
        <f>SUM(BO75:BO75)</f>
        <v>0</v>
      </c>
      <c r="BP74" s="19"/>
      <c r="BQ74" s="19"/>
      <c r="BR74" s="274"/>
      <c r="BS74" s="19"/>
      <c r="BT74" s="19">
        <f>SUM(BT75:BT75)</f>
        <v>77049</v>
      </c>
      <c r="BU74" s="19"/>
      <c r="BV74" s="19"/>
      <c r="BW74" s="274"/>
      <c r="BX74" s="19"/>
      <c r="BY74" s="19">
        <f>SUM(BY75:BY75)</f>
        <v>0</v>
      </c>
      <c r="BZ74" s="19"/>
      <c r="CA74" s="19"/>
      <c r="CB74" s="274"/>
      <c r="CC74" s="19"/>
      <c r="CD74" s="19">
        <f>SUM(CD75:CD75)</f>
        <v>0</v>
      </c>
      <c r="CE74" s="19"/>
      <c r="CF74" s="19"/>
      <c r="CG74" s="274"/>
      <c r="CH74" s="19"/>
      <c r="CI74" s="19">
        <f>SUM(CI75:CI75)</f>
        <v>0</v>
      </c>
      <c r="CJ74" s="19"/>
      <c r="CK74" s="19"/>
      <c r="CL74" s="274"/>
      <c r="CM74" s="19"/>
      <c r="CN74" s="19">
        <f>SUM(CN75:CN75)</f>
        <v>0</v>
      </c>
      <c r="CO74" s="19"/>
      <c r="CP74" s="19"/>
      <c r="CQ74" s="274"/>
      <c r="CR74" s="19"/>
      <c r="CS74" s="19">
        <f>SUM(CS75:CS75)</f>
        <v>0</v>
      </c>
      <c r="CT74" s="19"/>
      <c r="CU74" s="19"/>
      <c r="CV74" s="274"/>
      <c r="CW74" s="19"/>
      <c r="CX74" s="19">
        <f>SUM(CX75:CX75)</f>
        <v>0</v>
      </c>
      <c r="CY74" s="19"/>
      <c r="CZ74" s="19"/>
      <c r="DA74" s="274"/>
      <c r="DB74" s="19"/>
      <c r="DC74" s="19">
        <f>SUM(DC75:DC75)</f>
        <v>0</v>
      </c>
      <c r="DD74" s="19"/>
      <c r="DE74" s="19"/>
      <c r="DF74" s="274"/>
      <c r="DG74" s="19"/>
      <c r="DH74" s="19">
        <f>SUM(DH75:DH75)</f>
        <v>0</v>
      </c>
      <c r="DI74" s="19"/>
      <c r="DJ74" s="19"/>
      <c r="DK74" s="274"/>
      <c r="DL74" s="19"/>
      <c r="DM74" s="19">
        <f>SUM(DM75:DM75)</f>
        <v>0</v>
      </c>
      <c r="DN74" s="19"/>
      <c r="DO74" s="19"/>
      <c r="DP74" s="274"/>
      <c r="DQ74" s="19"/>
      <c r="DR74" s="19">
        <f>SUM(DR75:DR75)</f>
        <v>0</v>
      </c>
      <c r="DS74" s="19"/>
      <c r="DT74" s="19"/>
      <c r="DU74" s="274"/>
      <c r="DV74" s="19"/>
      <c r="DW74" s="19">
        <f>SUM(DW75:DW75)</f>
        <v>0</v>
      </c>
      <c r="DX74" s="19"/>
      <c r="DY74" s="19"/>
      <c r="DZ74" s="274"/>
      <c r="EA74" s="19"/>
      <c r="EB74" s="19">
        <f>SUM(EB75:EB75)</f>
        <v>0</v>
      </c>
      <c r="EC74" s="19"/>
      <c r="ED74" s="19"/>
      <c r="EE74" s="274"/>
      <c r="EF74" s="19"/>
      <c r="EG74" s="19">
        <f>SUM(EG75:EG75)</f>
        <v>0</v>
      </c>
      <c r="EH74" s="19"/>
      <c r="EI74" s="19"/>
      <c r="EJ74" s="274"/>
      <c r="EK74" s="19"/>
      <c r="EL74" s="19">
        <f>SUM(EL75:EL75)</f>
        <v>0</v>
      </c>
      <c r="EO74" s="244"/>
      <c r="EP74" s="451"/>
      <c r="EQ74" s="451"/>
    </row>
    <row r="75" spans="4:147" x14ac:dyDescent="0.2">
      <c r="D75" s="244" t="s">
        <v>344</v>
      </c>
      <c r="E75" s="82"/>
      <c r="F75" s="91"/>
      <c r="G75" s="81">
        <v>77049</v>
      </c>
      <c r="H75" s="49"/>
      <c r="I75" s="19"/>
      <c r="J75" s="274"/>
      <c r="K75" s="48"/>
      <c r="L75" s="81">
        <v>0</v>
      </c>
      <c r="M75" s="49"/>
      <c r="N75" s="19"/>
      <c r="O75" s="274"/>
      <c r="P75" s="48"/>
      <c r="Q75" s="81">
        <v>0</v>
      </c>
      <c r="R75" s="49"/>
      <c r="S75" s="19"/>
      <c r="T75" s="274"/>
      <c r="U75" s="48"/>
      <c r="V75" s="81">
        <v>0</v>
      </c>
      <c r="W75" s="49"/>
      <c r="X75" s="19"/>
      <c r="Y75" s="274"/>
      <c r="Z75" s="48"/>
      <c r="AA75" s="81">
        <v>0</v>
      </c>
      <c r="AB75" s="49"/>
      <c r="AC75" s="19"/>
      <c r="AD75" s="274"/>
      <c r="AE75" s="48"/>
      <c r="AF75" s="81">
        <v>0</v>
      </c>
      <c r="AG75" s="49"/>
      <c r="AH75" s="19"/>
      <c r="AI75" s="274"/>
      <c r="AJ75" s="48"/>
      <c r="AK75" s="81">
        <v>0</v>
      </c>
      <c r="AL75" s="49"/>
      <c r="AM75" s="19"/>
      <c r="AN75" s="274"/>
      <c r="AO75" s="48"/>
      <c r="AP75" s="81">
        <v>0</v>
      </c>
      <c r="AQ75" s="49"/>
      <c r="AR75" s="19"/>
      <c r="AS75" s="274"/>
      <c r="AT75" s="48"/>
      <c r="AU75" s="81">
        <v>0</v>
      </c>
      <c r="AV75" s="49"/>
      <c r="AW75" s="19"/>
      <c r="AX75" s="274"/>
      <c r="AY75" s="48"/>
      <c r="AZ75" s="81">
        <v>77049</v>
      </c>
      <c r="BA75" s="49"/>
      <c r="BB75" s="19"/>
      <c r="BC75" s="274"/>
      <c r="BD75" s="48"/>
      <c r="BE75" s="81">
        <v>0</v>
      </c>
      <c r="BF75" s="49"/>
      <c r="BG75" s="19"/>
      <c r="BH75" s="274"/>
      <c r="BI75" s="48"/>
      <c r="BJ75" s="81">
        <v>0</v>
      </c>
      <c r="BK75" s="49"/>
      <c r="BL75" s="19"/>
      <c r="BM75" s="274"/>
      <c r="BN75" s="48"/>
      <c r="BO75" s="81">
        <v>0</v>
      </c>
      <c r="BP75" s="49"/>
      <c r="BQ75" s="19"/>
      <c r="BR75" s="274"/>
      <c r="BS75" s="48"/>
      <c r="BT75" s="81">
        <f>SUM(L75:BO75)</f>
        <v>77049</v>
      </c>
      <c r="BU75" s="49"/>
      <c r="BV75" s="19"/>
      <c r="BW75" s="274"/>
      <c r="BX75" s="48"/>
      <c r="BY75" s="81">
        <v>0</v>
      </c>
      <c r="BZ75" s="49"/>
      <c r="CA75" s="19"/>
      <c r="CB75" s="274"/>
      <c r="CC75" s="48"/>
      <c r="CD75" s="81">
        <v>0</v>
      </c>
      <c r="CE75" s="49"/>
      <c r="CF75" s="19"/>
      <c r="CG75" s="274"/>
      <c r="CH75" s="48"/>
      <c r="CI75" s="81">
        <v>0</v>
      </c>
      <c r="CJ75" s="49"/>
      <c r="CK75" s="19"/>
      <c r="CL75" s="274"/>
      <c r="CM75" s="48"/>
      <c r="CN75" s="81">
        <v>0</v>
      </c>
      <c r="CO75" s="49"/>
      <c r="CP75" s="19"/>
      <c r="CQ75" s="274"/>
      <c r="CR75" s="48"/>
      <c r="CS75" s="81">
        <v>0</v>
      </c>
      <c r="CT75" s="49"/>
      <c r="CU75" s="19"/>
      <c r="CV75" s="274"/>
      <c r="CW75" s="48"/>
      <c r="CX75" s="81">
        <v>0</v>
      </c>
      <c r="CY75" s="49"/>
      <c r="CZ75" s="19"/>
      <c r="DA75" s="274"/>
      <c r="DB75" s="48"/>
      <c r="DC75" s="81">
        <v>0</v>
      </c>
      <c r="DD75" s="49"/>
      <c r="DE75" s="19"/>
      <c r="DF75" s="274"/>
      <c r="DG75" s="48"/>
      <c r="DH75" s="81">
        <v>0</v>
      </c>
      <c r="DI75" s="49"/>
      <c r="DJ75" s="19"/>
      <c r="DK75" s="274"/>
      <c r="DL75" s="48"/>
      <c r="DM75" s="81">
        <v>0</v>
      </c>
      <c r="DN75" s="49"/>
      <c r="DO75" s="19"/>
      <c r="DP75" s="274"/>
      <c r="DQ75" s="48"/>
      <c r="DR75" s="81">
        <v>0</v>
      </c>
      <c r="DS75" s="49"/>
      <c r="DT75" s="19"/>
      <c r="DU75" s="274"/>
      <c r="DV75" s="48"/>
      <c r="DW75" s="81">
        <v>0</v>
      </c>
      <c r="DX75" s="49"/>
      <c r="DY75" s="19"/>
      <c r="DZ75" s="274"/>
      <c r="EA75" s="48"/>
      <c r="EB75" s="81">
        <v>0</v>
      </c>
      <c r="EC75" s="49"/>
      <c r="ED75" s="19"/>
      <c r="EE75" s="274"/>
      <c r="EF75" s="48"/>
      <c r="EG75" s="81">
        <v>0</v>
      </c>
      <c r="EH75" s="49"/>
      <c r="EI75" s="19"/>
      <c r="EJ75" s="274"/>
      <c r="EK75" s="48"/>
      <c r="EL75" s="81">
        <f>SUM(CD75:EG75)</f>
        <v>0</v>
      </c>
      <c r="EM75" s="100"/>
      <c r="EO75" s="244"/>
      <c r="EP75" s="451"/>
      <c r="EQ75" s="451"/>
    </row>
    <row r="76" spans="4:147" x14ac:dyDescent="0.2">
      <c r="D76" s="244"/>
      <c r="E76" s="82"/>
      <c r="G76" s="299"/>
      <c r="H76" s="299"/>
      <c r="I76" s="299"/>
      <c r="J76" s="403"/>
      <c r="K76" s="299"/>
      <c r="L76" s="299"/>
      <c r="M76" s="299"/>
      <c r="N76" s="299"/>
      <c r="O76" s="403"/>
      <c r="P76" s="299"/>
      <c r="Q76" s="299"/>
      <c r="R76" s="299"/>
      <c r="S76" s="299"/>
      <c r="T76" s="403"/>
      <c r="U76" s="299"/>
      <c r="V76" s="299"/>
      <c r="W76" s="299"/>
      <c r="X76" s="299"/>
      <c r="Y76" s="403"/>
      <c r="Z76" s="299"/>
      <c r="AA76" s="299"/>
      <c r="AB76" s="299"/>
      <c r="AC76" s="299"/>
      <c r="AD76" s="403"/>
      <c r="AE76" s="299"/>
      <c r="AF76" s="299"/>
      <c r="AG76" s="299"/>
      <c r="AH76" s="299"/>
      <c r="AI76" s="403"/>
      <c r="AJ76" s="299"/>
      <c r="AK76" s="299"/>
      <c r="AL76" s="299"/>
      <c r="AM76" s="299"/>
      <c r="AN76" s="403"/>
      <c r="AO76" s="299"/>
      <c r="AP76" s="299"/>
      <c r="AQ76" s="299"/>
      <c r="AR76" s="299"/>
      <c r="AS76" s="403"/>
      <c r="AT76" s="299"/>
      <c r="AU76" s="299"/>
      <c r="AV76" s="299"/>
      <c r="AW76" s="299"/>
      <c r="AX76" s="403"/>
      <c r="AY76" s="299"/>
      <c r="AZ76" s="299"/>
      <c r="BA76" s="299"/>
      <c r="BB76" s="299"/>
      <c r="BC76" s="403"/>
      <c r="BD76" s="299"/>
      <c r="BE76" s="299"/>
      <c r="BF76" s="299"/>
      <c r="BG76" s="299"/>
      <c r="BH76" s="403"/>
      <c r="BI76" s="299"/>
      <c r="BJ76" s="299"/>
      <c r="BK76" s="299"/>
      <c r="BL76" s="299"/>
      <c r="BM76" s="403"/>
      <c r="BN76" s="299"/>
      <c r="BO76" s="299"/>
      <c r="BP76" s="299"/>
      <c r="BQ76" s="299"/>
      <c r="BR76" s="403"/>
      <c r="BS76" s="299"/>
      <c r="BT76" s="19"/>
      <c r="BU76" s="19"/>
      <c r="BV76" s="19"/>
      <c r="BW76" s="274"/>
      <c r="BX76" s="19"/>
      <c r="BY76" s="19"/>
      <c r="BZ76" s="299"/>
      <c r="CA76" s="299"/>
      <c r="CB76" s="403"/>
      <c r="CC76" s="299"/>
      <c r="CD76" s="299"/>
      <c r="CE76" s="299"/>
      <c r="CF76" s="299"/>
      <c r="CG76" s="403"/>
      <c r="CH76" s="299"/>
      <c r="CI76" s="299"/>
      <c r="CJ76" s="299"/>
      <c r="CK76" s="299"/>
      <c r="CL76" s="403"/>
      <c r="CM76" s="299"/>
      <c r="CN76" s="299"/>
      <c r="CO76" s="299"/>
      <c r="CP76" s="299"/>
      <c r="CQ76" s="403"/>
      <c r="CR76" s="299"/>
      <c r="CS76" s="299"/>
      <c r="CT76" s="299"/>
      <c r="CU76" s="299"/>
      <c r="CV76" s="403"/>
      <c r="CW76" s="299"/>
      <c r="CX76" s="299"/>
      <c r="CY76" s="299"/>
      <c r="CZ76" s="299"/>
      <c r="DA76" s="403"/>
      <c r="DB76" s="299"/>
      <c r="DC76" s="299"/>
      <c r="DD76" s="299"/>
      <c r="DE76" s="299"/>
      <c r="DF76" s="403"/>
      <c r="DG76" s="299"/>
      <c r="DH76" s="299"/>
      <c r="DI76" s="299"/>
      <c r="DJ76" s="299"/>
      <c r="DK76" s="403"/>
      <c r="DL76" s="299"/>
      <c r="DM76" s="299"/>
      <c r="DN76" s="299"/>
      <c r="DO76" s="299"/>
      <c r="DP76" s="403"/>
      <c r="DQ76" s="299"/>
      <c r="DR76" s="299"/>
      <c r="DS76" s="299"/>
      <c r="DT76" s="299"/>
      <c r="DU76" s="403"/>
      <c r="DV76" s="299"/>
      <c r="DW76" s="299"/>
      <c r="DX76" s="299"/>
      <c r="DY76" s="299"/>
      <c r="DZ76" s="403"/>
      <c r="EA76" s="299"/>
      <c r="EB76" s="299"/>
      <c r="EC76" s="299"/>
      <c r="ED76" s="299"/>
      <c r="EE76" s="403"/>
      <c r="EF76" s="299"/>
      <c r="EG76" s="299"/>
      <c r="EH76" s="299"/>
      <c r="EI76" s="299"/>
      <c r="EJ76" s="403"/>
      <c r="EK76" s="299"/>
      <c r="EL76" s="19"/>
      <c r="EO76" s="244"/>
      <c r="EP76" s="451"/>
      <c r="EQ76" s="451"/>
    </row>
    <row r="77" spans="4:147" x14ac:dyDescent="0.2">
      <c r="D77" s="244" t="s">
        <v>355</v>
      </c>
      <c r="E77" s="82"/>
      <c r="G77" s="19">
        <f>SUM(G78:G78)</f>
        <v>117363</v>
      </c>
      <c r="H77" s="19"/>
      <c r="I77" s="19"/>
      <c r="J77" s="274"/>
      <c r="K77" s="19"/>
      <c r="L77" s="19">
        <f>SUM(L78:L78)</f>
        <v>0</v>
      </c>
      <c r="M77" s="19"/>
      <c r="N77" s="19"/>
      <c r="O77" s="274"/>
      <c r="P77" s="19"/>
      <c r="Q77" s="19">
        <f>SUM(Q78:Q78)</f>
        <v>29682</v>
      </c>
      <c r="R77" s="19"/>
      <c r="S77" s="19"/>
      <c r="T77" s="274"/>
      <c r="U77" s="19"/>
      <c r="V77" s="19">
        <f>SUM(V78:V78)</f>
        <v>28489</v>
      </c>
      <c r="W77" s="19"/>
      <c r="X77" s="19"/>
      <c r="Y77" s="274"/>
      <c r="Z77" s="19"/>
      <c r="AA77" s="19">
        <f>SUM(AA78:AA78)</f>
        <v>0</v>
      </c>
      <c r="AB77" s="19"/>
      <c r="AC77" s="19"/>
      <c r="AD77" s="274"/>
      <c r="AE77" s="19"/>
      <c r="AF77" s="19">
        <f>SUM(AF78:AF78)</f>
        <v>0</v>
      </c>
      <c r="AG77" s="19"/>
      <c r="AH77" s="19"/>
      <c r="AI77" s="274"/>
      <c r="AJ77" s="19"/>
      <c r="AK77" s="19">
        <f>SUM(AK78:AK78)</f>
        <v>0</v>
      </c>
      <c r="AL77" s="19"/>
      <c r="AM77" s="19"/>
      <c r="AN77" s="274"/>
      <c r="AO77" s="19"/>
      <c r="AP77" s="19">
        <f>SUM(AP78:AP78)</f>
        <v>0</v>
      </c>
      <c r="AQ77" s="19"/>
      <c r="AR77" s="19"/>
      <c r="AS77" s="274"/>
      <c r="AT77" s="19"/>
      <c r="AU77" s="19">
        <f>SUM(AU78:AU78)</f>
        <v>0</v>
      </c>
      <c r="AV77" s="19"/>
      <c r="AW77" s="19"/>
      <c r="AX77" s="274"/>
      <c r="AY77" s="19"/>
      <c r="AZ77" s="19">
        <f>SUM(AZ78:AZ78)</f>
        <v>59192</v>
      </c>
      <c r="BA77" s="19"/>
      <c r="BB77" s="19"/>
      <c r="BC77" s="274"/>
      <c r="BD77" s="19"/>
      <c r="BE77" s="19">
        <f>SUM(BE78:BE78)</f>
        <v>0</v>
      </c>
      <c r="BF77" s="19"/>
      <c r="BG77" s="19"/>
      <c r="BH77" s="274"/>
      <c r="BI77" s="19"/>
      <c r="BJ77" s="19">
        <f>SUM(BJ78:BJ78)</f>
        <v>783477</v>
      </c>
      <c r="BK77" s="19"/>
      <c r="BL77" s="19"/>
      <c r="BM77" s="274"/>
      <c r="BN77" s="19"/>
      <c r="BO77" s="19">
        <f>SUM(BO78:BO78)</f>
        <v>1374648</v>
      </c>
      <c r="BP77" s="19"/>
      <c r="BQ77" s="19"/>
      <c r="BR77" s="274"/>
      <c r="BS77" s="19"/>
      <c r="BT77" s="19">
        <f>SUM(BT78:BT78)</f>
        <v>2275488</v>
      </c>
      <c r="BU77" s="19"/>
      <c r="BV77" s="19"/>
      <c r="BW77" s="274"/>
      <c r="BX77" s="19"/>
      <c r="BY77" s="19">
        <f>SUM(BY78:BY78)</f>
        <v>3225244</v>
      </c>
      <c r="BZ77" s="19"/>
      <c r="CA77" s="19"/>
      <c r="CB77" s="274"/>
      <c r="CC77" s="19"/>
      <c r="CD77" s="19">
        <f>SUM(CD78:CD78)</f>
        <v>3109689</v>
      </c>
      <c r="CE77" s="19"/>
      <c r="CF77" s="19"/>
      <c r="CG77" s="274"/>
      <c r="CH77" s="19"/>
      <c r="CI77" s="19">
        <f>SUM(CI78:CI78)</f>
        <v>0</v>
      </c>
      <c r="CJ77" s="19"/>
      <c r="CK77" s="19"/>
      <c r="CL77" s="274"/>
      <c r="CM77" s="19"/>
      <c r="CN77" s="19">
        <f>SUM(CN78:CN78)</f>
        <v>0</v>
      </c>
      <c r="CO77" s="19"/>
      <c r="CP77" s="19"/>
      <c r="CQ77" s="274"/>
      <c r="CR77" s="19"/>
      <c r="CS77" s="19">
        <f>SUM(CS78:CS78)</f>
        <v>0</v>
      </c>
      <c r="CT77" s="19"/>
      <c r="CU77" s="19"/>
      <c r="CV77" s="274"/>
      <c r="CW77" s="19"/>
      <c r="CX77" s="19">
        <f>SUM(CX78:CX78)</f>
        <v>0</v>
      </c>
      <c r="CY77" s="19"/>
      <c r="CZ77" s="19"/>
      <c r="DA77" s="274"/>
      <c r="DB77" s="19"/>
      <c r="DC77" s="19">
        <f>SUM(DC78:DC78)</f>
        <v>115555</v>
      </c>
      <c r="DD77" s="19"/>
      <c r="DE77" s="19"/>
      <c r="DF77" s="274"/>
      <c r="DG77" s="19"/>
      <c r="DH77" s="19">
        <f>SUM(DH78:DH78)</f>
        <v>0</v>
      </c>
      <c r="DI77" s="19"/>
      <c r="DJ77" s="19"/>
      <c r="DK77" s="274"/>
      <c r="DL77" s="19"/>
      <c r="DM77" s="19">
        <f>SUM(DM78:DM78)</f>
        <v>0</v>
      </c>
      <c r="DN77" s="19"/>
      <c r="DO77" s="19"/>
      <c r="DP77" s="274"/>
      <c r="DQ77" s="19"/>
      <c r="DR77" s="19">
        <f>SUM(DR78:DR78)</f>
        <v>0</v>
      </c>
      <c r="DS77" s="19"/>
      <c r="DT77" s="19"/>
      <c r="DU77" s="274"/>
      <c r="DV77" s="19"/>
      <c r="DW77" s="19">
        <f>SUM(DW78:DW78)</f>
        <v>0</v>
      </c>
      <c r="DX77" s="19"/>
      <c r="DY77" s="19"/>
      <c r="DZ77" s="274"/>
      <c r="EA77" s="19"/>
      <c r="EB77" s="19">
        <f>SUM(EB78:EB78)</f>
        <v>0</v>
      </c>
      <c r="EC77" s="19"/>
      <c r="ED77" s="19"/>
      <c r="EE77" s="274"/>
      <c r="EF77" s="19"/>
      <c r="EG77" s="19">
        <f>SUM(EG78:EG78)</f>
        <v>0</v>
      </c>
      <c r="EH77" s="19"/>
      <c r="EI77" s="19"/>
      <c r="EJ77" s="274"/>
      <c r="EK77" s="19"/>
      <c r="EL77" s="19">
        <f>SUM(EL78:EL78)</f>
        <v>3225244</v>
      </c>
      <c r="EO77" s="244"/>
      <c r="EP77" s="451"/>
      <c r="EQ77" s="451"/>
    </row>
    <row r="78" spans="4:147" x14ac:dyDescent="0.2">
      <c r="D78" s="244" t="s">
        <v>344</v>
      </c>
      <c r="E78" s="82"/>
      <c r="F78" s="91"/>
      <c r="G78" s="81">
        <v>117363</v>
      </c>
      <c r="H78" s="49"/>
      <c r="I78" s="19"/>
      <c r="J78" s="274"/>
      <c r="K78" s="48"/>
      <c r="L78" s="81">
        <v>0</v>
      </c>
      <c r="M78" s="49"/>
      <c r="N78" s="19"/>
      <c r="O78" s="274"/>
      <c r="P78" s="48"/>
      <c r="Q78" s="81">
        <v>29682</v>
      </c>
      <c r="R78" s="49"/>
      <c r="S78" s="19"/>
      <c r="T78" s="274"/>
      <c r="U78" s="48"/>
      <c r="V78" s="81">
        <v>28489</v>
      </c>
      <c r="W78" s="49"/>
      <c r="X78" s="19"/>
      <c r="Y78" s="274"/>
      <c r="Z78" s="48"/>
      <c r="AA78" s="81">
        <v>0</v>
      </c>
      <c r="AB78" s="49"/>
      <c r="AC78" s="19"/>
      <c r="AD78" s="274"/>
      <c r="AE78" s="48"/>
      <c r="AF78" s="81">
        <v>0</v>
      </c>
      <c r="AG78" s="49"/>
      <c r="AH78" s="19"/>
      <c r="AI78" s="274"/>
      <c r="AJ78" s="48"/>
      <c r="AK78" s="81">
        <v>0</v>
      </c>
      <c r="AL78" s="49"/>
      <c r="AM78" s="19"/>
      <c r="AN78" s="274"/>
      <c r="AO78" s="48"/>
      <c r="AP78" s="81">
        <v>0</v>
      </c>
      <c r="AQ78" s="49"/>
      <c r="AR78" s="19"/>
      <c r="AS78" s="274"/>
      <c r="AT78" s="48"/>
      <c r="AU78" s="81">
        <v>0</v>
      </c>
      <c r="AV78" s="49"/>
      <c r="AW78" s="19"/>
      <c r="AX78" s="274"/>
      <c r="AY78" s="48"/>
      <c r="AZ78" s="81">
        <v>59192</v>
      </c>
      <c r="BA78" s="49"/>
      <c r="BB78" s="19"/>
      <c r="BC78" s="274"/>
      <c r="BD78" s="48"/>
      <c r="BE78" s="81">
        <v>0</v>
      </c>
      <c r="BF78" s="49"/>
      <c r="BG78" s="19"/>
      <c r="BH78" s="274"/>
      <c r="BI78" s="48"/>
      <c r="BJ78" s="81">
        <v>783477</v>
      </c>
      <c r="BK78" s="49"/>
      <c r="BL78" s="19"/>
      <c r="BM78" s="274"/>
      <c r="BN78" s="48"/>
      <c r="BO78" s="81">
        <v>1374648</v>
      </c>
      <c r="BP78" s="49"/>
      <c r="BQ78" s="19"/>
      <c r="BR78" s="274"/>
      <c r="BS78" s="48"/>
      <c r="BT78" s="81">
        <f>SUM(L78:BO78)</f>
        <v>2275488</v>
      </c>
      <c r="BU78" s="49"/>
      <c r="BV78" s="19"/>
      <c r="BW78" s="274"/>
      <c r="BX78" s="48"/>
      <c r="BY78" s="81">
        <v>3225244</v>
      </c>
      <c r="BZ78" s="49"/>
      <c r="CA78" s="19"/>
      <c r="CB78" s="274"/>
      <c r="CC78" s="48"/>
      <c r="CD78" s="81">
        <v>3109689</v>
      </c>
      <c r="CE78" s="49"/>
      <c r="CF78" s="19"/>
      <c r="CG78" s="274"/>
      <c r="CH78" s="48"/>
      <c r="CI78" s="81">
        <v>0</v>
      </c>
      <c r="CJ78" s="49"/>
      <c r="CK78" s="19"/>
      <c r="CL78" s="274"/>
      <c r="CM78" s="48"/>
      <c r="CN78" s="81">
        <v>0</v>
      </c>
      <c r="CO78" s="49"/>
      <c r="CP78" s="19"/>
      <c r="CQ78" s="274"/>
      <c r="CR78" s="48"/>
      <c r="CS78" s="81">
        <v>0</v>
      </c>
      <c r="CT78" s="49"/>
      <c r="CU78" s="19"/>
      <c r="CV78" s="274"/>
      <c r="CW78" s="48"/>
      <c r="CX78" s="81">
        <v>0</v>
      </c>
      <c r="CY78" s="49"/>
      <c r="CZ78" s="19"/>
      <c r="DA78" s="274"/>
      <c r="DB78" s="48"/>
      <c r="DC78" s="81">
        <v>115555</v>
      </c>
      <c r="DD78" s="49"/>
      <c r="DE78" s="19"/>
      <c r="DF78" s="274"/>
      <c r="DG78" s="48"/>
      <c r="DH78" s="81">
        <v>0</v>
      </c>
      <c r="DI78" s="49"/>
      <c r="DJ78" s="19"/>
      <c r="DK78" s="274"/>
      <c r="DL78" s="48"/>
      <c r="DM78" s="81">
        <v>0</v>
      </c>
      <c r="DN78" s="49"/>
      <c r="DO78" s="19"/>
      <c r="DP78" s="274"/>
      <c r="DQ78" s="48"/>
      <c r="DR78" s="81">
        <v>0</v>
      </c>
      <c r="DS78" s="49"/>
      <c r="DT78" s="19"/>
      <c r="DU78" s="274"/>
      <c r="DV78" s="48"/>
      <c r="DW78" s="81">
        <v>0</v>
      </c>
      <c r="DX78" s="49"/>
      <c r="DY78" s="19"/>
      <c r="DZ78" s="274"/>
      <c r="EA78" s="48"/>
      <c r="EB78" s="81">
        <v>0</v>
      </c>
      <c r="EC78" s="49"/>
      <c r="ED78" s="19"/>
      <c r="EE78" s="274"/>
      <c r="EF78" s="48"/>
      <c r="EG78" s="81">
        <v>0</v>
      </c>
      <c r="EH78" s="49"/>
      <c r="EI78" s="19"/>
      <c r="EJ78" s="274"/>
      <c r="EK78" s="48"/>
      <c r="EL78" s="81">
        <f>SUM(CD78:EG78)</f>
        <v>3225244</v>
      </c>
      <c r="EM78" s="100"/>
      <c r="EO78" s="244"/>
      <c r="EP78" s="451"/>
      <c r="EQ78" s="451"/>
    </row>
    <row r="79" spans="4:147" ht="12.75" customHeight="1" x14ac:dyDescent="0.2">
      <c r="D79" s="244"/>
      <c r="E79" s="82"/>
      <c r="G79" s="19"/>
      <c r="H79" s="19"/>
      <c r="I79" s="19"/>
      <c r="J79" s="274"/>
      <c r="K79" s="19"/>
      <c r="L79" s="19"/>
      <c r="M79" s="19"/>
      <c r="N79" s="19"/>
      <c r="O79" s="274"/>
      <c r="P79" s="19"/>
      <c r="Q79" s="19"/>
      <c r="R79" s="19"/>
      <c r="S79" s="19"/>
      <c r="T79" s="274"/>
      <c r="U79" s="19"/>
      <c r="V79" s="19"/>
      <c r="W79" s="19"/>
      <c r="X79" s="19"/>
      <c r="Y79" s="274"/>
      <c r="Z79" s="19"/>
      <c r="AA79" s="19"/>
      <c r="AB79" s="19"/>
      <c r="AC79" s="19"/>
      <c r="AD79" s="274"/>
      <c r="AE79" s="19"/>
      <c r="AF79" s="19"/>
      <c r="AG79" s="19"/>
      <c r="AH79" s="19"/>
      <c r="AI79" s="274"/>
      <c r="AJ79" s="19"/>
      <c r="AK79" s="19"/>
      <c r="AL79" s="19"/>
      <c r="AM79" s="19"/>
      <c r="AN79" s="274"/>
      <c r="AO79" s="19"/>
      <c r="AP79" s="19"/>
      <c r="AQ79" s="19"/>
      <c r="AR79" s="19"/>
      <c r="AS79" s="274"/>
      <c r="AT79" s="19"/>
      <c r="AU79" s="19"/>
      <c r="AV79" s="19"/>
      <c r="AW79" s="19"/>
      <c r="AX79" s="274"/>
      <c r="AY79" s="19"/>
      <c r="AZ79" s="19"/>
      <c r="BA79" s="19"/>
      <c r="BB79" s="19"/>
      <c r="BC79" s="274"/>
      <c r="BD79" s="19"/>
      <c r="BE79" s="19"/>
      <c r="BF79" s="19"/>
      <c r="BG79" s="19"/>
      <c r="BH79" s="274"/>
      <c r="BI79" s="19"/>
      <c r="BJ79" s="19"/>
      <c r="BK79" s="19"/>
      <c r="BL79" s="19"/>
      <c r="BM79" s="274"/>
      <c r="BN79" s="19"/>
      <c r="BO79" s="19"/>
      <c r="BP79" s="19"/>
      <c r="BQ79" s="19"/>
      <c r="BR79" s="274"/>
      <c r="BS79" s="19"/>
      <c r="BT79" s="19"/>
      <c r="BU79" s="19"/>
      <c r="BV79" s="19"/>
      <c r="BW79" s="274"/>
      <c r="BX79" s="19"/>
      <c r="BY79" s="19"/>
      <c r="BZ79" s="19"/>
      <c r="CA79" s="19"/>
      <c r="CB79" s="274"/>
      <c r="CC79" s="19"/>
      <c r="CD79" s="19"/>
      <c r="CE79" s="19"/>
      <c r="CF79" s="19"/>
      <c r="CG79" s="274"/>
      <c r="CH79" s="19"/>
      <c r="CI79" s="19"/>
      <c r="CJ79" s="19"/>
      <c r="CK79" s="19"/>
      <c r="CL79" s="274"/>
      <c r="CM79" s="19"/>
      <c r="CN79" s="19"/>
      <c r="CO79" s="19"/>
      <c r="CP79" s="19"/>
      <c r="CQ79" s="274"/>
      <c r="CR79" s="19"/>
      <c r="CS79" s="19"/>
      <c r="CT79" s="19"/>
      <c r="CU79" s="19"/>
      <c r="CV79" s="274"/>
      <c r="CW79" s="19"/>
      <c r="CX79" s="19"/>
      <c r="CY79" s="19"/>
      <c r="CZ79" s="19"/>
      <c r="DA79" s="274"/>
      <c r="DB79" s="19"/>
      <c r="DC79" s="19"/>
      <c r="DD79" s="19"/>
      <c r="DE79" s="19"/>
      <c r="DF79" s="274"/>
      <c r="DG79" s="19"/>
      <c r="DH79" s="19"/>
      <c r="DI79" s="19"/>
      <c r="DJ79" s="19"/>
      <c r="DK79" s="274"/>
      <c r="DL79" s="19"/>
      <c r="DM79" s="19"/>
      <c r="DN79" s="19"/>
      <c r="DO79" s="19"/>
      <c r="DP79" s="274"/>
      <c r="DQ79" s="19"/>
      <c r="DR79" s="19"/>
      <c r="DS79" s="19"/>
      <c r="DT79" s="19"/>
      <c r="DU79" s="274"/>
      <c r="DV79" s="19"/>
      <c r="DW79" s="19"/>
      <c r="DX79" s="19"/>
      <c r="DY79" s="19"/>
      <c r="DZ79" s="274"/>
      <c r="EA79" s="19"/>
      <c r="EB79" s="19"/>
      <c r="EC79" s="19"/>
      <c r="ED79" s="19"/>
      <c r="EE79" s="274"/>
      <c r="EF79" s="19"/>
      <c r="EG79" s="19"/>
      <c r="EH79" s="19"/>
      <c r="EI79" s="19"/>
      <c r="EJ79" s="274"/>
      <c r="EK79" s="19"/>
      <c r="EL79" s="19"/>
      <c r="EO79" s="244"/>
      <c r="EP79" s="451"/>
      <c r="EQ79" s="451"/>
    </row>
    <row r="80" spans="4:147" ht="12.75" customHeight="1" x14ac:dyDescent="0.2">
      <c r="D80" s="244" t="s">
        <v>377</v>
      </c>
      <c r="E80" s="82"/>
      <c r="G80" s="19">
        <f>SUM(G81:G81)</f>
        <v>0</v>
      </c>
      <c r="H80" s="19"/>
      <c r="I80" s="19"/>
      <c r="J80" s="274"/>
      <c r="K80" s="19"/>
      <c r="L80" s="12">
        <f>SUM(L81:L81)</f>
        <v>0</v>
      </c>
      <c r="M80" s="19">
        <f>SUM(M81:M81)</f>
        <v>0</v>
      </c>
      <c r="N80" s="19"/>
      <c r="O80" s="274"/>
      <c r="Q80" s="12">
        <f>SUM(Q81:Q81)</f>
        <v>0</v>
      </c>
      <c r="R80" s="19"/>
      <c r="S80" s="19"/>
      <c r="T80" s="274"/>
      <c r="V80" s="12">
        <f>SUM(V81:V81)</f>
        <v>0</v>
      </c>
      <c r="W80" s="19"/>
      <c r="X80" s="19"/>
      <c r="Y80" s="274"/>
      <c r="AA80" s="12">
        <f>SUM(AA81:AA81)</f>
        <v>0</v>
      </c>
      <c r="AB80" s="19"/>
      <c r="AC80" s="19"/>
      <c r="AD80" s="274"/>
      <c r="AF80" s="12">
        <f>SUM(AF81:AF81)</f>
        <v>0</v>
      </c>
      <c r="AG80" s="19"/>
      <c r="AH80" s="19"/>
      <c r="AI80" s="274"/>
      <c r="AK80" s="12">
        <f>SUM(AK81:AK81)</f>
        <v>0</v>
      </c>
      <c r="AL80" s="19"/>
      <c r="AM80" s="19"/>
      <c r="AN80" s="274"/>
      <c r="AP80" s="12">
        <f>SUM(AP81:AP81)</f>
        <v>0</v>
      </c>
      <c r="AQ80" s="19"/>
      <c r="AR80" s="19"/>
      <c r="AS80" s="274"/>
      <c r="AU80" s="12">
        <f>SUM(AU81:AU81)</f>
        <v>0</v>
      </c>
      <c r="AV80" s="19"/>
      <c r="AW80" s="19"/>
      <c r="AX80" s="274"/>
      <c r="AZ80" s="12">
        <f>SUM(AZ81:AZ81)</f>
        <v>0</v>
      </c>
      <c r="BA80" s="19"/>
      <c r="BB80" s="19"/>
      <c r="BC80" s="274"/>
      <c r="BE80" s="12">
        <f>SUM(BE81:BE81)</f>
        <v>0</v>
      </c>
      <c r="BF80" s="19"/>
      <c r="BG80" s="19"/>
      <c r="BH80" s="274"/>
      <c r="BJ80" s="12">
        <f>SUM(BJ81:BJ81)</f>
        <v>0</v>
      </c>
      <c r="BK80" s="19"/>
      <c r="BL80" s="19"/>
      <c r="BM80" s="274"/>
      <c r="BO80" s="12">
        <f>SUM(BO81:BO81)</f>
        <v>40151</v>
      </c>
      <c r="BP80" s="19"/>
      <c r="BQ80" s="19"/>
      <c r="BR80" s="274"/>
      <c r="BT80" s="19">
        <f>SUM(BT81:BT81)</f>
        <v>40151</v>
      </c>
      <c r="BU80" s="19"/>
      <c r="BV80" s="19"/>
      <c r="BW80" s="274"/>
      <c r="BY80" s="19">
        <f>SUM(BY81:BY81)</f>
        <v>54098</v>
      </c>
      <c r="BZ80" s="19"/>
      <c r="CA80" s="19"/>
      <c r="CB80" s="274"/>
      <c r="CC80" s="19"/>
      <c r="CD80" s="12">
        <f>SUM(CD81:CD81)</f>
        <v>0</v>
      </c>
      <c r="CE80" s="19">
        <f>SUM(CE81:CE81)</f>
        <v>0</v>
      </c>
      <c r="CF80" s="19"/>
      <c r="CG80" s="274"/>
      <c r="CI80" s="12">
        <f>SUM(CI81:CI81)</f>
        <v>0</v>
      </c>
      <c r="CJ80" s="19"/>
      <c r="CK80" s="19"/>
      <c r="CL80" s="274"/>
      <c r="CN80" s="12">
        <f>SUM(CN81:CN81)</f>
        <v>0</v>
      </c>
      <c r="CO80" s="19"/>
      <c r="CP80" s="19"/>
      <c r="CQ80" s="274"/>
      <c r="CS80" s="12">
        <f>SUM(CS81:CS81)</f>
        <v>0</v>
      </c>
      <c r="CT80" s="19"/>
      <c r="CU80" s="19"/>
      <c r="CV80" s="274"/>
      <c r="CX80" s="12">
        <f>SUM(CX81:CX81)</f>
        <v>0</v>
      </c>
      <c r="CY80" s="19"/>
      <c r="CZ80" s="19"/>
      <c r="DA80" s="274"/>
      <c r="DC80" s="12">
        <f>SUM(DC81:DC81)</f>
        <v>0</v>
      </c>
      <c r="DD80" s="19"/>
      <c r="DE80" s="19"/>
      <c r="DF80" s="274"/>
      <c r="DH80" s="12">
        <f>SUM(DH81:DH81)</f>
        <v>0</v>
      </c>
      <c r="DI80" s="19"/>
      <c r="DJ80" s="19"/>
      <c r="DK80" s="274"/>
      <c r="DM80" s="12">
        <f>SUM(DM81:DM81)</f>
        <v>0</v>
      </c>
      <c r="DN80" s="19"/>
      <c r="DO80" s="19"/>
      <c r="DP80" s="274"/>
      <c r="DR80" s="12">
        <f>SUM(DR81:DR81)</f>
        <v>0</v>
      </c>
      <c r="DS80" s="19"/>
      <c r="DT80" s="19"/>
      <c r="DU80" s="274"/>
      <c r="DW80" s="12">
        <f>SUM(DW81:DW81)</f>
        <v>0</v>
      </c>
      <c r="DX80" s="19"/>
      <c r="DY80" s="19"/>
      <c r="DZ80" s="274"/>
      <c r="EB80" s="12">
        <f>SUM(EB81:EB81)</f>
        <v>0</v>
      </c>
      <c r="EC80" s="19"/>
      <c r="ED80" s="19"/>
      <c r="EE80" s="274"/>
      <c r="EG80" s="12">
        <f>SUM(EG81:EG81)</f>
        <v>54098</v>
      </c>
      <c r="EH80" s="19"/>
      <c r="EI80" s="19"/>
      <c r="EJ80" s="274"/>
      <c r="EL80" s="19">
        <f>SUM(EL81:EL81)</f>
        <v>54098</v>
      </c>
      <c r="EM80" s="19"/>
      <c r="EO80" s="244"/>
      <c r="EP80" s="451"/>
      <c r="EQ80" s="451"/>
    </row>
    <row r="81" spans="4:147" ht="12.75" customHeight="1" x14ac:dyDescent="0.2">
      <c r="D81" s="244" t="s">
        <v>344</v>
      </c>
      <c r="E81" s="82"/>
      <c r="F81" s="91"/>
      <c r="G81" s="81">
        <v>0</v>
      </c>
      <c r="H81" s="49"/>
      <c r="I81" s="19"/>
      <c r="J81" s="274"/>
      <c r="K81" s="48"/>
      <c r="L81" s="81">
        <v>0</v>
      </c>
      <c r="M81" s="49"/>
      <c r="N81" s="17"/>
      <c r="O81" s="274"/>
      <c r="P81" s="91"/>
      <c r="Q81" s="81">
        <v>0</v>
      </c>
      <c r="R81" s="49"/>
      <c r="S81" s="19"/>
      <c r="T81" s="274"/>
      <c r="U81" s="91"/>
      <c r="V81" s="81">
        <v>0</v>
      </c>
      <c r="W81" s="49"/>
      <c r="X81" s="19"/>
      <c r="Y81" s="274"/>
      <c r="Z81" s="91"/>
      <c r="AA81" s="81">
        <v>0</v>
      </c>
      <c r="AB81" s="49"/>
      <c r="AC81" s="19"/>
      <c r="AD81" s="274"/>
      <c r="AE81" s="91"/>
      <c r="AF81" s="81">
        <v>0</v>
      </c>
      <c r="AG81" s="49"/>
      <c r="AH81" s="19"/>
      <c r="AI81" s="274"/>
      <c r="AJ81" s="91"/>
      <c r="AK81" s="81">
        <v>0</v>
      </c>
      <c r="AL81" s="49"/>
      <c r="AM81" s="19"/>
      <c r="AN81" s="274"/>
      <c r="AO81" s="91"/>
      <c r="AP81" s="81">
        <v>0</v>
      </c>
      <c r="AQ81" s="49"/>
      <c r="AR81" s="19"/>
      <c r="AS81" s="274"/>
      <c r="AT81" s="91"/>
      <c r="AU81" s="81">
        <v>0</v>
      </c>
      <c r="AV81" s="49"/>
      <c r="AW81" s="19"/>
      <c r="AX81" s="274"/>
      <c r="AY81" s="91"/>
      <c r="AZ81" s="81">
        <v>0</v>
      </c>
      <c r="BA81" s="49"/>
      <c r="BB81" s="19"/>
      <c r="BC81" s="274"/>
      <c r="BD81" s="91"/>
      <c r="BE81" s="81">
        <v>0</v>
      </c>
      <c r="BF81" s="49"/>
      <c r="BG81" s="19"/>
      <c r="BH81" s="274"/>
      <c r="BI81" s="91"/>
      <c r="BJ81" s="81">
        <v>0</v>
      </c>
      <c r="BK81" s="49"/>
      <c r="BL81" s="19"/>
      <c r="BM81" s="274"/>
      <c r="BN81" s="91"/>
      <c r="BO81" s="81">
        <v>40151</v>
      </c>
      <c r="BP81" s="49"/>
      <c r="BQ81" s="19"/>
      <c r="BR81" s="274"/>
      <c r="BS81" s="91"/>
      <c r="BT81" s="81">
        <f>SUM(L81:BO81)</f>
        <v>40151</v>
      </c>
      <c r="BU81" s="49"/>
      <c r="BV81" s="19"/>
      <c r="BW81" s="274"/>
      <c r="BX81" s="91"/>
      <c r="BY81" s="81">
        <v>54098</v>
      </c>
      <c r="BZ81" s="49"/>
      <c r="CA81" s="19"/>
      <c r="CB81" s="274"/>
      <c r="CC81" s="48"/>
      <c r="CD81" s="81">
        <v>0</v>
      </c>
      <c r="CE81" s="49"/>
      <c r="CF81" s="17"/>
      <c r="CG81" s="274"/>
      <c r="CH81" s="91"/>
      <c r="CI81" s="81">
        <v>0</v>
      </c>
      <c r="CJ81" s="49"/>
      <c r="CK81" s="19"/>
      <c r="CL81" s="274"/>
      <c r="CM81" s="91"/>
      <c r="CN81" s="81">
        <v>0</v>
      </c>
      <c r="CO81" s="49"/>
      <c r="CP81" s="19"/>
      <c r="CQ81" s="274"/>
      <c r="CR81" s="91"/>
      <c r="CS81" s="81">
        <v>0</v>
      </c>
      <c r="CT81" s="49"/>
      <c r="CU81" s="19"/>
      <c r="CV81" s="274"/>
      <c r="CW81" s="91"/>
      <c r="CX81" s="81">
        <v>0</v>
      </c>
      <c r="CY81" s="49"/>
      <c r="CZ81" s="19"/>
      <c r="DA81" s="274"/>
      <c r="DB81" s="91"/>
      <c r="DC81" s="81">
        <v>0</v>
      </c>
      <c r="DD81" s="49"/>
      <c r="DE81" s="19"/>
      <c r="DF81" s="274"/>
      <c r="DG81" s="91"/>
      <c r="DH81" s="81">
        <v>0</v>
      </c>
      <c r="DI81" s="49"/>
      <c r="DJ81" s="19"/>
      <c r="DK81" s="274"/>
      <c r="DL81" s="91"/>
      <c r="DM81" s="81">
        <v>0</v>
      </c>
      <c r="DN81" s="49"/>
      <c r="DO81" s="19"/>
      <c r="DP81" s="274"/>
      <c r="DQ81" s="91"/>
      <c r="DR81" s="81">
        <v>0</v>
      </c>
      <c r="DS81" s="49"/>
      <c r="DT81" s="19"/>
      <c r="DU81" s="274"/>
      <c r="DV81" s="91"/>
      <c r="DW81" s="81">
        <v>0</v>
      </c>
      <c r="DX81" s="49"/>
      <c r="DY81" s="19"/>
      <c r="DZ81" s="274"/>
      <c r="EA81" s="91"/>
      <c r="EB81" s="81">
        <v>0</v>
      </c>
      <c r="EC81" s="49"/>
      <c r="ED81" s="19"/>
      <c r="EE81" s="274"/>
      <c r="EF81" s="91"/>
      <c r="EG81" s="81">
        <v>54098</v>
      </c>
      <c r="EH81" s="49"/>
      <c r="EI81" s="19"/>
      <c r="EJ81" s="274"/>
      <c r="EK81" s="91"/>
      <c r="EL81" s="81">
        <f>SUM(CD81:EG81)</f>
        <v>54098</v>
      </c>
      <c r="EM81" s="49"/>
      <c r="EO81" s="244"/>
      <c r="EP81" s="451"/>
      <c r="EQ81" s="451"/>
    </row>
    <row r="82" spans="4:147" ht="12.75" customHeight="1" x14ac:dyDescent="0.2">
      <c r="D82" s="244"/>
      <c r="E82" s="82"/>
      <c r="G82" s="299"/>
      <c r="H82" s="299"/>
      <c r="I82" s="299"/>
      <c r="J82" s="403"/>
      <c r="K82" s="299"/>
      <c r="L82" s="299"/>
      <c r="M82" s="299"/>
      <c r="N82" s="299"/>
      <c r="O82" s="403"/>
      <c r="P82" s="299"/>
      <c r="Q82" s="299"/>
      <c r="R82" s="299"/>
      <c r="S82" s="299"/>
      <c r="T82" s="403"/>
      <c r="U82" s="299"/>
      <c r="V82" s="299"/>
      <c r="W82" s="299"/>
      <c r="X82" s="299"/>
      <c r="Y82" s="403"/>
      <c r="Z82" s="299"/>
      <c r="AA82" s="299"/>
      <c r="AB82" s="299"/>
      <c r="AC82" s="299"/>
      <c r="AD82" s="403"/>
      <c r="AE82" s="299"/>
      <c r="AF82" s="299"/>
      <c r="AG82" s="299"/>
      <c r="AH82" s="299"/>
      <c r="AI82" s="403"/>
      <c r="AJ82" s="299"/>
      <c r="AK82" s="299"/>
      <c r="AL82" s="299"/>
      <c r="AM82" s="299"/>
      <c r="AN82" s="403"/>
      <c r="AO82" s="299"/>
      <c r="AP82" s="299"/>
      <c r="AQ82" s="299"/>
      <c r="AR82" s="299"/>
      <c r="AS82" s="403"/>
      <c r="AT82" s="299"/>
      <c r="AU82" s="299"/>
      <c r="AV82" s="299"/>
      <c r="AW82" s="299"/>
      <c r="AX82" s="403"/>
      <c r="AY82" s="299"/>
      <c r="AZ82" s="299"/>
      <c r="BA82" s="299"/>
      <c r="BB82" s="299"/>
      <c r="BC82" s="403"/>
      <c r="BD82" s="299"/>
      <c r="BE82" s="299"/>
      <c r="BF82" s="299"/>
      <c r="BG82" s="299"/>
      <c r="BH82" s="403"/>
      <c r="BI82" s="299"/>
      <c r="BJ82" s="299"/>
      <c r="BK82" s="299"/>
      <c r="BL82" s="299"/>
      <c r="BM82" s="403"/>
      <c r="BN82" s="299"/>
      <c r="BO82" s="299"/>
      <c r="BP82" s="299"/>
      <c r="BQ82" s="299"/>
      <c r="BR82" s="403"/>
      <c r="BS82" s="299"/>
      <c r="BT82" s="19"/>
      <c r="BU82" s="19"/>
      <c r="BV82" s="19"/>
      <c r="BW82" s="274"/>
      <c r="BX82" s="19"/>
      <c r="BY82" s="19"/>
      <c r="BZ82" s="299"/>
      <c r="CA82" s="299"/>
      <c r="CB82" s="403"/>
      <c r="CC82" s="299"/>
      <c r="CD82" s="299"/>
      <c r="CE82" s="299"/>
      <c r="CF82" s="299"/>
      <c r="CG82" s="403"/>
      <c r="CH82" s="299"/>
      <c r="CI82" s="299"/>
      <c r="CJ82" s="299"/>
      <c r="CK82" s="299"/>
      <c r="CL82" s="403"/>
      <c r="CM82" s="299"/>
      <c r="CN82" s="299"/>
      <c r="CO82" s="299"/>
      <c r="CP82" s="299"/>
      <c r="CQ82" s="403"/>
      <c r="CR82" s="299"/>
      <c r="CS82" s="299"/>
      <c r="CT82" s="299"/>
      <c r="CU82" s="299"/>
      <c r="CV82" s="403"/>
      <c r="CW82" s="299"/>
      <c r="CX82" s="299"/>
      <c r="CY82" s="299"/>
      <c r="CZ82" s="299"/>
      <c r="DA82" s="403"/>
      <c r="DB82" s="299"/>
      <c r="DC82" s="299"/>
      <c r="DD82" s="299"/>
      <c r="DE82" s="299"/>
      <c r="DF82" s="403"/>
      <c r="DG82" s="299"/>
      <c r="DH82" s="299"/>
      <c r="DI82" s="299"/>
      <c r="DJ82" s="299"/>
      <c r="DK82" s="403"/>
      <c r="DL82" s="299"/>
      <c r="DM82" s="299"/>
      <c r="DN82" s="299"/>
      <c r="DO82" s="299"/>
      <c r="DP82" s="403"/>
      <c r="DQ82" s="299"/>
      <c r="DR82" s="299"/>
      <c r="DS82" s="299"/>
      <c r="DT82" s="299"/>
      <c r="DU82" s="403"/>
      <c r="DV82" s="299"/>
      <c r="DW82" s="299"/>
      <c r="DX82" s="299"/>
      <c r="DY82" s="299"/>
      <c r="DZ82" s="403"/>
      <c r="EA82" s="299"/>
      <c r="EB82" s="299"/>
      <c r="EC82" s="299"/>
      <c r="ED82" s="299"/>
      <c r="EE82" s="403"/>
      <c r="EF82" s="299"/>
      <c r="EG82" s="299"/>
      <c r="EH82" s="299"/>
      <c r="EI82" s="299"/>
      <c r="EJ82" s="403"/>
      <c r="EK82" s="299"/>
      <c r="EL82" s="19"/>
      <c r="EO82" s="244"/>
      <c r="EP82" s="451"/>
      <c r="EQ82" s="451"/>
    </row>
    <row r="83" spans="4:147" ht="12.75" customHeight="1" x14ac:dyDescent="0.2">
      <c r="D83" s="244" t="s">
        <v>353</v>
      </c>
      <c r="E83" s="82"/>
      <c r="G83" s="19">
        <f>SUM(G84:G84)</f>
        <v>0</v>
      </c>
      <c r="H83" s="19"/>
      <c r="I83" s="19"/>
      <c r="J83" s="274"/>
      <c r="K83" s="19"/>
      <c r="L83" s="19">
        <f>SUM(L84:L84)</f>
        <v>0</v>
      </c>
      <c r="M83" s="19"/>
      <c r="N83" s="19"/>
      <c r="O83" s="274"/>
      <c r="P83" s="19"/>
      <c r="Q83" s="19">
        <f>SUM(Q84:Q84)</f>
        <v>0</v>
      </c>
      <c r="R83" s="19"/>
      <c r="S83" s="19"/>
      <c r="T83" s="274"/>
      <c r="U83" s="19"/>
      <c r="V83" s="19">
        <f>SUM(V84:V84)</f>
        <v>0</v>
      </c>
      <c r="W83" s="19"/>
      <c r="X83" s="19"/>
      <c r="Y83" s="274"/>
      <c r="Z83" s="19"/>
      <c r="AA83" s="19">
        <f>SUM(AA84:AA84)</f>
        <v>0</v>
      </c>
      <c r="AB83" s="19"/>
      <c r="AC83" s="19"/>
      <c r="AD83" s="274"/>
      <c r="AE83" s="19"/>
      <c r="AF83" s="19">
        <f>SUM(AF84:AF84)</f>
        <v>0</v>
      </c>
      <c r="AG83" s="19"/>
      <c r="AH83" s="19"/>
      <c r="AI83" s="274"/>
      <c r="AJ83" s="19"/>
      <c r="AK83" s="19">
        <f>SUM(AK84:AK84)</f>
        <v>0</v>
      </c>
      <c r="AL83" s="19"/>
      <c r="AM83" s="19"/>
      <c r="AN83" s="274"/>
      <c r="AO83" s="19"/>
      <c r="AP83" s="19">
        <f>SUM(AP84:AP84)</f>
        <v>0</v>
      </c>
      <c r="AQ83" s="19"/>
      <c r="AR83" s="19"/>
      <c r="AS83" s="274"/>
      <c r="AT83" s="19"/>
      <c r="AU83" s="19">
        <f>SUM(AU84:AU84)</f>
        <v>0</v>
      </c>
      <c r="AV83" s="19"/>
      <c r="AW83" s="19"/>
      <c r="AX83" s="274"/>
      <c r="AY83" s="19"/>
      <c r="AZ83" s="19">
        <f>SUM(AZ84:AZ84)</f>
        <v>0</v>
      </c>
      <c r="BA83" s="19"/>
      <c r="BB83" s="19"/>
      <c r="BC83" s="274"/>
      <c r="BD83" s="19"/>
      <c r="BE83" s="19">
        <f>SUM(BE84:BE84)</f>
        <v>0</v>
      </c>
      <c r="BF83" s="19"/>
      <c r="BG83" s="19"/>
      <c r="BH83" s="274"/>
      <c r="BI83" s="19"/>
      <c r="BJ83" s="19">
        <f>SUM(BJ84:BJ84)</f>
        <v>322932</v>
      </c>
      <c r="BK83" s="19"/>
      <c r="BL83" s="19"/>
      <c r="BM83" s="274"/>
      <c r="BN83" s="19"/>
      <c r="BO83" s="19">
        <f>SUM(BO84:BO84)</f>
        <v>0</v>
      </c>
      <c r="BP83" s="19"/>
      <c r="BQ83" s="19"/>
      <c r="BR83" s="274"/>
      <c r="BS83" s="19"/>
      <c r="BT83" s="19">
        <f>SUM(BT84:BT84)</f>
        <v>322932</v>
      </c>
      <c r="BU83" s="19"/>
      <c r="BV83" s="19"/>
      <c r="BW83" s="274"/>
      <c r="BX83" s="19"/>
      <c r="BY83" s="19">
        <f>SUM(BY84:BY84)</f>
        <v>41033</v>
      </c>
      <c r="BZ83" s="19"/>
      <c r="CA83" s="19"/>
      <c r="CB83" s="274"/>
      <c r="CC83" s="19"/>
      <c r="CD83" s="19">
        <f>SUM(CD84:CD84)</f>
        <v>0</v>
      </c>
      <c r="CE83" s="19"/>
      <c r="CF83" s="19"/>
      <c r="CG83" s="274"/>
      <c r="CH83" s="19"/>
      <c r="CI83" s="19">
        <f>SUM(CI84:CI84)</f>
        <v>0</v>
      </c>
      <c r="CJ83" s="19"/>
      <c r="CK83" s="19"/>
      <c r="CL83" s="274"/>
      <c r="CM83" s="19"/>
      <c r="CN83" s="19">
        <f>SUM(CN84:CN84)</f>
        <v>0</v>
      </c>
      <c r="CO83" s="19"/>
      <c r="CP83" s="19"/>
      <c r="CQ83" s="274"/>
      <c r="CR83" s="19"/>
      <c r="CS83" s="19">
        <f>SUM(CS84:CS84)</f>
        <v>0</v>
      </c>
      <c r="CT83" s="19"/>
      <c r="CU83" s="19"/>
      <c r="CV83" s="274"/>
      <c r="CW83" s="19"/>
      <c r="CX83" s="19">
        <f>SUM(CX84:CX84)</f>
        <v>0</v>
      </c>
      <c r="CY83" s="19"/>
      <c r="CZ83" s="19"/>
      <c r="DA83" s="274"/>
      <c r="DB83" s="19"/>
      <c r="DC83" s="19">
        <f>SUM(DC84:DC84)</f>
        <v>0</v>
      </c>
      <c r="DD83" s="19"/>
      <c r="DE83" s="19"/>
      <c r="DF83" s="274"/>
      <c r="DG83" s="19"/>
      <c r="DH83" s="19">
        <f>SUM(DH84:DH84)</f>
        <v>0</v>
      </c>
      <c r="DI83" s="19"/>
      <c r="DJ83" s="19"/>
      <c r="DK83" s="274"/>
      <c r="DL83" s="19"/>
      <c r="DM83" s="19">
        <f>SUM(DM84:DM84)</f>
        <v>0</v>
      </c>
      <c r="DN83" s="19"/>
      <c r="DO83" s="19"/>
      <c r="DP83" s="274"/>
      <c r="DQ83" s="19"/>
      <c r="DR83" s="19">
        <f>SUM(DR84:DR84)</f>
        <v>0</v>
      </c>
      <c r="DS83" s="19"/>
      <c r="DT83" s="19"/>
      <c r="DU83" s="274"/>
      <c r="DV83" s="19"/>
      <c r="DW83" s="19">
        <f>SUM(DW84:DW84)</f>
        <v>0</v>
      </c>
      <c r="DX83" s="19"/>
      <c r="DY83" s="19"/>
      <c r="DZ83" s="274"/>
      <c r="EA83" s="19"/>
      <c r="EB83" s="19">
        <f>SUM(EB84:EB84)</f>
        <v>0</v>
      </c>
      <c r="EC83" s="19"/>
      <c r="ED83" s="19"/>
      <c r="EE83" s="274"/>
      <c r="EF83" s="19"/>
      <c r="EG83" s="19">
        <f>SUM(EG84:EG84)</f>
        <v>41033</v>
      </c>
      <c r="EH83" s="19"/>
      <c r="EI83" s="19"/>
      <c r="EJ83" s="274"/>
      <c r="EK83" s="19"/>
      <c r="EL83" s="19">
        <f>SUM(EL84:EL84)</f>
        <v>41033</v>
      </c>
      <c r="EN83" s="128"/>
      <c r="EO83" s="244"/>
      <c r="EP83" s="451"/>
      <c r="EQ83" s="451"/>
    </row>
    <row r="84" spans="4:147" ht="12.75" customHeight="1" x14ac:dyDescent="0.2">
      <c r="D84" s="244" t="s">
        <v>344</v>
      </c>
      <c r="E84" s="82"/>
      <c r="F84" s="91"/>
      <c r="G84" s="81">
        <v>0</v>
      </c>
      <c r="H84" s="49"/>
      <c r="I84" s="19"/>
      <c r="J84" s="274"/>
      <c r="K84" s="48"/>
      <c r="L84" s="81">
        <v>0</v>
      </c>
      <c r="M84" s="49"/>
      <c r="N84" s="19"/>
      <c r="O84" s="274"/>
      <c r="P84" s="48"/>
      <c r="Q84" s="81">
        <v>0</v>
      </c>
      <c r="R84" s="49"/>
      <c r="S84" s="19"/>
      <c r="T84" s="274"/>
      <c r="U84" s="48"/>
      <c r="V84" s="81">
        <v>0</v>
      </c>
      <c r="W84" s="49"/>
      <c r="X84" s="19"/>
      <c r="Y84" s="274"/>
      <c r="Z84" s="48"/>
      <c r="AA84" s="81">
        <v>0</v>
      </c>
      <c r="AB84" s="49"/>
      <c r="AC84" s="19"/>
      <c r="AD84" s="274"/>
      <c r="AE84" s="48"/>
      <c r="AF84" s="81">
        <v>0</v>
      </c>
      <c r="AG84" s="49"/>
      <c r="AH84" s="19"/>
      <c r="AI84" s="274"/>
      <c r="AJ84" s="48"/>
      <c r="AK84" s="81">
        <v>0</v>
      </c>
      <c r="AL84" s="49"/>
      <c r="AM84" s="19"/>
      <c r="AN84" s="274"/>
      <c r="AO84" s="48"/>
      <c r="AP84" s="81">
        <v>0</v>
      </c>
      <c r="AQ84" s="49"/>
      <c r="AR84" s="19"/>
      <c r="AS84" s="274"/>
      <c r="AT84" s="48"/>
      <c r="AU84" s="81">
        <v>0</v>
      </c>
      <c r="AV84" s="49"/>
      <c r="AW84" s="19"/>
      <c r="AX84" s="274"/>
      <c r="AY84" s="48"/>
      <c r="AZ84" s="81">
        <v>0</v>
      </c>
      <c r="BA84" s="49"/>
      <c r="BB84" s="19"/>
      <c r="BC84" s="274"/>
      <c r="BD84" s="48"/>
      <c r="BE84" s="81">
        <v>0</v>
      </c>
      <c r="BF84" s="49"/>
      <c r="BG84" s="19"/>
      <c r="BH84" s="274"/>
      <c r="BI84" s="48"/>
      <c r="BJ84" s="81">
        <v>322932</v>
      </c>
      <c r="BK84" s="49"/>
      <c r="BL84" s="19"/>
      <c r="BM84" s="274"/>
      <c r="BN84" s="48"/>
      <c r="BO84" s="81">
        <v>0</v>
      </c>
      <c r="BP84" s="49"/>
      <c r="BQ84" s="19"/>
      <c r="BR84" s="274"/>
      <c r="BS84" s="48"/>
      <c r="BT84" s="81">
        <f>SUM(L84:BO84)</f>
        <v>322932</v>
      </c>
      <c r="BU84" s="49"/>
      <c r="BV84" s="19"/>
      <c r="BW84" s="274"/>
      <c r="BX84" s="48"/>
      <c r="BY84" s="81">
        <v>41033</v>
      </c>
      <c r="BZ84" s="49"/>
      <c r="CA84" s="19"/>
      <c r="CB84" s="274"/>
      <c r="CC84" s="48"/>
      <c r="CD84" s="81">
        <v>0</v>
      </c>
      <c r="CE84" s="49"/>
      <c r="CF84" s="19"/>
      <c r="CG84" s="274"/>
      <c r="CH84" s="48"/>
      <c r="CI84" s="81">
        <v>0</v>
      </c>
      <c r="CJ84" s="49"/>
      <c r="CK84" s="19"/>
      <c r="CL84" s="274"/>
      <c r="CM84" s="48"/>
      <c r="CN84" s="81">
        <v>0</v>
      </c>
      <c r="CO84" s="49"/>
      <c r="CP84" s="19"/>
      <c r="CQ84" s="274"/>
      <c r="CR84" s="48"/>
      <c r="CS84" s="81">
        <v>0</v>
      </c>
      <c r="CT84" s="49"/>
      <c r="CU84" s="19"/>
      <c r="CV84" s="274"/>
      <c r="CW84" s="48"/>
      <c r="CX84" s="81">
        <v>0</v>
      </c>
      <c r="CY84" s="49"/>
      <c r="CZ84" s="19"/>
      <c r="DA84" s="274"/>
      <c r="DB84" s="48"/>
      <c r="DC84" s="81">
        <v>0</v>
      </c>
      <c r="DD84" s="49"/>
      <c r="DE84" s="19"/>
      <c r="DF84" s="274"/>
      <c r="DG84" s="48"/>
      <c r="DH84" s="81">
        <v>0</v>
      </c>
      <c r="DI84" s="49"/>
      <c r="DJ84" s="19"/>
      <c r="DK84" s="274"/>
      <c r="DL84" s="48"/>
      <c r="DM84" s="81">
        <v>0</v>
      </c>
      <c r="DN84" s="49"/>
      <c r="DO84" s="19"/>
      <c r="DP84" s="274"/>
      <c r="DQ84" s="48"/>
      <c r="DR84" s="81">
        <v>0</v>
      </c>
      <c r="DS84" s="49"/>
      <c r="DT84" s="19"/>
      <c r="DU84" s="274"/>
      <c r="DV84" s="48"/>
      <c r="DW84" s="81">
        <v>0</v>
      </c>
      <c r="DX84" s="49"/>
      <c r="DY84" s="19"/>
      <c r="DZ84" s="274"/>
      <c r="EA84" s="48"/>
      <c r="EB84" s="81">
        <v>0</v>
      </c>
      <c r="EC84" s="49"/>
      <c r="ED84" s="19"/>
      <c r="EE84" s="274"/>
      <c r="EF84" s="48"/>
      <c r="EG84" s="81">
        <v>41033</v>
      </c>
      <c r="EH84" s="49"/>
      <c r="EI84" s="19"/>
      <c r="EJ84" s="274"/>
      <c r="EK84" s="48"/>
      <c r="EL84" s="81">
        <f>SUM(CD84:EG84)</f>
        <v>41033</v>
      </c>
      <c r="EM84" s="100"/>
      <c r="EO84" s="244"/>
      <c r="EP84" s="451"/>
      <c r="EQ84" s="451"/>
    </row>
    <row r="85" spans="4:147" x14ac:dyDescent="0.2">
      <c r="D85" s="244"/>
      <c r="E85" s="82"/>
      <c r="G85" s="19"/>
      <c r="H85" s="19"/>
      <c r="I85" s="19"/>
      <c r="J85" s="274"/>
      <c r="K85" s="19"/>
      <c r="L85" s="19"/>
      <c r="M85" s="19"/>
      <c r="N85" s="19"/>
      <c r="O85" s="274"/>
      <c r="P85" s="19"/>
      <c r="Q85" s="19"/>
      <c r="R85" s="19"/>
      <c r="S85" s="19"/>
      <c r="T85" s="274"/>
      <c r="U85" s="19"/>
      <c r="V85" s="19"/>
      <c r="W85" s="19"/>
      <c r="X85" s="19"/>
      <c r="Y85" s="274"/>
      <c r="Z85" s="19"/>
      <c r="AA85" s="19"/>
      <c r="AB85" s="19"/>
      <c r="AC85" s="19"/>
      <c r="AD85" s="274"/>
      <c r="AE85" s="19"/>
      <c r="AF85" s="19"/>
      <c r="AG85" s="19"/>
      <c r="AH85" s="19"/>
      <c r="AI85" s="274"/>
      <c r="AJ85" s="19"/>
      <c r="AK85" s="19"/>
      <c r="AL85" s="19"/>
      <c r="AM85" s="19"/>
      <c r="AN85" s="274"/>
      <c r="AO85" s="19"/>
      <c r="AP85" s="19"/>
      <c r="AQ85" s="19"/>
      <c r="AR85" s="19"/>
      <c r="AS85" s="274"/>
      <c r="AT85" s="19"/>
      <c r="AU85" s="19"/>
      <c r="AV85" s="19"/>
      <c r="AW85" s="19"/>
      <c r="AX85" s="274"/>
      <c r="AY85" s="19"/>
      <c r="AZ85" s="19"/>
      <c r="BA85" s="19"/>
      <c r="BB85" s="19"/>
      <c r="BC85" s="274"/>
      <c r="BD85" s="19"/>
      <c r="BE85" s="19"/>
      <c r="BF85" s="19"/>
      <c r="BG85" s="19"/>
      <c r="BH85" s="274"/>
      <c r="BI85" s="19"/>
      <c r="BJ85" s="19"/>
      <c r="BK85" s="19"/>
      <c r="BL85" s="19"/>
      <c r="BM85" s="274"/>
      <c r="BN85" s="19"/>
      <c r="BO85" s="19"/>
      <c r="BP85" s="19"/>
      <c r="BQ85" s="19"/>
      <c r="BR85" s="274"/>
      <c r="BS85" s="19"/>
      <c r="BT85" s="19"/>
      <c r="BU85" s="19"/>
      <c r="BV85" s="19"/>
      <c r="BW85" s="274"/>
      <c r="BX85" s="19"/>
      <c r="BY85" s="19"/>
      <c r="BZ85" s="19"/>
      <c r="CA85" s="19"/>
      <c r="CB85" s="274"/>
      <c r="CC85" s="19"/>
      <c r="CD85" s="19"/>
      <c r="CE85" s="19"/>
      <c r="CF85" s="19"/>
      <c r="CG85" s="274"/>
      <c r="CH85" s="19"/>
      <c r="CI85" s="19"/>
      <c r="CJ85" s="19"/>
      <c r="CK85" s="19"/>
      <c r="CL85" s="274"/>
      <c r="CM85" s="19"/>
      <c r="CN85" s="19"/>
      <c r="CO85" s="19"/>
      <c r="CP85" s="19"/>
      <c r="CQ85" s="274"/>
      <c r="CR85" s="19"/>
      <c r="CS85" s="19"/>
      <c r="CT85" s="19"/>
      <c r="CU85" s="19"/>
      <c r="CV85" s="274"/>
      <c r="CW85" s="19"/>
      <c r="CX85" s="19"/>
      <c r="CY85" s="19"/>
      <c r="CZ85" s="19"/>
      <c r="DA85" s="274"/>
      <c r="DB85" s="19"/>
      <c r="DC85" s="19"/>
      <c r="DD85" s="19"/>
      <c r="DE85" s="19"/>
      <c r="DF85" s="274"/>
      <c r="DG85" s="19"/>
      <c r="DH85" s="19"/>
      <c r="DI85" s="19"/>
      <c r="DJ85" s="19"/>
      <c r="DK85" s="274"/>
      <c r="DL85" s="19"/>
      <c r="DM85" s="19"/>
      <c r="DN85" s="19"/>
      <c r="DO85" s="19"/>
      <c r="DP85" s="274"/>
      <c r="DQ85" s="19"/>
      <c r="DR85" s="19"/>
      <c r="DS85" s="19"/>
      <c r="DT85" s="19"/>
      <c r="DU85" s="274"/>
      <c r="DV85" s="19"/>
      <c r="DW85" s="19"/>
      <c r="DX85" s="19"/>
      <c r="DY85" s="19"/>
      <c r="DZ85" s="274"/>
      <c r="EA85" s="19"/>
      <c r="EB85" s="19"/>
      <c r="EC85" s="19"/>
      <c r="ED85" s="19"/>
      <c r="EE85" s="274"/>
      <c r="EF85" s="19"/>
      <c r="EG85" s="19"/>
      <c r="EH85" s="19"/>
      <c r="EI85" s="19"/>
      <c r="EJ85" s="274"/>
      <c r="EK85" s="19"/>
      <c r="EL85" s="19"/>
      <c r="EO85" s="244"/>
      <c r="EP85" s="451"/>
      <c r="EQ85" s="451"/>
    </row>
    <row r="86" spans="4:147" x14ac:dyDescent="0.2">
      <c r="D86" s="244" t="s">
        <v>357</v>
      </c>
      <c r="E86" s="82"/>
      <c r="G86" s="19">
        <f>SUM(G87:G87)</f>
        <v>0</v>
      </c>
      <c r="H86" s="19"/>
      <c r="I86" s="19"/>
      <c r="J86" s="274"/>
      <c r="L86" s="19">
        <f>SUM(L87:L87)</f>
        <v>0</v>
      </c>
      <c r="M86" s="19"/>
      <c r="N86" s="19"/>
      <c r="O86" s="274"/>
      <c r="P86" s="19"/>
      <c r="Q86" s="19">
        <f>SUM(Q87:Q87)</f>
        <v>0</v>
      </c>
      <c r="R86" s="19"/>
      <c r="S86" s="19"/>
      <c r="T86" s="274"/>
      <c r="U86" s="19"/>
      <c r="V86" s="19">
        <f>SUM(V87:V87)</f>
        <v>0</v>
      </c>
      <c r="W86" s="19"/>
      <c r="X86" s="19"/>
      <c r="Y86" s="274"/>
      <c r="Z86" s="19"/>
      <c r="AA86" s="19">
        <f>SUM(AA87:AA87)</f>
        <v>0</v>
      </c>
      <c r="AB86" s="19"/>
      <c r="AC86" s="19"/>
      <c r="AD86" s="274"/>
      <c r="AE86" s="19"/>
      <c r="AF86" s="19">
        <f>SUM(AF87:AF87)</f>
        <v>0</v>
      </c>
      <c r="AG86" s="19"/>
      <c r="AH86" s="19"/>
      <c r="AI86" s="274"/>
      <c r="AJ86" s="19"/>
      <c r="AK86" s="19">
        <f>SUM(AK87:AK87)</f>
        <v>0</v>
      </c>
      <c r="AL86" s="19"/>
      <c r="AM86" s="19"/>
      <c r="AN86" s="274"/>
      <c r="AO86" s="19"/>
      <c r="AP86" s="19">
        <f>SUM(AP87:AP87)</f>
        <v>0</v>
      </c>
      <c r="AQ86" s="19"/>
      <c r="AR86" s="19"/>
      <c r="AS86" s="274"/>
      <c r="AT86" s="19"/>
      <c r="AU86" s="19">
        <f>SUM(AU87:AU87)</f>
        <v>0</v>
      </c>
      <c r="AV86" s="19"/>
      <c r="AW86" s="19"/>
      <c r="AX86" s="274"/>
      <c r="AY86" s="19"/>
      <c r="AZ86" s="19">
        <f>SUM(AZ87:AZ87)</f>
        <v>0</v>
      </c>
      <c r="BA86" s="19"/>
      <c r="BB86" s="19"/>
      <c r="BC86" s="274"/>
      <c r="BD86" s="19"/>
      <c r="BE86" s="19">
        <f>SUM(BE87:BE87)</f>
        <v>0</v>
      </c>
      <c r="BF86" s="19"/>
      <c r="BG86" s="19"/>
      <c r="BH86" s="274"/>
      <c r="BI86" s="19"/>
      <c r="BJ86" s="19">
        <f>SUM(BJ87:BJ87)</f>
        <v>53426</v>
      </c>
      <c r="BK86" s="19"/>
      <c r="BL86" s="19"/>
      <c r="BM86" s="274"/>
      <c r="BN86" s="19"/>
      <c r="BO86" s="19">
        <f>SUM(BO87:BO87)</f>
        <v>119111</v>
      </c>
      <c r="BP86" s="19"/>
      <c r="BQ86" s="19"/>
      <c r="BR86" s="274"/>
      <c r="BT86" s="19">
        <f>SUM(BT87:BT87)</f>
        <v>172537</v>
      </c>
      <c r="BU86" s="19"/>
      <c r="BV86" s="19"/>
      <c r="BW86" s="274"/>
      <c r="BY86" s="19">
        <f>SUM(BY87:BY87)</f>
        <v>183582</v>
      </c>
      <c r="BZ86" s="19"/>
      <c r="CA86" s="19"/>
      <c r="CB86" s="274"/>
      <c r="CD86" s="19">
        <f>SUM(CD87:CD87)</f>
        <v>0</v>
      </c>
      <c r="CE86" s="19"/>
      <c r="CF86" s="19"/>
      <c r="CG86" s="274"/>
      <c r="CH86" s="19"/>
      <c r="CI86" s="19">
        <f>SUM(CI87:CI87)</f>
        <v>0</v>
      </c>
      <c r="CJ86" s="19"/>
      <c r="CK86" s="19"/>
      <c r="CL86" s="274"/>
      <c r="CM86" s="19"/>
      <c r="CN86" s="19">
        <f>SUM(CN87:CN87)</f>
        <v>0</v>
      </c>
      <c r="CO86" s="19"/>
      <c r="CP86" s="19"/>
      <c r="CQ86" s="274"/>
      <c r="CR86" s="19"/>
      <c r="CS86" s="19">
        <f>SUM(CS87:CS87)</f>
        <v>0</v>
      </c>
      <c r="CT86" s="19"/>
      <c r="CU86" s="19"/>
      <c r="CV86" s="274"/>
      <c r="CW86" s="19"/>
      <c r="CX86" s="19">
        <f>SUM(CX87:CX87)</f>
        <v>0</v>
      </c>
      <c r="CY86" s="19"/>
      <c r="CZ86" s="19"/>
      <c r="DA86" s="274"/>
      <c r="DB86" s="19"/>
      <c r="DC86" s="19">
        <f>SUM(DC87:DC87)</f>
        <v>119455</v>
      </c>
      <c r="DD86" s="19"/>
      <c r="DE86" s="19"/>
      <c r="DF86" s="274"/>
      <c r="DG86" s="19"/>
      <c r="DH86" s="19">
        <f>SUM(DH87:DH87)</f>
        <v>0</v>
      </c>
      <c r="DI86" s="19"/>
      <c r="DJ86" s="19"/>
      <c r="DK86" s="274"/>
      <c r="DL86" s="19"/>
      <c r="DM86" s="19">
        <f>SUM(DM87:DM87)</f>
        <v>64127</v>
      </c>
      <c r="DN86" s="19"/>
      <c r="DO86" s="19"/>
      <c r="DP86" s="274"/>
      <c r="DQ86" s="19"/>
      <c r="DR86" s="19">
        <f>SUM(DR87:DR87)</f>
        <v>0</v>
      </c>
      <c r="DS86" s="19"/>
      <c r="DT86" s="19"/>
      <c r="DU86" s="274"/>
      <c r="DV86" s="19"/>
      <c r="DW86" s="19">
        <f>SUM(DW87:DW87)</f>
        <v>0</v>
      </c>
      <c r="DX86" s="19"/>
      <c r="DY86" s="19"/>
      <c r="DZ86" s="274"/>
      <c r="EA86" s="19"/>
      <c r="EB86" s="19">
        <f>SUM(EB87:EB87)</f>
        <v>0</v>
      </c>
      <c r="EC86" s="19"/>
      <c r="ED86" s="19"/>
      <c r="EE86" s="274"/>
      <c r="EF86" s="19"/>
      <c r="EG86" s="19">
        <f>SUM(EG87:EG87)</f>
        <v>0</v>
      </c>
      <c r="EH86" s="19"/>
      <c r="EI86" s="19"/>
      <c r="EJ86" s="274"/>
      <c r="EL86" s="19">
        <f>SUM(EL87:EL87)</f>
        <v>183582</v>
      </c>
      <c r="EM86" s="19"/>
      <c r="EO86" s="244"/>
      <c r="EP86" s="451"/>
      <c r="EQ86" s="451"/>
    </row>
    <row r="87" spans="4:147" x14ac:dyDescent="0.2">
      <c r="D87" s="244" t="s">
        <v>344</v>
      </c>
      <c r="E87" s="82"/>
      <c r="F87" s="91"/>
      <c r="G87" s="81">
        <v>0</v>
      </c>
      <c r="H87" s="49"/>
      <c r="I87" s="19"/>
      <c r="J87" s="274"/>
      <c r="K87" s="91"/>
      <c r="L87" s="81">
        <v>0</v>
      </c>
      <c r="M87" s="49"/>
      <c r="N87" s="19"/>
      <c r="O87" s="274"/>
      <c r="P87" s="48"/>
      <c r="Q87" s="81">
        <v>0</v>
      </c>
      <c r="R87" s="49"/>
      <c r="S87" s="19"/>
      <c r="T87" s="274"/>
      <c r="U87" s="48"/>
      <c r="V87" s="81">
        <v>0</v>
      </c>
      <c r="W87" s="49"/>
      <c r="X87" s="19"/>
      <c r="Y87" s="274"/>
      <c r="Z87" s="48"/>
      <c r="AA87" s="81">
        <v>0</v>
      </c>
      <c r="AB87" s="49"/>
      <c r="AC87" s="19"/>
      <c r="AD87" s="274"/>
      <c r="AE87" s="48"/>
      <c r="AF87" s="81">
        <v>0</v>
      </c>
      <c r="AG87" s="49"/>
      <c r="AH87" s="19"/>
      <c r="AI87" s="274"/>
      <c r="AJ87" s="48"/>
      <c r="AK87" s="81">
        <v>0</v>
      </c>
      <c r="AL87" s="49"/>
      <c r="AM87" s="19"/>
      <c r="AN87" s="274"/>
      <c r="AO87" s="48"/>
      <c r="AP87" s="81">
        <v>0</v>
      </c>
      <c r="AQ87" s="49"/>
      <c r="AR87" s="19"/>
      <c r="AS87" s="274"/>
      <c r="AT87" s="48"/>
      <c r="AU87" s="81">
        <v>0</v>
      </c>
      <c r="AV87" s="49"/>
      <c r="AW87" s="19"/>
      <c r="AX87" s="274"/>
      <c r="AY87" s="48"/>
      <c r="AZ87" s="81">
        <v>0</v>
      </c>
      <c r="BA87" s="49"/>
      <c r="BB87" s="19"/>
      <c r="BC87" s="274"/>
      <c r="BD87" s="48"/>
      <c r="BE87" s="81">
        <v>0</v>
      </c>
      <c r="BF87" s="49"/>
      <c r="BG87" s="19"/>
      <c r="BH87" s="274"/>
      <c r="BI87" s="48"/>
      <c r="BJ87" s="81">
        <v>53426</v>
      </c>
      <c r="BK87" s="49"/>
      <c r="BL87" s="19"/>
      <c r="BM87" s="274"/>
      <c r="BN87" s="48"/>
      <c r="BO87" s="81">
        <v>119111</v>
      </c>
      <c r="BP87" s="49"/>
      <c r="BQ87" s="19"/>
      <c r="BR87" s="274"/>
      <c r="BS87" s="48"/>
      <c r="BT87" s="81">
        <f>SUM(L87:BO87)</f>
        <v>172537</v>
      </c>
      <c r="BU87" s="49"/>
      <c r="BV87" s="19"/>
      <c r="BW87" s="274"/>
      <c r="BX87" s="91"/>
      <c r="BY87" s="81">
        <v>183582</v>
      </c>
      <c r="BZ87" s="49"/>
      <c r="CA87" s="19"/>
      <c r="CB87" s="274"/>
      <c r="CC87" s="91"/>
      <c r="CD87" s="81">
        <v>0</v>
      </c>
      <c r="CE87" s="49"/>
      <c r="CF87" s="19"/>
      <c r="CG87" s="274"/>
      <c r="CH87" s="48"/>
      <c r="CI87" s="81">
        <v>0</v>
      </c>
      <c r="CJ87" s="49"/>
      <c r="CK87" s="19"/>
      <c r="CL87" s="274"/>
      <c r="CM87" s="48"/>
      <c r="CN87" s="81">
        <v>0</v>
      </c>
      <c r="CO87" s="49"/>
      <c r="CP87" s="19"/>
      <c r="CQ87" s="274"/>
      <c r="CR87" s="48"/>
      <c r="CS87" s="81">
        <v>0</v>
      </c>
      <c r="CT87" s="49"/>
      <c r="CU87" s="19"/>
      <c r="CV87" s="274"/>
      <c r="CW87" s="48"/>
      <c r="CX87" s="81">
        <v>0</v>
      </c>
      <c r="CY87" s="49"/>
      <c r="CZ87" s="19"/>
      <c r="DA87" s="274"/>
      <c r="DB87" s="48"/>
      <c r="DC87" s="81">
        <v>119455</v>
      </c>
      <c r="DD87" s="49"/>
      <c r="DE87" s="19"/>
      <c r="DF87" s="274"/>
      <c r="DG87" s="48"/>
      <c r="DH87" s="81">
        <v>0</v>
      </c>
      <c r="DI87" s="49"/>
      <c r="DJ87" s="19"/>
      <c r="DK87" s="274"/>
      <c r="DL87" s="48"/>
      <c r="DM87" s="81">
        <v>64127</v>
      </c>
      <c r="DN87" s="49"/>
      <c r="DO87" s="19"/>
      <c r="DP87" s="274"/>
      <c r="DQ87" s="48"/>
      <c r="DR87" s="81">
        <v>0</v>
      </c>
      <c r="DS87" s="49"/>
      <c r="DT87" s="19"/>
      <c r="DU87" s="274"/>
      <c r="DV87" s="48"/>
      <c r="DW87" s="81">
        <v>0</v>
      </c>
      <c r="DX87" s="49"/>
      <c r="DY87" s="19"/>
      <c r="DZ87" s="274"/>
      <c r="EA87" s="48"/>
      <c r="EB87" s="81">
        <v>0</v>
      </c>
      <c r="EC87" s="49"/>
      <c r="ED87" s="19"/>
      <c r="EE87" s="274"/>
      <c r="EF87" s="48"/>
      <c r="EG87" s="81">
        <v>0</v>
      </c>
      <c r="EH87" s="49"/>
      <c r="EI87" s="19"/>
      <c r="EJ87" s="274"/>
      <c r="EK87" s="91"/>
      <c r="EL87" s="81">
        <f>SUM(CD87:EG87)</f>
        <v>183582</v>
      </c>
      <c r="EM87" s="49"/>
      <c r="EO87" s="244"/>
      <c r="EP87" s="451"/>
      <c r="EQ87" s="451"/>
    </row>
    <row r="88" spans="4:147" hidden="1" x14ac:dyDescent="0.2">
      <c r="D88" s="244"/>
      <c r="E88" s="82"/>
      <c r="G88" s="19"/>
      <c r="H88" s="19"/>
      <c r="I88" s="19"/>
      <c r="J88" s="274"/>
      <c r="K88" s="19"/>
      <c r="L88" s="19"/>
      <c r="M88" s="19"/>
      <c r="N88" s="19"/>
      <c r="O88" s="274"/>
      <c r="P88" s="19"/>
      <c r="Q88" s="19"/>
      <c r="R88" s="19"/>
      <c r="S88" s="19"/>
      <c r="T88" s="274"/>
      <c r="U88" s="19"/>
      <c r="V88" s="19"/>
      <c r="W88" s="19"/>
      <c r="X88" s="19"/>
      <c r="Y88" s="274"/>
      <c r="Z88" s="19"/>
      <c r="AA88" s="19"/>
      <c r="AB88" s="19"/>
      <c r="AC88" s="19"/>
      <c r="AD88" s="274"/>
      <c r="AE88" s="19"/>
      <c r="AF88" s="19"/>
      <c r="AG88" s="19"/>
      <c r="AH88" s="19"/>
      <c r="AI88" s="274"/>
      <c r="AJ88" s="19"/>
      <c r="AK88" s="19"/>
      <c r="AL88" s="19"/>
      <c r="AM88" s="19"/>
      <c r="AN88" s="274"/>
      <c r="AO88" s="19"/>
      <c r="AP88" s="19"/>
      <c r="AQ88" s="19"/>
      <c r="AR88" s="19"/>
      <c r="AS88" s="274"/>
      <c r="AT88" s="19"/>
      <c r="AU88" s="19"/>
      <c r="AV88" s="19"/>
      <c r="AW88" s="19"/>
      <c r="AX88" s="274"/>
      <c r="AY88" s="19"/>
      <c r="AZ88" s="19"/>
      <c r="BA88" s="19"/>
      <c r="BB88" s="19"/>
      <c r="BC88" s="274"/>
      <c r="BD88" s="19"/>
      <c r="BE88" s="19"/>
      <c r="BF88" s="19"/>
      <c r="BG88" s="19"/>
      <c r="BH88" s="274"/>
      <c r="BI88" s="19"/>
      <c r="BJ88" s="19"/>
      <c r="BK88" s="19"/>
      <c r="BL88" s="19"/>
      <c r="BM88" s="274"/>
      <c r="BN88" s="19"/>
      <c r="BO88" s="19"/>
      <c r="BP88" s="19"/>
      <c r="BQ88" s="19"/>
      <c r="BR88" s="274"/>
      <c r="BS88" s="19"/>
      <c r="BT88" s="19"/>
      <c r="BU88" s="19"/>
      <c r="BV88" s="19"/>
      <c r="BW88" s="274"/>
      <c r="BX88" s="19"/>
      <c r="BY88" s="19"/>
      <c r="BZ88" s="19"/>
      <c r="CA88" s="19"/>
      <c r="CB88" s="274"/>
      <c r="CC88" s="19"/>
      <c r="CD88" s="19"/>
      <c r="CE88" s="19"/>
      <c r="CF88" s="19"/>
      <c r="CG88" s="274"/>
      <c r="CH88" s="19"/>
      <c r="CI88" s="19"/>
      <c r="CJ88" s="19"/>
      <c r="CK88" s="19"/>
      <c r="CL88" s="274"/>
      <c r="CM88" s="19"/>
      <c r="CN88" s="19"/>
      <c r="CO88" s="19"/>
      <c r="CP88" s="19"/>
      <c r="CQ88" s="274"/>
      <c r="CR88" s="19"/>
      <c r="CS88" s="19"/>
      <c r="CT88" s="19"/>
      <c r="CU88" s="19"/>
      <c r="CV88" s="274"/>
      <c r="CW88" s="19"/>
      <c r="CX88" s="19"/>
      <c r="CY88" s="19"/>
      <c r="CZ88" s="19"/>
      <c r="DA88" s="274"/>
      <c r="DB88" s="19"/>
      <c r="DC88" s="19"/>
      <c r="DD88" s="19"/>
      <c r="DE88" s="19"/>
      <c r="DF88" s="274"/>
      <c r="DG88" s="19"/>
      <c r="DH88" s="19"/>
      <c r="DI88" s="19"/>
      <c r="DJ88" s="19"/>
      <c r="DK88" s="274"/>
      <c r="DL88" s="19"/>
      <c r="DM88" s="19"/>
      <c r="DN88" s="19"/>
      <c r="DO88" s="19"/>
      <c r="DP88" s="274"/>
      <c r="DQ88" s="19"/>
      <c r="DR88" s="19"/>
      <c r="DS88" s="19"/>
      <c r="DT88" s="19"/>
      <c r="DU88" s="274"/>
      <c r="DV88" s="19"/>
      <c r="DW88" s="19"/>
      <c r="DX88" s="19"/>
      <c r="DY88" s="19"/>
      <c r="DZ88" s="274"/>
      <c r="EA88" s="19"/>
      <c r="EB88" s="19"/>
      <c r="EC88" s="19"/>
      <c r="ED88" s="19"/>
      <c r="EE88" s="274"/>
      <c r="EF88" s="19"/>
      <c r="EG88" s="19"/>
      <c r="EH88" s="19"/>
      <c r="EI88" s="19"/>
      <c r="EJ88" s="274"/>
      <c r="EK88" s="19"/>
      <c r="EL88" s="19"/>
      <c r="EO88" s="244"/>
      <c r="EP88" s="451"/>
      <c r="EQ88" s="451"/>
    </row>
    <row r="89" spans="4:147" hidden="1" x14ac:dyDescent="0.2">
      <c r="D89" s="244" t="str">
        <f>[51]domlongtermissues!D310:D310</f>
        <v xml:space="preserve">  R2037  (8.50%  2037/01/31)</v>
      </c>
      <c r="E89" s="82"/>
      <c r="G89" s="19">
        <f>SUM(G90:G90)</f>
        <v>0</v>
      </c>
      <c r="H89" s="19"/>
      <c r="I89" s="19"/>
      <c r="J89" s="274"/>
      <c r="K89" s="19"/>
      <c r="L89" s="19">
        <f>SUM(L90:L90)</f>
        <v>0</v>
      </c>
      <c r="M89" s="19"/>
      <c r="N89" s="19"/>
      <c r="O89" s="274"/>
      <c r="P89" s="19"/>
      <c r="Q89" s="19">
        <f>SUM(Q90:Q90)</f>
        <v>0</v>
      </c>
      <c r="R89" s="19"/>
      <c r="S89" s="19"/>
      <c r="T89" s="274"/>
      <c r="U89" s="19"/>
      <c r="V89" s="19">
        <f>SUM(V90:V90)</f>
        <v>0</v>
      </c>
      <c r="W89" s="19"/>
      <c r="X89" s="19"/>
      <c r="Y89" s="274"/>
      <c r="Z89" s="19"/>
      <c r="AA89" s="19">
        <f>SUM(AA90:AA90)</f>
        <v>0</v>
      </c>
      <c r="AB89" s="19"/>
      <c r="AC89" s="19"/>
      <c r="AD89" s="274"/>
      <c r="AE89" s="19"/>
      <c r="AF89" s="19">
        <f>SUM(AF90:AF90)</f>
        <v>0</v>
      </c>
      <c r="AG89" s="19"/>
      <c r="AH89" s="19"/>
      <c r="AI89" s="274"/>
      <c r="AJ89" s="19"/>
      <c r="AK89" s="19">
        <f>SUM(AK90:AK90)</f>
        <v>0</v>
      </c>
      <c r="AL89" s="19"/>
      <c r="AM89" s="19"/>
      <c r="AN89" s="274"/>
      <c r="AO89" s="19"/>
      <c r="AP89" s="19">
        <f>SUM(AP90:AP90)</f>
        <v>0</v>
      </c>
      <c r="AQ89" s="19"/>
      <c r="AR89" s="19"/>
      <c r="AS89" s="274"/>
      <c r="AT89" s="19"/>
      <c r="AU89" s="19">
        <f>SUM(AU90:AU90)</f>
        <v>0</v>
      </c>
      <c r="AV89" s="19"/>
      <c r="AW89" s="19"/>
      <c r="AX89" s="274"/>
      <c r="AY89" s="19"/>
      <c r="AZ89" s="19">
        <f>SUM(AZ90:AZ90)</f>
        <v>0</v>
      </c>
      <c r="BA89" s="19"/>
      <c r="BB89" s="19"/>
      <c r="BC89" s="274"/>
      <c r="BD89" s="19"/>
      <c r="BE89" s="19">
        <f>SUM(BE90:BE90)</f>
        <v>0</v>
      </c>
      <c r="BF89" s="19"/>
      <c r="BG89" s="19"/>
      <c r="BH89" s="274"/>
      <c r="BI89" s="19"/>
      <c r="BJ89" s="19">
        <f>SUM(BJ90:BJ90)</f>
        <v>0</v>
      </c>
      <c r="BK89" s="19"/>
      <c r="BL89" s="19"/>
      <c r="BM89" s="274"/>
      <c r="BN89" s="19"/>
      <c r="BO89" s="19">
        <f>SUM(BO90:BO90)</f>
        <v>0</v>
      </c>
      <c r="BP89" s="19"/>
      <c r="BQ89" s="19"/>
      <c r="BR89" s="274"/>
      <c r="BS89" s="19"/>
      <c r="BT89" s="19">
        <f>SUM(BT90:BT90)</f>
        <v>0</v>
      </c>
      <c r="BU89" s="19"/>
      <c r="BV89" s="19"/>
      <c r="BW89" s="274"/>
      <c r="BX89" s="19"/>
      <c r="BY89" s="19">
        <f>SUM(BY90:BY90)</f>
        <v>0</v>
      </c>
      <c r="BZ89" s="19"/>
      <c r="CA89" s="19"/>
      <c r="CB89" s="274"/>
      <c r="CC89" s="19"/>
      <c r="CD89" s="19">
        <f>SUM(CD90:CD90)</f>
        <v>0</v>
      </c>
      <c r="CE89" s="19"/>
      <c r="CF89" s="19"/>
      <c r="CG89" s="274"/>
      <c r="CH89" s="19"/>
      <c r="CI89" s="19">
        <f>SUM(CI90:CI90)</f>
        <v>0</v>
      </c>
      <c r="CJ89" s="19"/>
      <c r="CK89" s="19"/>
      <c r="CL89" s="274"/>
      <c r="CM89" s="19"/>
      <c r="CN89" s="19">
        <f>SUM(CN90:CN90)</f>
        <v>0</v>
      </c>
      <c r="CO89" s="19"/>
      <c r="CP89" s="19"/>
      <c r="CQ89" s="274"/>
      <c r="CR89" s="19"/>
      <c r="CS89" s="19">
        <f>SUM(CS90:CS90)</f>
        <v>0</v>
      </c>
      <c r="CT89" s="19"/>
      <c r="CU89" s="19"/>
      <c r="CV89" s="274"/>
      <c r="CW89" s="19"/>
      <c r="CX89" s="19">
        <f>SUM(CX90:CX90)</f>
        <v>0</v>
      </c>
      <c r="CY89" s="19"/>
      <c r="CZ89" s="19"/>
      <c r="DA89" s="274"/>
      <c r="DB89" s="19"/>
      <c r="DC89" s="19">
        <f>SUM(DC90:DC90)</f>
        <v>0</v>
      </c>
      <c r="DD89" s="19"/>
      <c r="DE89" s="19"/>
      <c r="DF89" s="274"/>
      <c r="DG89" s="19"/>
      <c r="DH89" s="19">
        <f>SUM(DH90:DH90)</f>
        <v>0</v>
      </c>
      <c r="DI89" s="19"/>
      <c r="DJ89" s="19"/>
      <c r="DK89" s="274"/>
      <c r="DL89" s="19"/>
      <c r="DM89" s="19">
        <f>SUM(DM90:DM90)</f>
        <v>0</v>
      </c>
      <c r="DN89" s="19"/>
      <c r="DO89" s="19"/>
      <c r="DP89" s="274"/>
      <c r="DQ89" s="19"/>
      <c r="DR89" s="19">
        <f>SUM(DR90:DR90)</f>
        <v>0</v>
      </c>
      <c r="DS89" s="19"/>
      <c r="DT89" s="19"/>
      <c r="DU89" s="274"/>
      <c r="DV89" s="19"/>
      <c r="DW89" s="19">
        <f>SUM(DW90:DW90)</f>
        <v>0</v>
      </c>
      <c r="DX89" s="19"/>
      <c r="DY89" s="19"/>
      <c r="DZ89" s="274"/>
      <c r="EA89" s="19"/>
      <c r="EB89" s="19">
        <f>SUM(EB90:EB90)</f>
        <v>0</v>
      </c>
      <c r="EC89" s="19"/>
      <c r="ED89" s="19"/>
      <c r="EE89" s="274"/>
      <c r="EF89" s="19"/>
      <c r="EG89" s="19">
        <f>SUM(EG90:EG90)</f>
        <v>0</v>
      </c>
      <c r="EH89" s="19"/>
      <c r="EI89" s="19"/>
      <c r="EJ89" s="274"/>
      <c r="EK89" s="19"/>
      <c r="EL89" s="19">
        <f>SUM(EL90:EL90)</f>
        <v>0</v>
      </c>
      <c r="EO89" s="244"/>
      <c r="EP89" s="451"/>
      <c r="EQ89" s="451"/>
    </row>
    <row r="90" spans="4:147" hidden="1" x14ac:dyDescent="0.2">
      <c r="D90" s="244" t="s">
        <v>344</v>
      </c>
      <c r="E90" s="82"/>
      <c r="F90" s="91"/>
      <c r="G90" s="81">
        <v>0</v>
      </c>
      <c r="H90" s="49"/>
      <c r="I90" s="19"/>
      <c r="J90" s="274"/>
      <c r="K90" s="48"/>
      <c r="L90" s="81">
        <v>0</v>
      </c>
      <c r="M90" s="49"/>
      <c r="N90" s="19"/>
      <c r="O90" s="274"/>
      <c r="P90" s="48"/>
      <c r="Q90" s="81">
        <v>0</v>
      </c>
      <c r="R90" s="49"/>
      <c r="S90" s="19"/>
      <c r="T90" s="274"/>
      <c r="U90" s="48"/>
      <c r="V90" s="81">
        <v>0</v>
      </c>
      <c r="W90" s="49"/>
      <c r="X90" s="19"/>
      <c r="Y90" s="274"/>
      <c r="Z90" s="48"/>
      <c r="AA90" s="81">
        <v>0</v>
      </c>
      <c r="AB90" s="49"/>
      <c r="AC90" s="19"/>
      <c r="AD90" s="274"/>
      <c r="AE90" s="48"/>
      <c r="AF90" s="81">
        <v>0</v>
      </c>
      <c r="AG90" s="49"/>
      <c r="AH90" s="19"/>
      <c r="AI90" s="274"/>
      <c r="AJ90" s="48"/>
      <c r="AK90" s="81">
        <v>0</v>
      </c>
      <c r="AL90" s="49"/>
      <c r="AM90" s="19"/>
      <c r="AN90" s="274"/>
      <c r="AO90" s="48"/>
      <c r="AP90" s="81">
        <v>0</v>
      </c>
      <c r="AQ90" s="49"/>
      <c r="AR90" s="19"/>
      <c r="AS90" s="274"/>
      <c r="AT90" s="48"/>
      <c r="AU90" s="81">
        <v>0</v>
      </c>
      <c r="AV90" s="49"/>
      <c r="AW90" s="19"/>
      <c r="AX90" s="274"/>
      <c r="AY90" s="48"/>
      <c r="AZ90" s="81">
        <v>0</v>
      </c>
      <c r="BA90" s="49"/>
      <c r="BB90" s="19"/>
      <c r="BC90" s="274"/>
      <c r="BD90" s="48"/>
      <c r="BE90" s="81">
        <v>0</v>
      </c>
      <c r="BF90" s="49"/>
      <c r="BG90" s="19"/>
      <c r="BH90" s="274"/>
      <c r="BI90" s="48"/>
      <c r="BJ90" s="81">
        <v>0</v>
      </c>
      <c r="BK90" s="49"/>
      <c r="BL90" s="19"/>
      <c r="BM90" s="274"/>
      <c r="BN90" s="48"/>
      <c r="BO90" s="81">
        <v>0</v>
      </c>
      <c r="BP90" s="49"/>
      <c r="BQ90" s="19"/>
      <c r="BR90" s="274"/>
      <c r="BS90" s="48"/>
      <c r="BT90" s="81">
        <f>SUM(L90:BO90)</f>
        <v>0</v>
      </c>
      <c r="BU90" s="49"/>
      <c r="BV90" s="19"/>
      <c r="BW90" s="274"/>
      <c r="BX90" s="48"/>
      <c r="BY90" s="81">
        <v>0</v>
      </c>
      <c r="BZ90" s="49"/>
      <c r="CA90" s="19"/>
      <c r="CB90" s="274"/>
      <c r="CC90" s="48"/>
      <c r="CD90" s="81">
        <v>0</v>
      </c>
      <c r="CE90" s="49"/>
      <c r="CF90" s="19"/>
      <c r="CG90" s="274"/>
      <c r="CH90" s="48"/>
      <c r="CI90" s="81">
        <v>0</v>
      </c>
      <c r="CJ90" s="49"/>
      <c r="CK90" s="19"/>
      <c r="CL90" s="274"/>
      <c r="CM90" s="48"/>
      <c r="CN90" s="81">
        <v>0</v>
      </c>
      <c r="CO90" s="49"/>
      <c r="CP90" s="19"/>
      <c r="CQ90" s="274"/>
      <c r="CR90" s="48"/>
      <c r="CS90" s="81">
        <v>0</v>
      </c>
      <c r="CT90" s="49"/>
      <c r="CU90" s="19"/>
      <c r="CV90" s="274"/>
      <c r="CW90" s="48"/>
      <c r="CX90" s="81">
        <v>0</v>
      </c>
      <c r="CY90" s="49"/>
      <c r="CZ90" s="19"/>
      <c r="DA90" s="274"/>
      <c r="DB90" s="48"/>
      <c r="DC90" s="81">
        <v>0</v>
      </c>
      <c r="DD90" s="49"/>
      <c r="DE90" s="19"/>
      <c r="DF90" s="274"/>
      <c r="DG90" s="48"/>
      <c r="DH90" s="81">
        <v>0</v>
      </c>
      <c r="DI90" s="49"/>
      <c r="DJ90" s="19"/>
      <c r="DK90" s="274"/>
      <c r="DL90" s="48"/>
      <c r="DM90" s="81">
        <v>0</v>
      </c>
      <c r="DN90" s="49"/>
      <c r="DO90" s="19"/>
      <c r="DP90" s="274"/>
      <c r="DQ90" s="48"/>
      <c r="DR90" s="81">
        <v>0</v>
      </c>
      <c r="DS90" s="49"/>
      <c r="DT90" s="19"/>
      <c r="DU90" s="274"/>
      <c r="DV90" s="48"/>
      <c r="DW90" s="81">
        <v>0</v>
      </c>
      <c r="DX90" s="49"/>
      <c r="DY90" s="19"/>
      <c r="DZ90" s="274"/>
      <c r="EA90" s="48"/>
      <c r="EB90" s="81">
        <v>0</v>
      </c>
      <c r="EC90" s="49"/>
      <c r="ED90" s="19"/>
      <c r="EE90" s="274"/>
      <c r="EF90" s="48"/>
      <c r="EG90" s="81">
        <v>0</v>
      </c>
      <c r="EH90" s="49"/>
      <c r="EI90" s="19"/>
      <c r="EJ90" s="274"/>
      <c r="EK90" s="48"/>
      <c r="EL90" s="81">
        <f>SUM(CD90:DM90)</f>
        <v>0</v>
      </c>
      <c r="EM90" s="100"/>
      <c r="EO90" s="244"/>
      <c r="EP90" s="451"/>
      <c r="EQ90" s="451"/>
    </row>
    <row r="91" spans="4:147" x14ac:dyDescent="0.2">
      <c r="D91" s="244"/>
      <c r="E91" s="82"/>
      <c r="G91" s="19"/>
      <c r="H91" s="19"/>
      <c r="I91" s="19"/>
      <c r="J91" s="274"/>
      <c r="K91" s="19"/>
      <c r="L91" s="19"/>
      <c r="M91" s="19"/>
      <c r="N91" s="19"/>
      <c r="O91" s="274"/>
      <c r="P91" s="19"/>
      <c r="Q91" s="19"/>
      <c r="R91" s="19"/>
      <c r="S91" s="19"/>
      <c r="T91" s="274"/>
      <c r="U91" s="19"/>
      <c r="V91" s="19"/>
      <c r="W91" s="19"/>
      <c r="X91" s="19"/>
      <c r="Y91" s="274"/>
      <c r="Z91" s="19"/>
      <c r="AA91" s="19"/>
      <c r="AB91" s="19"/>
      <c r="AC91" s="19"/>
      <c r="AD91" s="274"/>
      <c r="AE91" s="19"/>
      <c r="AF91" s="19"/>
      <c r="AG91" s="19"/>
      <c r="AH91" s="19"/>
      <c r="AI91" s="274"/>
      <c r="AJ91" s="19"/>
      <c r="AK91" s="19"/>
      <c r="AL91" s="19"/>
      <c r="AM91" s="19"/>
      <c r="AN91" s="274"/>
      <c r="AO91" s="19"/>
      <c r="AP91" s="19"/>
      <c r="AQ91" s="19"/>
      <c r="AR91" s="19"/>
      <c r="AS91" s="274"/>
      <c r="AT91" s="19"/>
      <c r="AU91" s="19"/>
      <c r="AV91" s="19"/>
      <c r="AW91" s="19"/>
      <c r="AX91" s="274"/>
      <c r="AY91" s="19"/>
      <c r="AZ91" s="19"/>
      <c r="BA91" s="19"/>
      <c r="BB91" s="19"/>
      <c r="BC91" s="274"/>
      <c r="BD91" s="19"/>
      <c r="BE91" s="19"/>
      <c r="BF91" s="19"/>
      <c r="BG91" s="19"/>
      <c r="BH91" s="274"/>
      <c r="BI91" s="19"/>
      <c r="BJ91" s="19"/>
      <c r="BK91" s="19"/>
      <c r="BL91" s="19"/>
      <c r="BM91" s="274"/>
      <c r="BN91" s="19"/>
      <c r="BO91" s="19"/>
      <c r="BP91" s="19"/>
      <c r="BQ91" s="19"/>
      <c r="BR91" s="274"/>
      <c r="BS91" s="19"/>
      <c r="BT91" s="19"/>
      <c r="BU91" s="19"/>
      <c r="BV91" s="19"/>
      <c r="BW91" s="274"/>
      <c r="BX91" s="19"/>
      <c r="BY91" s="19"/>
      <c r="BZ91" s="19"/>
      <c r="CA91" s="19"/>
      <c r="CB91" s="274"/>
      <c r="CC91" s="19"/>
      <c r="CD91" s="19"/>
      <c r="CE91" s="19"/>
      <c r="CF91" s="19"/>
      <c r="CG91" s="274"/>
      <c r="CH91" s="19"/>
      <c r="CI91" s="19"/>
      <c r="CJ91" s="19"/>
      <c r="CK91" s="19"/>
      <c r="CL91" s="274"/>
      <c r="CM91" s="19"/>
      <c r="CN91" s="19"/>
      <c r="CO91" s="19"/>
      <c r="CP91" s="19"/>
      <c r="CQ91" s="274"/>
      <c r="CR91" s="19"/>
      <c r="CS91" s="19"/>
      <c r="CT91" s="19"/>
      <c r="CU91" s="19"/>
      <c r="CV91" s="274"/>
      <c r="CW91" s="19"/>
      <c r="CX91" s="19"/>
      <c r="CY91" s="19"/>
      <c r="CZ91" s="19"/>
      <c r="DA91" s="274"/>
      <c r="DB91" s="19"/>
      <c r="DC91" s="19"/>
      <c r="DD91" s="19"/>
      <c r="DE91" s="19"/>
      <c r="DF91" s="274"/>
      <c r="DG91" s="19"/>
      <c r="DH91" s="19"/>
      <c r="DI91" s="19"/>
      <c r="DJ91" s="19"/>
      <c r="DK91" s="274"/>
      <c r="DL91" s="19"/>
      <c r="DM91" s="19"/>
      <c r="DN91" s="19"/>
      <c r="DO91" s="19"/>
      <c r="DP91" s="274"/>
      <c r="DQ91" s="19"/>
      <c r="DR91" s="19"/>
      <c r="DS91" s="19"/>
      <c r="DT91" s="19"/>
      <c r="DU91" s="274"/>
      <c r="DV91" s="19"/>
      <c r="DW91" s="19"/>
      <c r="DX91" s="19"/>
      <c r="DY91" s="19"/>
      <c r="DZ91" s="274"/>
      <c r="EA91" s="19"/>
      <c r="EB91" s="19"/>
      <c r="EC91" s="19"/>
      <c r="ED91" s="19"/>
      <c r="EE91" s="274"/>
      <c r="EF91" s="19"/>
      <c r="EG91" s="19"/>
      <c r="EH91" s="19"/>
      <c r="EI91" s="19"/>
      <c r="EJ91" s="274"/>
      <c r="EK91" s="19"/>
      <c r="EL91" s="19"/>
      <c r="EO91" s="244"/>
      <c r="EP91" s="451"/>
      <c r="EQ91" s="451"/>
    </row>
    <row r="92" spans="4:147" x14ac:dyDescent="0.2">
      <c r="D92" s="244" t="str">
        <f>[51]domlongtermissues!D307</f>
        <v xml:space="preserve">  R210 (2.60%  2028/03/31)</v>
      </c>
      <c r="E92" s="82"/>
      <c r="G92" s="19">
        <f>SUM(G93:G93)</f>
        <v>0</v>
      </c>
      <c r="H92" s="19"/>
      <c r="I92" s="19"/>
      <c r="J92" s="274"/>
      <c r="K92" s="19"/>
      <c r="L92" s="19">
        <f>SUM(L93:L93)</f>
        <v>0</v>
      </c>
      <c r="M92" s="19"/>
      <c r="N92" s="19"/>
      <c r="O92" s="274"/>
      <c r="P92" s="19"/>
      <c r="Q92" s="19">
        <f>SUM(Q93:Q93)</f>
        <v>0</v>
      </c>
      <c r="R92" s="19"/>
      <c r="S92" s="19"/>
      <c r="T92" s="274"/>
      <c r="U92" s="19"/>
      <c r="V92" s="19">
        <f>SUM(V93:V93)</f>
        <v>0</v>
      </c>
      <c r="W92" s="19"/>
      <c r="X92" s="19"/>
      <c r="Y92" s="274"/>
      <c r="Z92" s="19"/>
      <c r="AA92" s="19">
        <f>SUM(AA93:AA93)</f>
        <v>0</v>
      </c>
      <c r="AB92" s="19"/>
      <c r="AC92" s="19"/>
      <c r="AD92" s="274"/>
      <c r="AE92" s="19"/>
      <c r="AF92" s="19">
        <f>SUM(AF93:AF93)</f>
        <v>0</v>
      </c>
      <c r="AG92" s="19"/>
      <c r="AH92" s="19"/>
      <c r="AI92" s="274"/>
      <c r="AJ92" s="19"/>
      <c r="AK92" s="19">
        <f>SUM(AK93:AK93)</f>
        <v>0</v>
      </c>
      <c r="AL92" s="19"/>
      <c r="AM92" s="19"/>
      <c r="AN92" s="274"/>
      <c r="AO92" s="19"/>
      <c r="AP92" s="19">
        <f>SUM(AP93:AP93)</f>
        <v>0</v>
      </c>
      <c r="AQ92" s="19"/>
      <c r="AR92" s="19"/>
      <c r="AS92" s="274"/>
      <c r="AT92" s="19"/>
      <c r="AU92" s="19">
        <f>SUM(AU93:AU93)</f>
        <v>0</v>
      </c>
      <c r="AV92" s="19"/>
      <c r="AW92" s="19"/>
      <c r="AX92" s="274"/>
      <c r="AY92" s="19"/>
      <c r="AZ92" s="19">
        <f>SUM(AZ93:AZ93)</f>
        <v>0</v>
      </c>
      <c r="BA92" s="19"/>
      <c r="BB92" s="19"/>
      <c r="BC92" s="274"/>
      <c r="BD92" s="19"/>
      <c r="BE92" s="19">
        <f>SUM(BE93:BE93)</f>
        <v>0</v>
      </c>
      <c r="BF92" s="19"/>
      <c r="BG92" s="19"/>
      <c r="BH92" s="274"/>
      <c r="BI92" s="19"/>
      <c r="BJ92" s="19">
        <f>SUM(BJ93:BJ93)</f>
        <v>0</v>
      </c>
      <c r="BK92" s="19"/>
      <c r="BL92" s="19"/>
      <c r="BM92" s="274"/>
      <c r="BN92" s="19"/>
      <c r="BO92" s="19">
        <f>SUM(BO93:BO93)</f>
        <v>1018643</v>
      </c>
      <c r="BP92" s="19"/>
      <c r="BQ92" s="19"/>
      <c r="BR92" s="274"/>
      <c r="BS92" s="19"/>
      <c r="BT92" s="19">
        <f>SUM(BT93:BT93)</f>
        <v>1018643</v>
      </c>
      <c r="BU92" s="19"/>
      <c r="BV92" s="19"/>
      <c r="BW92" s="274"/>
      <c r="BX92" s="19"/>
      <c r="BY92" s="19">
        <f>SUM(BY93:BY93)</f>
        <v>0</v>
      </c>
      <c r="BZ92" s="19"/>
      <c r="CA92" s="19"/>
      <c r="CB92" s="274"/>
      <c r="CC92" s="19"/>
      <c r="CD92" s="19">
        <f>SUM(CD93:CD93)</f>
        <v>0</v>
      </c>
      <c r="CE92" s="19"/>
      <c r="CF92" s="19"/>
      <c r="CG92" s="274"/>
      <c r="CH92" s="19"/>
      <c r="CI92" s="19">
        <f>SUM(CI93:CI93)</f>
        <v>0</v>
      </c>
      <c r="CJ92" s="19"/>
      <c r="CK92" s="19"/>
      <c r="CL92" s="274"/>
      <c r="CM92" s="19"/>
      <c r="CN92" s="19">
        <f>SUM(CN93:CN93)</f>
        <v>0</v>
      </c>
      <c r="CO92" s="19"/>
      <c r="CP92" s="19"/>
      <c r="CQ92" s="274"/>
      <c r="CR92" s="19"/>
      <c r="CS92" s="19">
        <f>SUM(CS93:CS93)</f>
        <v>0</v>
      </c>
      <c r="CT92" s="19"/>
      <c r="CU92" s="19"/>
      <c r="CV92" s="274"/>
      <c r="CW92" s="19"/>
      <c r="CX92" s="19">
        <f>SUM(CX93:CX93)</f>
        <v>0</v>
      </c>
      <c r="CY92" s="19"/>
      <c r="CZ92" s="19"/>
      <c r="DA92" s="274"/>
      <c r="DB92" s="19"/>
      <c r="DC92" s="19">
        <f>SUM(DC93:DC93)</f>
        <v>0</v>
      </c>
      <c r="DD92" s="19"/>
      <c r="DE92" s="19"/>
      <c r="DF92" s="274"/>
      <c r="DG92" s="19"/>
      <c r="DH92" s="19">
        <f>SUM(DH93:DH93)</f>
        <v>0</v>
      </c>
      <c r="DI92" s="19"/>
      <c r="DJ92" s="19"/>
      <c r="DK92" s="274"/>
      <c r="DL92" s="19"/>
      <c r="DM92" s="19">
        <f>SUM(DM93:DM93)</f>
        <v>0</v>
      </c>
      <c r="DN92" s="19"/>
      <c r="DO92" s="19"/>
      <c r="DP92" s="274"/>
      <c r="DQ92" s="19"/>
      <c r="DR92" s="19">
        <f>SUM(DR93:DR93)</f>
        <v>0</v>
      </c>
      <c r="DS92" s="19"/>
      <c r="DT92" s="19"/>
      <c r="DU92" s="274"/>
      <c r="DV92" s="19"/>
      <c r="DW92" s="19">
        <f>SUM(DW93:DW93)</f>
        <v>0</v>
      </c>
      <c r="DX92" s="19"/>
      <c r="DY92" s="19"/>
      <c r="DZ92" s="274"/>
      <c r="EA92" s="19"/>
      <c r="EB92" s="19">
        <f>SUM(EB93:EB93)</f>
        <v>0</v>
      </c>
      <c r="EC92" s="19"/>
      <c r="ED92" s="19"/>
      <c r="EE92" s="274"/>
      <c r="EF92" s="19"/>
      <c r="EG92" s="19">
        <f>SUM(EG93:EG93)</f>
        <v>0</v>
      </c>
      <c r="EH92" s="19"/>
      <c r="EI92" s="19"/>
      <c r="EJ92" s="274"/>
      <c r="EK92" s="19"/>
      <c r="EL92" s="19">
        <f>SUM(EL93:EL93)</f>
        <v>0</v>
      </c>
      <c r="EO92" s="244"/>
      <c r="EP92" s="451"/>
      <c r="EQ92" s="451"/>
    </row>
    <row r="93" spans="4:147" x14ac:dyDescent="0.2">
      <c r="D93" s="244" t="s">
        <v>344</v>
      </c>
      <c r="E93" s="82"/>
      <c r="F93" s="91"/>
      <c r="G93" s="81">
        <v>0</v>
      </c>
      <c r="H93" s="49"/>
      <c r="I93" s="19"/>
      <c r="J93" s="274"/>
      <c r="K93" s="48"/>
      <c r="L93" s="81">
        <v>0</v>
      </c>
      <c r="M93" s="49"/>
      <c r="N93" s="19"/>
      <c r="O93" s="274"/>
      <c r="P93" s="48"/>
      <c r="Q93" s="81">
        <v>0</v>
      </c>
      <c r="R93" s="49"/>
      <c r="S93" s="19"/>
      <c r="T93" s="274"/>
      <c r="U93" s="48"/>
      <c r="V93" s="81">
        <v>0</v>
      </c>
      <c r="W93" s="49"/>
      <c r="X93" s="19"/>
      <c r="Y93" s="274"/>
      <c r="Z93" s="48"/>
      <c r="AA93" s="81">
        <v>0</v>
      </c>
      <c r="AB93" s="49"/>
      <c r="AC93" s="19"/>
      <c r="AD93" s="274"/>
      <c r="AE93" s="48"/>
      <c r="AF93" s="81">
        <v>0</v>
      </c>
      <c r="AG93" s="49"/>
      <c r="AH93" s="19"/>
      <c r="AI93" s="274"/>
      <c r="AJ93" s="48"/>
      <c r="AK93" s="81">
        <v>0</v>
      </c>
      <c r="AL93" s="49"/>
      <c r="AM93" s="19"/>
      <c r="AN93" s="274"/>
      <c r="AO93" s="48"/>
      <c r="AP93" s="81">
        <v>0</v>
      </c>
      <c r="AQ93" s="49"/>
      <c r="AR93" s="19"/>
      <c r="AS93" s="274"/>
      <c r="AT93" s="48"/>
      <c r="AU93" s="81">
        <v>0</v>
      </c>
      <c r="AV93" s="49"/>
      <c r="AW93" s="19"/>
      <c r="AX93" s="274"/>
      <c r="AY93" s="48"/>
      <c r="AZ93" s="81">
        <v>0</v>
      </c>
      <c r="BA93" s="49"/>
      <c r="BB93" s="19"/>
      <c r="BC93" s="274"/>
      <c r="BD93" s="48"/>
      <c r="BE93" s="81">
        <v>0</v>
      </c>
      <c r="BF93" s="49"/>
      <c r="BG93" s="19"/>
      <c r="BH93" s="274"/>
      <c r="BI93" s="48"/>
      <c r="BJ93" s="81">
        <v>0</v>
      </c>
      <c r="BK93" s="49"/>
      <c r="BL93" s="19"/>
      <c r="BM93" s="274"/>
      <c r="BN93" s="48"/>
      <c r="BO93" s="81">
        <v>1018643</v>
      </c>
      <c r="BP93" s="49"/>
      <c r="BQ93" s="19"/>
      <c r="BR93" s="274"/>
      <c r="BS93" s="48"/>
      <c r="BT93" s="81">
        <f>SUM(L93:BO93)</f>
        <v>1018643</v>
      </c>
      <c r="BU93" s="49"/>
      <c r="BV93" s="19"/>
      <c r="BW93" s="274"/>
      <c r="BX93" s="48"/>
      <c r="BY93" s="81">
        <v>0</v>
      </c>
      <c r="BZ93" s="49"/>
      <c r="CA93" s="19"/>
      <c r="CB93" s="274"/>
      <c r="CC93" s="48"/>
      <c r="CD93" s="81">
        <v>0</v>
      </c>
      <c r="CE93" s="49"/>
      <c r="CF93" s="19"/>
      <c r="CG93" s="274"/>
      <c r="CH93" s="48"/>
      <c r="CI93" s="81">
        <v>0</v>
      </c>
      <c r="CJ93" s="49"/>
      <c r="CK93" s="19"/>
      <c r="CL93" s="274"/>
      <c r="CM93" s="48"/>
      <c r="CN93" s="81">
        <v>0</v>
      </c>
      <c r="CO93" s="49"/>
      <c r="CP93" s="19"/>
      <c r="CQ93" s="274"/>
      <c r="CR93" s="48"/>
      <c r="CS93" s="81">
        <v>0</v>
      </c>
      <c r="CT93" s="49"/>
      <c r="CU93" s="19"/>
      <c r="CV93" s="274"/>
      <c r="CW93" s="48"/>
      <c r="CX93" s="81">
        <v>0</v>
      </c>
      <c r="CY93" s="49"/>
      <c r="CZ93" s="19"/>
      <c r="DA93" s="274"/>
      <c r="DB93" s="48"/>
      <c r="DC93" s="81">
        <v>0</v>
      </c>
      <c r="DD93" s="49"/>
      <c r="DE93" s="19"/>
      <c r="DF93" s="274"/>
      <c r="DG93" s="48"/>
      <c r="DH93" s="81">
        <v>0</v>
      </c>
      <c r="DI93" s="49"/>
      <c r="DJ93" s="19"/>
      <c r="DK93" s="274"/>
      <c r="DL93" s="48"/>
      <c r="DM93" s="81">
        <v>0</v>
      </c>
      <c r="DN93" s="49"/>
      <c r="DO93" s="19"/>
      <c r="DP93" s="274"/>
      <c r="DQ93" s="48"/>
      <c r="DR93" s="81">
        <v>0</v>
      </c>
      <c r="DS93" s="49"/>
      <c r="DT93" s="19"/>
      <c r="DU93" s="274"/>
      <c r="DV93" s="48"/>
      <c r="DW93" s="81">
        <v>0</v>
      </c>
      <c r="DX93" s="49"/>
      <c r="DY93" s="19"/>
      <c r="DZ93" s="274"/>
      <c r="EA93" s="48"/>
      <c r="EB93" s="81">
        <v>0</v>
      </c>
      <c r="EC93" s="49"/>
      <c r="ED93" s="19"/>
      <c r="EE93" s="274"/>
      <c r="EF93" s="48"/>
      <c r="EG93" s="81">
        <v>0</v>
      </c>
      <c r="EH93" s="49"/>
      <c r="EI93" s="19"/>
      <c r="EJ93" s="274"/>
      <c r="EK93" s="48"/>
      <c r="EL93" s="81">
        <f>SUM(CD93:DM93)</f>
        <v>0</v>
      </c>
      <c r="EM93" s="100"/>
      <c r="EO93" s="244"/>
      <c r="EP93" s="451"/>
      <c r="EQ93" s="451"/>
    </row>
    <row r="94" spans="4:147" hidden="1" x14ac:dyDescent="0.2">
      <c r="D94" s="244"/>
      <c r="E94" s="82"/>
      <c r="G94" s="19"/>
      <c r="H94" s="19"/>
      <c r="I94" s="19"/>
      <c r="J94" s="274"/>
      <c r="K94" s="19"/>
      <c r="L94" s="19"/>
      <c r="M94" s="19"/>
      <c r="N94" s="19"/>
      <c r="O94" s="274"/>
      <c r="P94" s="19"/>
      <c r="Q94" s="19"/>
      <c r="R94" s="19"/>
      <c r="S94" s="19"/>
      <c r="T94" s="274"/>
      <c r="U94" s="19"/>
      <c r="V94" s="19"/>
      <c r="W94" s="19"/>
      <c r="X94" s="19"/>
      <c r="Y94" s="274"/>
      <c r="Z94" s="19"/>
      <c r="AA94" s="19"/>
      <c r="AB94" s="19"/>
      <c r="AC94" s="19"/>
      <c r="AD94" s="274"/>
      <c r="AE94" s="19"/>
      <c r="AF94" s="19"/>
      <c r="AG94" s="19"/>
      <c r="AH94" s="19"/>
      <c r="AI94" s="274"/>
      <c r="AJ94" s="19"/>
      <c r="AK94" s="19"/>
      <c r="AL94" s="19"/>
      <c r="AM94" s="19"/>
      <c r="AN94" s="274"/>
      <c r="AO94" s="19"/>
      <c r="AP94" s="19"/>
      <c r="AQ94" s="19"/>
      <c r="AR94" s="19"/>
      <c r="AS94" s="274"/>
      <c r="AT94" s="19"/>
      <c r="AU94" s="19"/>
      <c r="AV94" s="19"/>
      <c r="AW94" s="19"/>
      <c r="AX94" s="274"/>
      <c r="AY94" s="19"/>
      <c r="AZ94" s="19"/>
      <c r="BA94" s="19"/>
      <c r="BB94" s="19"/>
      <c r="BC94" s="274"/>
      <c r="BD94" s="19"/>
      <c r="BE94" s="19"/>
      <c r="BF94" s="19"/>
      <c r="BG94" s="19"/>
      <c r="BH94" s="274"/>
      <c r="BI94" s="19"/>
      <c r="BJ94" s="19"/>
      <c r="BK94" s="19"/>
      <c r="BL94" s="19"/>
      <c r="BM94" s="274"/>
      <c r="BN94" s="19"/>
      <c r="BO94" s="19"/>
      <c r="BP94" s="19"/>
      <c r="BQ94" s="19"/>
      <c r="BR94" s="274"/>
      <c r="BS94" s="19"/>
      <c r="BT94" s="19"/>
      <c r="BU94" s="19"/>
      <c r="BV94" s="19"/>
      <c r="BW94" s="274"/>
      <c r="BX94" s="19"/>
      <c r="BY94" s="19"/>
      <c r="BZ94" s="19"/>
      <c r="CA94" s="19"/>
      <c r="CB94" s="274"/>
      <c r="CC94" s="19"/>
      <c r="CD94" s="19"/>
      <c r="CE94" s="19"/>
      <c r="CF94" s="19"/>
      <c r="CG94" s="274"/>
      <c r="CH94" s="19"/>
      <c r="CI94" s="19"/>
      <c r="CJ94" s="19"/>
      <c r="CK94" s="19"/>
      <c r="CL94" s="274"/>
      <c r="CM94" s="19"/>
      <c r="CN94" s="19"/>
      <c r="CO94" s="19"/>
      <c r="CP94" s="19"/>
      <c r="CQ94" s="274"/>
      <c r="CR94" s="19"/>
      <c r="CS94" s="19"/>
      <c r="CT94" s="19"/>
      <c r="CU94" s="19"/>
      <c r="CV94" s="274"/>
      <c r="CW94" s="19"/>
      <c r="CX94" s="19"/>
      <c r="CY94" s="19"/>
      <c r="CZ94" s="19"/>
      <c r="DA94" s="274"/>
      <c r="DB94" s="19"/>
      <c r="DC94" s="19"/>
      <c r="DD94" s="19"/>
      <c r="DE94" s="19"/>
      <c r="DF94" s="274"/>
      <c r="DG94" s="19"/>
      <c r="DH94" s="19"/>
      <c r="DI94" s="19"/>
      <c r="DJ94" s="19"/>
      <c r="DK94" s="274"/>
      <c r="DL94" s="19"/>
      <c r="DM94" s="19"/>
      <c r="DN94" s="19"/>
      <c r="DO94" s="19"/>
      <c r="DP94" s="274"/>
      <c r="DQ94" s="19"/>
      <c r="DR94" s="19"/>
      <c r="DS94" s="19"/>
      <c r="DT94" s="19"/>
      <c r="DU94" s="274"/>
      <c r="DV94" s="19"/>
      <c r="DW94" s="19"/>
      <c r="DX94" s="19"/>
      <c r="DY94" s="19"/>
      <c r="DZ94" s="274"/>
      <c r="EA94" s="19"/>
      <c r="EB94" s="19"/>
      <c r="EC94" s="19"/>
      <c r="ED94" s="19"/>
      <c r="EE94" s="274"/>
      <c r="EF94" s="19"/>
      <c r="EG94" s="19"/>
      <c r="EH94" s="19"/>
      <c r="EI94" s="19"/>
      <c r="EJ94" s="274"/>
      <c r="EK94" s="19"/>
      <c r="EL94" s="19"/>
      <c r="EO94" s="244"/>
      <c r="EP94" s="451"/>
      <c r="EQ94" s="451"/>
    </row>
    <row r="95" spans="4:147" ht="12.75" hidden="1" customHeight="1" x14ac:dyDescent="0.2">
      <c r="D95" s="435" t="s">
        <v>409</v>
      </c>
      <c r="E95" s="82"/>
      <c r="G95" s="19">
        <f>SUM(G96:G96)</f>
        <v>0</v>
      </c>
      <c r="H95" s="14"/>
      <c r="I95" s="14"/>
      <c r="J95" s="422"/>
      <c r="K95" s="14"/>
      <c r="L95" s="19">
        <f>SUM(L96:L96)</f>
        <v>0</v>
      </c>
      <c r="M95" s="19"/>
      <c r="N95" s="19"/>
      <c r="O95" s="274"/>
      <c r="P95" s="19"/>
      <c r="Q95" s="19">
        <f>SUM(Q96:Q96)</f>
        <v>0</v>
      </c>
      <c r="R95" s="19"/>
      <c r="S95" s="19"/>
      <c r="T95" s="274"/>
      <c r="U95" s="19"/>
      <c r="V95" s="19">
        <f>SUM(V96:V96)</f>
        <v>0</v>
      </c>
      <c r="W95" s="19"/>
      <c r="X95" s="19"/>
      <c r="Y95" s="274"/>
      <c r="Z95" s="19"/>
      <c r="AA95" s="19">
        <f>SUM(AA96:AA96)</f>
        <v>0</v>
      </c>
      <c r="AB95" s="19"/>
      <c r="AC95" s="19"/>
      <c r="AD95" s="274"/>
      <c r="AE95" s="19"/>
      <c r="AF95" s="19">
        <f>SUM(AF96:AF96)</f>
        <v>0</v>
      </c>
      <c r="AG95" s="19"/>
      <c r="AH95" s="19"/>
      <c r="AI95" s="274"/>
      <c r="AJ95" s="19"/>
      <c r="AK95" s="19">
        <f>SUM(AK96:AK96)</f>
        <v>0</v>
      </c>
      <c r="AL95" s="19"/>
      <c r="AM95" s="19"/>
      <c r="AN95" s="274"/>
      <c r="AO95" s="19"/>
      <c r="AP95" s="19">
        <f>SUM(AP96:AP96)</f>
        <v>0</v>
      </c>
      <c r="AQ95" s="19"/>
      <c r="AR95" s="19"/>
      <c r="AS95" s="274"/>
      <c r="AT95" s="19"/>
      <c r="AU95" s="19">
        <f>SUM(AU96:AU96)</f>
        <v>0</v>
      </c>
      <c r="AV95" s="19"/>
      <c r="AW95" s="19"/>
      <c r="AX95" s="274"/>
      <c r="AY95" s="19"/>
      <c r="AZ95" s="19">
        <f>SUM(AZ96:AZ96)</f>
        <v>0</v>
      </c>
      <c r="BA95" s="19"/>
      <c r="BB95" s="19"/>
      <c r="BC95" s="274"/>
      <c r="BD95" s="19"/>
      <c r="BE95" s="19">
        <f>SUM(BE96:BE96)</f>
        <v>0</v>
      </c>
      <c r="BF95" s="19"/>
      <c r="BG95" s="19"/>
      <c r="BH95" s="274"/>
      <c r="BI95" s="19"/>
      <c r="BJ95" s="19">
        <f>SUM(BJ96:BJ96)</f>
        <v>0</v>
      </c>
      <c r="BK95" s="19"/>
      <c r="BL95" s="19"/>
      <c r="BM95" s="274"/>
      <c r="BN95" s="19"/>
      <c r="BO95" s="19">
        <f>SUM(BO96:BO96)</f>
        <v>0</v>
      </c>
      <c r="BP95" s="19"/>
      <c r="BQ95" s="19"/>
      <c r="BR95" s="274"/>
      <c r="BS95" s="19"/>
      <c r="BT95" s="19">
        <f>SUM(BT96:BT96)</f>
        <v>0</v>
      </c>
      <c r="BU95" s="19"/>
      <c r="BV95" s="19"/>
      <c r="BW95" s="274"/>
      <c r="BX95" s="19"/>
      <c r="BY95" s="19">
        <f>SUM(BY96:BY96)</f>
        <v>0</v>
      </c>
      <c r="BZ95" s="14"/>
      <c r="CA95" s="14"/>
      <c r="CB95" s="422"/>
      <c r="CC95" s="14"/>
      <c r="CD95" s="19">
        <f>SUM(CD96:CD96)</f>
        <v>0</v>
      </c>
      <c r="CE95" s="19"/>
      <c r="CF95" s="19"/>
      <c r="CG95" s="274"/>
      <c r="CH95" s="19"/>
      <c r="CI95" s="19">
        <f>SUM(CI96:CI96)</f>
        <v>0</v>
      </c>
      <c r="CJ95" s="19"/>
      <c r="CK95" s="19"/>
      <c r="CL95" s="274"/>
      <c r="CM95" s="19"/>
      <c r="CN95" s="19">
        <f>SUM(CN96:CN96)</f>
        <v>0</v>
      </c>
      <c r="CO95" s="19"/>
      <c r="CP95" s="19"/>
      <c r="CQ95" s="274"/>
      <c r="CR95" s="19"/>
      <c r="CS95" s="19">
        <f>SUM(CS96:CS96)</f>
        <v>0</v>
      </c>
      <c r="CT95" s="19"/>
      <c r="CU95" s="19"/>
      <c r="CV95" s="274"/>
      <c r="CW95" s="19"/>
      <c r="CX95" s="19">
        <f>SUM(CX96:CX96)</f>
        <v>0</v>
      </c>
      <c r="CY95" s="19"/>
      <c r="CZ95" s="19"/>
      <c r="DA95" s="274"/>
      <c r="DB95" s="19"/>
      <c r="DC95" s="19">
        <f>SUM(DC96:DC96)</f>
        <v>0</v>
      </c>
      <c r="DD95" s="19"/>
      <c r="DE95" s="19"/>
      <c r="DF95" s="274"/>
      <c r="DG95" s="19"/>
      <c r="DH95" s="19">
        <f>SUM(DH96:DH96)</f>
        <v>0</v>
      </c>
      <c r="DI95" s="19"/>
      <c r="DJ95" s="19"/>
      <c r="DK95" s="274"/>
      <c r="DL95" s="19"/>
      <c r="DM95" s="19">
        <f>SUM(DM96:DM96)</f>
        <v>0</v>
      </c>
      <c r="DN95" s="19"/>
      <c r="DO95" s="19"/>
      <c r="DP95" s="274"/>
      <c r="DQ95" s="19"/>
      <c r="DR95" s="19">
        <f>SUM(DR96:DR96)</f>
        <v>0</v>
      </c>
      <c r="DS95" s="19"/>
      <c r="DT95" s="19"/>
      <c r="DU95" s="274"/>
      <c r="DV95" s="19"/>
      <c r="DW95" s="19">
        <f>SUM(DW96:DW96)</f>
        <v>0</v>
      </c>
      <c r="DX95" s="19"/>
      <c r="DY95" s="19"/>
      <c r="DZ95" s="274"/>
      <c r="EA95" s="19"/>
      <c r="EB95" s="19">
        <f>SUM(EB96:EB96)</f>
        <v>0</v>
      </c>
      <c r="EC95" s="19"/>
      <c r="ED95" s="19"/>
      <c r="EE95" s="274"/>
      <c r="EF95" s="19"/>
      <c r="EG95" s="19">
        <f>SUM(EG96:EG96)</f>
        <v>0</v>
      </c>
      <c r="EH95" s="19"/>
      <c r="EI95" s="19"/>
      <c r="EJ95" s="274"/>
      <c r="EK95" s="19"/>
      <c r="EL95" s="19">
        <f>SUM(EL96:EL96)</f>
        <v>0</v>
      </c>
      <c r="EM95" s="19"/>
      <c r="EN95" s="19"/>
      <c r="EO95" s="244"/>
      <c r="EP95" s="451"/>
      <c r="EQ95" s="451"/>
    </row>
    <row r="96" spans="4:147" ht="12.75" hidden="1" customHeight="1" x14ac:dyDescent="0.2">
      <c r="D96" s="244" t="s">
        <v>344</v>
      </c>
      <c r="E96" s="82"/>
      <c r="F96" s="91"/>
      <c r="G96" s="81">
        <v>0</v>
      </c>
      <c r="H96" s="49"/>
      <c r="I96" s="19"/>
      <c r="J96" s="274"/>
      <c r="K96" s="48"/>
      <c r="L96" s="81">
        <v>0</v>
      </c>
      <c r="M96" s="49"/>
      <c r="N96" s="19"/>
      <c r="O96" s="274"/>
      <c r="P96" s="48"/>
      <c r="Q96" s="81">
        <v>0</v>
      </c>
      <c r="R96" s="49"/>
      <c r="S96" s="19"/>
      <c r="T96" s="274"/>
      <c r="U96" s="48"/>
      <c r="V96" s="81">
        <v>0</v>
      </c>
      <c r="W96" s="49"/>
      <c r="X96" s="19"/>
      <c r="Y96" s="274"/>
      <c r="Z96" s="48"/>
      <c r="AA96" s="81">
        <v>0</v>
      </c>
      <c r="AB96" s="49"/>
      <c r="AC96" s="19"/>
      <c r="AD96" s="274"/>
      <c r="AE96" s="48"/>
      <c r="AF96" s="81">
        <v>0</v>
      </c>
      <c r="AG96" s="49"/>
      <c r="AH96" s="19"/>
      <c r="AI96" s="274"/>
      <c r="AJ96" s="48"/>
      <c r="AK96" s="81">
        <v>0</v>
      </c>
      <c r="AL96" s="49"/>
      <c r="AM96" s="19"/>
      <c r="AN96" s="274"/>
      <c r="AO96" s="48"/>
      <c r="AP96" s="81">
        <v>0</v>
      </c>
      <c r="AQ96" s="49"/>
      <c r="AR96" s="19"/>
      <c r="AS96" s="274"/>
      <c r="AT96" s="48"/>
      <c r="AU96" s="81">
        <v>0</v>
      </c>
      <c r="AV96" s="49"/>
      <c r="AW96" s="19"/>
      <c r="AX96" s="274"/>
      <c r="AY96" s="48"/>
      <c r="AZ96" s="81">
        <v>0</v>
      </c>
      <c r="BA96" s="49"/>
      <c r="BB96" s="19"/>
      <c r="BC96" s="274"/>
      <c r="BD96" s="48"/>
      <c r="BE96" s="81">
        <v>0</v>
      </c>
      <c r="BF96" s="49"/>
      <c r="BG96" s="19"/>
      <c r="BH96" s="274"/>
      <c r="BI96" s="48"/>
      <c r="BJ96" s="81">
        <v>0</v>
      </c>
      <c r="BK96" s="49"/>
      <c r="BL96" s="19"/>
      <c r="BM96" s="274"/>
      <c r="BN96" s="48"/>
      <c r="BO96" s="81">
        <v>0</v>
      </c>
      <c r="BP96" s="49"/>
      <c r="BQ96" s="19"/>
      <c r="BR96" s="274"/>
      <c r="BS96" s="48"/>
      <c r="BT96" s="81">
        <f>SUM(L96:BO96)</f>
        <v>0</v>
      </c>
      <c r="BU96" s="49"/>
      <c r="BV96" s="19"/>
      <c r="BW96" s="274"/>
      <c r="BX96" s="48"/>
      <c r="BY96" s="81">
        <v>0</v>
      </c>
      <c r="BZ96" s="49"/>
      <c r="CA96" s="19"/>
      <c r="CB96" s="274"/>
      <c r="CC96" s="48"/>
      <c r="CD96" s="81">
        <v>0</v>
      </c>
      <c r="CE96" s="49"/>
      <c r="CF96" s="19"/>
      <c r="CG96" s="274"/>
      <c r="CH96" s="48"/>
      <c r="CI96" s="81">
        <v>0</v>
      </c>
      <c r="CJ96" s="49"/>
      <c r="CK96" s="19"/>
      <c r="CL96" s="274"/>
      <c r="CM96" s="48"/>
      <c r="CN96" s="81">
        <v>0</v>
      </c>
      <c r="CO96" s="49"/>
      <c r="CP96" s="19"/>
      <c r="CQ96" s="274"/>
      <c r="CR96" s="48"/>
      <c r="CS96" s="81">
        <v>0</v>
      </c>
      <c r="CT96" s="49"/>
      <c r="CU96" s="19"/>
      <c r="CV96" s="274"/>
      <c r="CW96" s="48"/>
      <c r="CX96" s="81">
        <v>0</v>
      </c>
      <c r="CY96" s="49"/>
      <c r="CZ96" s="19"/>
      <c r="DA96" s="274"/>
      <c r="DB96" s="48"/>
      <c r="DC96" s="81">
        <v>0</v>
      </c>
      <c r="DD96" s="49"/>
      <c r="DE96" s="19"/>
      <c r="DF96" s="274"/>
      <c r="DG96" s="48"/>
      <c r="DH96" s="81">
        <v>0</v>
      </c>
      <c r="DI96" s="49"/>
      <c r="DJ96" s="19"/>
      <c r="DK96" s="274"/>
      <c r="DL96" s="48"/>
      <c r="DM96" s="81">
        <v>0</v>
      </c>
      <c r="DN96" s="49"/>
      <c r="DO96" s="19"/>
      <c r="DP96" s="274"/>
      <c r="DQ96" s="48"/>
      <c r="DR96" s="81">
        <v>0</v>
      </c>
      <c r="DS96" s="49"/>
      <c r="DT96" s="19"/>
      <c r="DU96" s="274"/>
      <c r="DV96" s="48"/>
      <c r="DW96" s="81">
        <v>0</v>
      </c>
      <c r="DX96" s="49"/>
      <c r="DY96" s="19"/>
      <c r="DZ96" s="274"/>
      <c r="EA96" s="48"/>
      <c r="EB96" s="81">
        <v>0</v>
      </c>
      <c r="EC96" s="49"/>
      <c r="ED96" s="19"/>
      <c r="EE96" s="274"/>
      <c r="EF96" s="48"/>
      <c r="EG96" s="81">
        <v>0</v>
      </c>
      <c r="EH96" s="49"/>
      <c r="EI96" s="19"/>
      <c r="EJ96" s="274"/>
      <c r="EK96" s="48"/>
      <c r="EL96" s="81">
        <f>SUM(CD96:DM96)</f>
        <v>0</v>
      </c>
      <c r="EM96" s="49"/>
      <c r="EN96" s="19"/>
      <c r="EO96" s="244"/>
      <c r="EP96" s="451"/>
      <c r="EQ96" s="451"/>
    </row>
    <row r="97" spans="4:147" ht="12.75" customHeight="1" x14ac:dyDescent="0.2">
      <c r="D97" s="244"/>
      <c r="E97" s="82"/>
      <c r="G97" s="19"/>
      <c r="H97" s="19"/>
      <c r="I97" s="19"/>
      <c r="J97" s="274"/>
      <c r="K97" s="19"/>
      <c r="L97" s="19"/>
      <c r="M97" s="19"/>
      <c r="N97" s="19"/>
      <c r="O97" s="274"/>
      <c r="P97" s="19"/>
      <c r="Q97" s="19"/>
      <c r="R97" s="19"/>
      <c r="S97" s="19"/>
      <c r="T97" s="274"/>
      <c r="U97" s="19"/>
      <c r="V97" s="19"/>
      <c r="W97" s="19"/>
      <c r="X97" s="19"/>
      <c r="Y97" s="274"/>
      <c r="Z97" s="19"/>
      <c r="AA97" s="19"/>
      <c r="AB97" s="19"/>
      <c r="AC97" s="19"/>
      <c r="AD97" s="274"/>
      <c r="AE97" s="19"/>
      <c r="AF97" s="19"/>
      <c r="AG97" s="19"/>
      <c r="AH97" s="19"/>
      <c r="AI97" s="274"/>
      <c r="AJ97" s="19"/>
      <c r="AK97" s="19"/>
      <c r="AL97" s="19"/>
      <c r="AM97" s="19"/>
      <c r="AN97" s="274"/>
      <c r="AO97" s="19"/>
      <c r="AP97" s="19"/>
      <c r="AQ97" s="19"/>
      <c r="AR97" s="19"/>
      <c r="AS97" s="274"/>
      <c r="AT97" s="19"/>
      <c r="AU97" s="19"/>
      <c r="AV97" s="19"/>
      <c r="AW97" s="19"/>
      <c r="AX97" s="274"/>
      <c r="AY97" s="19"/>
      <c r="AZ97" s="19"/>
      <c r="BA97" s="19"/>
      <c r="BB97" s="19"/>
      <c r="BC97" s="274"/>
      <c r="BD97" s="19"/>
      <c r="BE97" s="19"/>
      <c r="BF97" s="19"/>
      <c r="BG97" s="19"/>
      <c r="BH97" s="274"/>
      <c r="BI97" s="19"/>
      <c r="BJ97" s="19"/>
      <c r="BK97" s="19"/>
      <c r="BL97" s="19"/>
      <c r="BM97" s="274"/>
      <c r="BN97" s="19"/>
      <c r="BO97" s="19"/>
      <c r="BP97" s="19"/>
      <c r="BQ97" s="19"/>
      <c r="BR97" s="274"/>
      <c r="BS97" s="19"/>
      <c r="BT97" s="19"/>
      <c r="BU97" s="19"/>
      <c r="BV97" s="19"/>
      <c r="BW97" s="274"/>
      <c r="BX97" s="19"/>
      <c r="BY97" s="19"/>
      <c r="BZ97" s="19"/>
      <c r="CA97" s="19"/>
      <c r="CB97" s="274"/>
      <c r="CC97" s="19"/>
      <c r="CD97" s="19"/>
      <c r="CE97" s="19"/>
      <c r="CF97" s="19"/>
      <c r="CG97" s="274"/>
      <c r="CH97" s="19"/>
      <c r="CI97" s="19"/>
      <c r="CJ97" s="19"/>
      <c r="CK97" s="19"/>
      <c r="CL97" s="274"/>
      <c r="CM97" s="19"/>
      <c r="CN97" s="19"/>
      <c r="CO97" s="19"/>
      <c r="CP97" s="19"/>
      <c r="CQ97" s="274"/>
      <c r="CR97" s="19"/>
      <c r="CS97" s="19"/>
      <c r="CT97" s="19"/>
      <c r="CU97" s="19"/>
      <c r="CV97" s="274"/>
      <c r="CW97" s="19"/>
      <c r="CX97" s="19"/>
      <c r="CY97" s="19"/>
      <c r="CZ97" s="19"/>
      <c r="DA97" s="274"/>
      <c r="DB97" s="19"/>
      <c r="DC97" s="19"/>
      <c r="DD97" s="19"/>
      <c r="DE97" s="19"/>
      <c r="DF97" s="274"/>
      <c r="DG97" s="19"/>
      <c r="DH97" s="19"/>
      <c r="DI97" s="19"/>
      <c r="DJ97" s="19"/>
      <c r="DK97" s="274"/>
      <c r="DL97" s="19"/>
      <c r="DM97" s="19"/>
      <c r="DN97" s="19"/>
      <c r="DO97" s="19"/>
      <c r="DP97" s="274"/>
      <c r="DQ97" s="19"/>
      <c r="DR97" s="19"/>
      <c r="DS97" s="19"/>
      <c r="DT97" s="19"/>
      <c r="DU97" s="274"/>
      <c r="DV97" s="19"/>
      <c r="DW97" s="19"/>
      <c r="DX97" s="19"/>
      <c r="DY97" s="19"/>
      <c r="DZ97" s="274"/>
      <c r="EA97" s="19"/>
      <c r="EB97" s="19"/>
      <c r="EC97" s="19"/>
      <c r="ED97" s="19"/>
      <c r="EE97" s="274"/>
      <c r="EF97" s="19"/>
      <c r="EG97" s="19"/>
      <c r="EH97" s="19"/>
      <c r="EI97" s="19"/>
      <c r="EJ97" s="274"/>
      <c r="EK97" s="19"/>
      <c r="EL97" s="19"/>
      <c r="EM97" s="19"/>
      <c r="EN97" s="19"/>
      <c r="EO97" s="244"/>
      <c r="EP97" s="451"/>
      <c r="EQ97" s="451"/>
    </row>
    <row r="98" spans="4:147" ht="12.75" customHeight="1" x14ac:dyDescent="0.2">
      <c r="D98" s="435" t="s">
        <v>408</v>
      </c>
      <c r="E98" s="82"/>
      <c r="G98" s="19">
        <f>SUM(G99:G99)</f>
        <v>41191</v>
      </c>
      <c r="H98" s="19"/>
      <c r="I98" s="19"/>
      <c r="J98" s="274"/>
      <c r="K98" s="19"/>
      <c r="L98" s="19">
        <f>SUM(L99:L99)</f>
        <v>0</v>
      </c>
      <c r="M98" s="19"/>
      <c r="N98" s="19"/>
      <c r="O98" s="274"/>
      <c r="P98" s="19"/>
      <c r="Q98" s="19">
        <f>SUM(Q99:Q99)</f>
        <v>0</v>
      </c>
      <c r="R98" s="19"/>
      <c r="S98" s="19"/>
      <c r="T98" s="274"/>
      <c r="U98" s="19"/>
      <c r="V98" s="19">
        <f>SUM(V99:V99)</f>
        <v>0</v>
      </c>
      <c r="W98" s="19"/>
      <c r="X98" s="19"/>
      <c r="Y98" s="274"/>
      <c r="Z98" s="19"/>
      <c r="AA98" s="19">
        <f>SUM(AA99:AA99)</f>
        <v>0</v>
      </c>
      <c r="AB98" s="19"/>
      <c r="AC98" s="19"/>
      <c r="AD98" s="274"/>
      <c r="AE98" s="19"/>
      <c r="AF98" s="19">
        <f>SUM(AF99:AF99)</f>
        <v>41191</v>
      </c>
      <c r="AG98" s="19"/>
      <c r="AH98" s="19"/>
      <c r="AI98" s="274"/>
      <c r="AJ98" s="19"/>
      <c r="AK98" s="19">
        <f>SUM(AK99:AK99)</f>
        <v>0</v>
      </c>
      <c r="AL98" s="19"/>
      <c r="AM98" s="19"/>
      <c r="AN98" s="274"/>
      <c r="AO98" s="19"/>
      <c r="AP98" s="19">
        <f>SUM(AP99:AP99)</f>
        <v>0</v>
      </c>
      <c r="AQ98" s="19"/>
      <c r="AR98" s="19"/>
      <c r="AS98" s="274"/>
      <c r="AT98" s="19"/>
      <c r="AU98" s="19">
        <f>SUM(AU99:AU99)</f>
        <v>0</v>
      </c>
      <c r="AV98" s="19"/>
      <c r="AW98" s="19"/>
      <c r="AX98" s="274"/>
      <c r="AY98" s="19"/>
      <c r="AZ98" s="19">
        <f>SUM(AZ99:AZ99)</f>
        <v>0</v>
      </c>
      <c r="BA98" s="19"/>
      <c r="BB98" s="19"/>
      <c r="BC98" s="274"/>
      <c r="BD98" s="19"/>
      <c r="BE98" s="19">
        <f>SUM(BE99:BE99)</f>
        <v>0</v>
      </c>
      <c r="BF98" s="19"/>
      <c r="BG98" s="19"/>
      <c r="BH98" s="274"/>
      <c r="BI98" s="19"/>
      <c r="BJ98" s="19">
        <f>SUM(BJ99:BJ99)</f>
        <v>0</v>
      </c>
      <c r="BK98" s="19"/>
      <c r="BL98" s="19"/>
      <c r="BM98" s="274"/>
      <c r="BN98" s="19"/>
      <c r="BO98" s="19">
        <f>SUM(BO99:BO99)</f>
        <v>0</v>
      </c>
      <c r="BP98" s="19"/>
      <c r="BQ98" s="19"/>
      <c r="BR98" s="274"/>
      <c r="BS98" s="19"/>
      <c r="BT98" s="19">
        <f>SUM(BT99:BT99)</f>
        <v>41191</v>
      </c>
      <c r="BU98" s="19"/>
      <c r="BV98" s="19"/>
      <c r="BW98" s="274"/>
      <c r="BX98" s="19"/>
      <c r="BY98" s="19">
        <f>SUM(BY99:BY99)</f>
        <v>0</v>
      </c>
      <c r="BZ98" s="19"/>
      <c r="CA98" s="19"/>
      <c r="CB98" s="274"/>
      <c r="CC98" s="19"/>
      <c r="CD98" s="19">
        <f>SUM(CD99:CD99)</f>
        <v>0</v>
      </c>
      <c r="CE98" s="19"/>
      <c r="CF98" s="19"/>
      <c r="CG98" s="274"/>
      <c r="CH98" s="19"/>
      <c r="CI98" s="19">
        <f>SUM(CI99:CI99)</f>
        <v>0</v>
      </c>
      <c r="CJ98" s="19"/>
      <c r="CK98" s="19"/>
      <c r="CL98" s="274"/>
      <c r="CM98" s="19"/>
      <c r="CN98" s="19">
        <f>SUM(CN99:CN99)</f>
        <v>0</v>
      </c>
      <c r="CO98" s="19"/>
      <c r="CP98" s="19"/>
      <c r="CQ98" s="274"/>
      <c r="CR98" s="19"/>
      <c r="CS98" s="19">
        <f>SUM(CS99:CS99)</f>
        <v>0</v>
      </c>
      <c r="CT98" s="19"/>
      <c r="CU98" s="19"/>
      <c r="CV98" s="274"/>
      <c r="CW98" s="19"/>
      <c r="CX98" s="19">
        <f>SUM(CX99:CX99)</f>
        <v>0</v>
      </c>
      <c r="CY98" s="19"/>
      <c r="CZ98" s="19"/>
      <c r="DA98" s="274"/>
      <c r="DB98" s="19"/>
      <c r="DC98" s="19">
        <f>SUM(DC99:DC99)</f>
        <v>0</v>
      </c>
      <c r="DD98" s="19"/>
      <c r="DE98" s="19"/>
      <c r="DF98" s="274"/>
      <c r="DG98" s="19"/>
      <c r="DH98" s="19">
        <f>SUM(DH99:DH99)</f>
        <v>0</v>
      </c>
      <c r="DI98" s="19"/>
      <c r="DJ98" s="19"/>
      <c r="DK98" s="274"/>
      <c r="DL98" s="19"/>
      <c r="DM98" s="19">
        <f>SUM(DM99:DM99)</f>
        <v>0</v>
      </c>
      <c r="DN98" s="19"/>
      <c r="DO98" s="19"/>
      <c r="DP98" s="274"/>
      <c r="DQ98" s="19"/>
      <c r="DR98" s="19">
        <f>SUM(DR99:DR99)</f>
        <v>0</v>
      </c>
      <c r="DS98" s="19"/>
      <c r="DT98" s="19"/>
      <c r="DU98" s="274"/>
      <c r="DV98" s="19"/>
      <c r="DW98" s="19">
        <f>SUM(DW99:DW99)</f>
        <v>0</v>
      </c>
      <c r="DX98" s="19"/>
      <c r="DY98" s="19"/>
      <c r="DZ98" s="274"/>
      <c r="EA98" s="19"/>
      <c r="EB98" s="19">
        <f>SUM(EB99:EB99)</f>
        <v>0</v>
      </c>
      <c r="EC98" s="19"/>
      <c r="ED98" s="19"/>
      <c r="EE98" s="274"/>
      <c r="EF98" s="19"/>
      <c r="EG98" s="19">
        <f>SUM(EG99:EG99)</f>
        <v>0</v>
      </c>
      <c r="EH98" s="19"/>
      <c r="EI98" s="19"/>
      <c r="EJ98" s="274"/>
      <c r="EK98" s="19"/>
      <c r="EL98" s="19">
        <f>SUM(EL99:EL99)</f>
        <v>0</v>
      </c>
      <c r="EM98" s="19"/>
      <c r="EN98" s="19"/>
      <c r="EO98" s="244"/>
      <c r="EP98" s="451"/>
      <c r="EQ98" s="451"/>
    </row>
    <row r="99" spans="4:147" ht="12.75" customHeight="1" x14ac:dyDescent="0.2">
      <c r="D99" s="244" t="s">
        <v>344</v>
      </c>
      <c r="E99" s="82"/>
      <c r="F99" s="91"/>
      <c r="G99" s="81">
        <v>41191</v>
      </c>
      <c r="H99" s="49"/>
      <c r="I99" s="19"/>
      <c r="J99" s="274"/>
      <c r="K99" s="48"/>
      <c r="L99" s="81">
        <v>0</v>
      </c>
      <c r="M99" s="49"/>
      <c r="N99" s="19"/>
      <c r="O99" s="274"/>
      <c r="P99" s="48"/>
      <c r="Q99" s="81">
        <v>0</v>
      </c>
      <c r="R99" s="49"/>
      <c r="S99" s="19"/>
      <c r="T99" s="274"/>
      <c r="U99" s="48"/>
      <c r="V99" s="81">
        <v>0</v>
      </c>
      <c r="W99" s="49"/>
      <c r="X99" s="19"/>
      <c r="Y99" s="274"/>
      <c r="Z99" s="48"/>
      <c r="AA99" s="81">
        <v>0</v>
      </c>
      <c r="AB99" s="49"/>
      <c r="AC99" s="19"/>
      <c r="AD99" s="274"/>
      <c r="AE99" s="48"/>
      <c r="AF99" s="81">
        <v>41191</v>
      </c>
      <c r="AG99" s="49"/>
      <c r="AH99" s="19"/>
      <c r="AI99" s="274"/>
      <c r="AJ99" s="48"/>
      <c r="AK99" s="81">
        <v>0</v>
      </c>
      <c r="AL99" s="49"/>
      <c r="AM99" s="19"/>
      <c r="AN99" s="274"/>
      <c r="AO99" s="48"/>
      <c r="AP99" s="81">
        <v>0</v>
      </c>
      <c r="AQ99" s="49"/>
      <c r="AR99" s="19"/>
      <c r="AS99" s="274"/>
      <c r="AT99" s="48"/>
      <c r="AU99" s="81">
        <v>0</v>
      </c>
      <c r="AV99" s="49"/>
      <c r="AW99" s="19"/>
      <c r="AX99" s="274"/>
      <c r="AY99" s="48"/>
      <c r="AZ99" s="81">
        <v>0</v>
      </c>
      <c r="BA99" s="49"/>
      <c r="BB99" s="19"/>
      <c r="BC99" s="274"/>
      <c r="BD99" s="48"/>
      <c r="BE99" s="81">
        <v>0</v>
      </c>
      <c r="BF99" s="49"/>
      <c r="BG99" s="19"/>
      <c r="BH99" s="274"/>
      <c r="BI99" s="48"/>
      <c r="BJ99" s="81">
        <v>0</v>
      </c>
      <c r="BK99" s="49"/>
      <c r="BL99" s="19"/>
      <c r="BM99" s="274"/>
      <c r="BN99" s="48"/>
      <c r="BO99" s="81">
        <v>0</v>
      </c>
      <c r="BP99" s="49"/>
      <c r="BQ99" s="19"/>
      <c r="BR99" s="274"/>
      <c r="BS99" s="48"/>
      <c r="BT99" s="81">
        <f>SUM(L99:BO99)</f>
        <v>41191</v>
      </c>
      <c r="BU99" s="49"/>
      <c r="BV99" s="19"/>
      <c r="BW99" s="274"/>
      <c r="BX99" s="48"/>
      <c r="BY99" s="81">
        <v>0</v>
      </c>
      <c r="BZ99" s="49"/>
      <c r="CA99" s="19"/>
      <c r="CB99" s="274"/>
      <c r="CC99" s="48"/>
      <c r="CD99" s="81">
        <v>0</v>
      </c>
      <c r="CE99" s="49"/>
      <c r="CF99" s="19"/>
      <c r="CG99" s="274"/>
      <c r="CH99" s="48"/>
      <c r="CI99" s="81">
        <v>0</v>
      </c>
      <c r="CJ99" s="49"/>
      <c r="CK99" s="19"/>
      <c r="CL99" s="274"/>
      <c r="CM99" s="48"/>
      <c r="CN99" s="81">
        <v>0</v>
      </c>
      <c r="CO99" s="49"/>
      <c r="CP99" s="19"/>
      <c r="CQ99" s="274"/>
      <c r="CR99" s="48"/>
      <c r="CS99" s="81">
        <v>0</v>
      </c>
      <c r="CT99" s="49"/>
      <c r="CU99" s="19"/>
      <c r="CV99" s="274"/>
      <c r="CW99" s="48"/>
      <c r="CX99" s="81">
        <v>0</v>
      </c>
      <c r="CY99" s="49"/>
      <c r="CZ99" s="19"/>
      <c r="DA99" s="274"/>
      <c r="DB99" s="48"/>
      <c r="DC99" s="81">
        <v>0</v>
      </c>
      <c r="DD99" s="49"/>
      <c r="DE99" s="19"/>
      <c r="DF99" s="274"/>
      <c r="DG99" s="48"/>
      <c r="DH99" s="81">
        <v>0</v>
      </c>
      <c r="DI99" s="49"/>
      <c r="DJ99" s="19"/>
      <c r="DK99" s="274"/>
      <c r="DL99" s="48"/>
      <c r="DM99" s="81">
        <v>0</v>
      </c>
      <c r="DN99" s="49"/>
      <c r="DO99" s="19"/>
      <c r="DP99" s="274"/>
      <c r="DQ99" s="48"/>
      <c r="DR99" s="81">
        <v>0</v>
      </c>
      <c r="DS99" s="49"/>
      <c r="DT99" s="19"/>
      <c r="DU99" s="274"/>
      <c r="DV99" s="48"/>
      <c r="DW99" s="81">
        <v>0</v>
      </c>
      <c r="DX99" s="49"/>
      <c r="DY99" s="19"/>
      <c r="DZ99" s="274"/>
      <c r="EA99" s="48"/>
      <c r="EB99" s="81">
        <v>0</v>
      </c>
      <c r="EC99" s="49"/>
      <c r="ED99" s="19"/>
      <c r="EE99" s="274"/>
      <c r="EF99" s="48"/>
      <c r="EG99" s="81">
        <v>0</v>
      </c>
      <c r="EH99" s="49"/>
      <c r="EI99" s="19"/>
      <c r="EJ99" s="274"/>
      <c r="EK99" s="48"/>
      <c r="EL99" s="81">
        <f>SUM(CD99:EG99)</f>
        <v>0</v>
      </c>
      <c r="EM99" s="49"/>
      <c r="EN99" s="19"/>
      <c r="EO99" s="244"/>
      <c r="EP99" s="451"/>
      <c r="EQ99" s="451"/>
    </row>
    <row r="100" spans="4:147" ht="12.75" customHeight="1" x14ac:dyDescent="0.2">
      <c r="D100" s="244"/>
      <c r="E100" s="82"/>
      <c r="G100" s="19"/>
      <c r="H100" s="19"/>
      <c r="I100" s="19"/>
      <c r="J100" s="274"/>
      <c r="K100" s="19"/>
      <c r="L100" s="19"/>
      <c r="M100" s="19"/>
      <c r="N100" s="19"/>
      <c r="O100" s="274"/>
      <c r="P100" s="19"/>
      <c r="Q100" s="19"/>
      <c r="R100" s="19"/>
      <c r="S100" s="19"/>
      <c r="T100" s="274"/>
      <c r="U100" s="19"/>
      <c r="V100" s="19"/>
      <c r="W100" s="19"/>
      <c r="X100" s="19"/>
      <c r="Y100" s="274"/>
      <c r="Z100" s="19"/>
      <c r="AA100" s="19"/>
      <c r="AB100" s="19"/>
      <c r="AC100" s="19"/>
      <c r="AD100" s="274"/>
      <c r="AE100" s="19"/>
      <c r="AF100" s="19"/>
      <c r="AG100" s="19"/>
      <c r="AH100" s="19"/>
      <c r="AI100" s="274"/>
      <c r="AJ100" s="19"/>
      <c r="AK100" s="19"/>
      <c r="AL100" s="19"/>
      <c r="AM100" s="19"/>
      <c r="AN100" s="274"/>
      <c r="AO100" s="19"/>
      <c r="AP100" s="19"/>
      <c r="AQ100" s="19"/>
      <c r="AR100" s="19"/>
      <c r="AS100" s="274"/>
      <c r="AT100" s="19"/>
      <c r="AU100" s="19"/>
      <c r="AV100" s="19"/>
      <c r="AW100" s="19"/>
      <c r="AX100" s="274"/>
      <c r="AY100" s="19"/>
      <c r="AZ100" s="19"/>
      <c r="BA100" s="19"/>
      <c r="BB100" s="19"/>
      <c r="BC100" s="274"/>
      <c r="BD100" s="19"/>
      <c r="BE100" s="19"/>
      <c r="BF100" s="19"/>
      <c r="BG100" s="19"/>
      <c r="BH100" s="274"/>
      <c r="BI100" s="19"/>
      <c r="BJ100" s="19"/>
      <c r="BK100" s="19"/>
      <c r="BL100" s="19"/>
      <c r="BM100" s="274"/>
      <c r="BN100" s="19"/>
      <c r="BO100" s="19"/>
      <c r="BP100" s="19"/>
      <c r="BQ100" s="19"/>
      <c r="BR100" s="274"/>
      <c r="BS100" s="19"/>
      <c r="BT100" s="19"/>
      <c r="BU100" s="19"/>
      <c r="BV100" s="19"/>
      <c r="BW100" s="274"/>
      <c r="BX100" s="19"/>
      <c r="BY100" s="19"/>
      <c r="BZ100" s="19"/>
      <c r="CA100" s="19"/>
      <c r="CB100" s="274"/>
      <c r="CC100" s="19"/>
      <c r="CD100" s="19"/>
      <c r="CE100" s="19"/>
      <c r="CF100" s="19"/>
      <c r="CG100" s="274"/>
      <c r="CH100" s="19"/>
      <c r="CI100" s="19"/>
      <c r="CJ100" s="19"/>
      <c r="CK100" s="19"/>
      <c r="CL100" s="274"/>
      <c r="CM100" s="19"/>
      <c r="CN100" s="19"/>
      <c r="CO100" s="19"/>
      <c r="CP100" s="19"/>
      <c r="CQ100" s="274"/>
      <c r="CR100" s="19"/>
      <c r="CS100" s="19"/>
      <c r="CT100" s="19"/>
      <c r="CU100" s="19"/>
      <c r="CV100" s="274"/>
      <c r="CW100" s="19"/>
      <c r="CX100" s="19"/>
      <c r="CY100" s="19"/>
      <c r="CZ100" s="19"/>
      <c r="DA100" s="274"/>
      <c r="DB100" s="19"/>
      <c r="DC100" s="19"/>
      <c r="DD100" s="19"/>
      <c r="DE100" s="19"/>
      <c r="DF100" s="274"/>
      <c r="DG100" s="19"/>
      <c r="DH100" s="19"/>
      <c r="DI100" s="19"/>
      <c r="DJ100" s="19"/>
      <c r="DK100" s="274"/>
      <c r="DL100" s="19"/>
      <c r="DM100" s="19"/>
      <c r="DN100" s="19"/>
      <c r="DO100" s="19"/>
      <c r="DP100" s="274"/>
      <c r="DQ100" s="19"/>
      <c r="DR100" s="19"/>
      <c r="DS100" s="19"/>
      <c r="DT100" s="19"/>
      <c r="DU100" s="274"/>
      <c r="DV100" s="19"/>
      <c r="DW100" s="19"/>
      <c r="DX100" s="19"/>
      <c r="DY100" s="19"/>
      <c r="DZ100" s="274"/>
      <c r="EA100" s="19"/>
      <c r="EB100" s="19"/>
      <c r="EC100" s="19"/>
      <c r="ED100" s="19"/>
      <c r="EE100" s="274"/>
      <c r="EF100" s="19"/>
      <c r="EG100" s="19"/>
      <c r="EH100" s="19"/>
      <c r="EI100" s="19"/>
      <c r="EJ100" s="274"/>
      <c r="EK100" s="19"/>
      <c r="EL100" s="19"/>
      <c r="EM100" s="19"/>
      <c r="EN100" s="19"/>
      <c r="EO100" s="244"/>
      <c r="EP100" s="451"/>
      <c r="EQ100" s="451"/>
    </row>
    <row r="101" spans="4:147" ht="12.75" hidden="1" customHeight="1" x14ac:dyDescent="0.2">
      <c r="D101" s="435" t="s">
        <v>364</v>
      </c>
      <c r="E101" s="82"/>
      <c r="G101" s="19">
        <f>SUM(G102:G102)</f>
        <v>0</v>
      </c>
      <c r="H101" s="19"/>
      <c r="I101" s="19"/>
      <c r="J101" s="274"/>
      <c r="K101" s="19"/>
      <c r="L101" s="19">
        <f>SUM(L102:L102)</f>
        <v>0</v>
      </c>
      <c r="M101" s="19"/>
      <c r="N101" s="19"/>
      <c r="O101" s="274"/>
      <c r="P101" s="19"/>
      <c r="Q101" s="19">
        <f>SUM(Q102:Q102)</f>
        <v>0</v>
      </c>
      <c r="R101" s="19"/>
      <c r="S101" s="19"/>
      <c r="T101" s="274"/>
      <c r="U101" s="19"/>
      <c r="V101" s="19">
        <f>SUM(V102:V102)</f>
        <v>0</v>
      </c>
      <c r="W101" s="19"/>
      <c r="X101" s="19"/>
      <c r="Y101" s="274"/>
      <c r="Z101" s="19"/>
      <c r="AA101" s="19">
        <f>SUM(AA102:AA102)</f>
        <v>0</v>
      </c>
      <c r="AB101" s="19"/>
      <c r="AC101" s="19"/>
      <c r="AD101" s="274"/>
      <c r="AE101" s="19"/>
      <c r="AF101" s="19">
        <f>SUM(AF102:AF102)</f>
        <v>0</v>
      </c>
      <c r="AG101" s="19"/>
      <c r="AH101" s="19"/>
      <c r="AI101" s="274"/>
      <c r="AJ101" s="19"/>
      <c r="AK101" s="19">
        <f>SUM(AK102:AK102)</f>
        <v>0</v>
      </c>
      <c r="AL101" s="19"/>
      <c r="AM101" s="19"/>
      <c r="AN101" s="274"/>
      <c r="AO101" s="19"/>
      <c r="AP101" s="19">
        <f>SUM(AP102:AP102)</f>
        <v>0</v>
      </c>
      <c r="AQ101" s="19"/>
      <c r="AR101" s="19"/>
      <c r="AS101" s="274"/>
      <c r="AT101" s="19"/>
      <c r="AU101" s="19">
        <f>SUM(AU102:AU102)</f>
        <v>0</v>
      </c>
      <c r="AV101" s="19"/>
      <c r="AW101" s="19"/>
      <c r="AX101" s="274"/>
      <c r="AY101" s="19"/>
      <c r="AZ101" s="19">
        <f>SUM(AZ102:AZ102)</f>
        <v>0</v>
      </c>
      <c r="BA101" s="19"/>
      <c r="BB101" s="19"/>
      <c r="BC101" s="274"/>
      <c r="BD101" s="19"/>
      <c r="BE101" s="19">
        <f>SUM(BE102:BE102)</f>
        <v>0</v>
      </c>
      <c r="BF101" s="19"/>
      <c r="BG101" s="19"/>
      <c r="BH101" s="274"/>
      <c r="BI101" s="19"/>
      <c r="BJ101" s="19">
        <f>SUM(BJ102:BJ102)</f>
        <v>0</v>
      </c>
      <c r="BK101" s="19"/>
      <c r="BL101" s="19"/>
      <c r="BM101" s="274"/>
      <c r="BN101" s="19"/>
      <c r="BO101" s="19">
        <f>SUM(BO102:BO102)</f>
        <v>0</v>
      </c>
      <c r="BP101" s="19"/>
      <c r="BQ101" s="19"/>
      <c r="BR101" s="274"/>
      <c r="BS101" s="19"/>
      <c r="BT101" s="19">
        <f>SUM(BT102:BT102)</f>
        <v>0</v>
      </c>
      <c r="BU101" s="19"/>
      <c r="BV101" s="19"/>
      <c r="BW101" s="274"/>
      <c r="BX101" s="19"/>
      <c r="BY101" s="19">
        <f>SUM(BY102:BY102)</f>
        <v>0</v>
      </c>
      <c r="BZ101" s="19"/>
      <c r="CA101" s="19"/>
      <c r="CB101" s="274"/>
      <c r="CC101" s="19"/>
      <c r="CD101" s="19">
        <f>SUM(CD102:CD102)</f>
        <v>0</v>
      </c>
      <c r="CE101" s="19"/>
      <c r="CF101" s="19"/>
      <c r="CG101" s="274"/>
      <c r="CH101" s="19"/>
      <c r="CI101" s="19">
        <f>SUM(CI102:CI102)</f>
        <v>0</v>
      </c>
      <c r="CJ101" s="19"/>
      <c r="CK101" s="19"/>
      <c r="CL101" s="274"/>
      <c r="CM101" s="19"/>
      <c r="CN101" s="19">
        <f>SUM(CN102:CN102)</f>
        <v>0</v>
      </c>
      <c r="CO101" s="19"/>
      <c r="CP101" s="19"/>
      <c r="CQ101" s="274"/>
      <c r="CR101" s="19"/>
      <c r="CS101" s="19">
        <f>SUM(CS102:CS102)</f>
        <v>0</v>
      </c>
      <c r="CT101" s="19"/>
      <c r="CU101" s="19"/>
      <c r="CV101" s="274"/>
      <c r="CW101" s="19"/>
      <c r="CX101" s="19">
        <f>SUM(CX102:CX102)</f>
        <v>0</v>
      </c>
      <c r="CY101" s="19"/>
      <c r="CZ101" s="19"/>
      <c r="DA101" s="274"/>
      <c r="DB101" s="19"/>
      <c r="DC101" s="19">
        <f>SUM(DC102:DC102)</f>
        <v>0</v>
      </c>
      <c r="DD101" s="19"/>
      <c r="DE101" s="19"/>
      <c r="DF101" s="274"/>
      <c r="DG101" s="19"/>
      <c r="DH101" s="19">
        <f>SUM(DH102:DH102)</f>
        <v>0</v>
      </c>
      <c r="DI101" s="19"/>
      <c r="DJ101" s="19"/>
      <c r="DK101" s="274"/>
      <c r="DL101" s="19"/>
      <c r="DM101" s="19">
        <f>SUM(DM102:DM102)</f>
        <v>0</v>
      </c>
      <c r="DN101" s="19"/>
      <c r="DO101" s="19"/>
      <c r="DP101" s="274"/>
      <c r="DQ101" s="19"/>
      <c r="DR101" s="19">
        <f>SUM(DR102:DR102)</f>
        <v>0</v>
      </c>
      <c r="DS101" s="19"/>
      <c r="DT101" s="19"/>
      <c r="DU101" s="274"/>
      <c r="DV101" s="19"/>
      <c r="DW101" s="19">
        <f>SUM(DW102:DW102)</f>
        <v>0</v>
      </c>
      <c r="DX101" s="19"/>
      <c r="DY101" s="19"/>
      <c r="DZ101" s="274"/>
      <c r="EA101" s="19"/>
      <c r="EB101" s="19">
        <f>SUM(EB102:EB102)</f>
        <v>0</v>
      </c>
      <c r="EC101" s="19"/>
      <c r="ED101" s="19"/>
      <c r="EE101" s="274"/>
      <c r="EF101" s="19"/>
      <c r="EG101" s="19">
        <f>SUM(EG102:EG102)</f>
        <v>0</v>
      </c>
      <c r="EH101" s="19"/>
      <c r="EI101" s="19"/>
      <c r="EJ101" s="274"/>
      <c r="EK101" s="19"/>
      <c r="EL101" s="19">
        <f>SUM(EL102:EL102)</f>
        <v>0</v>
      </c>
      <c r="EM101" s="19"/>
      <c r="EN101" s="19"/>
      <c r="EO101" s="244"/>
      <c r="EP101" s="451"/>
      <c r="EQ101" s="451"/>
    </row>
    <row r="102" spans="4:147" ht="12.75" hidden="1" customHeight="1" x14ac:dyDescent="0.2">
      <c r="D102" s="244" t="s">
        <v>344</v>
      </c>
      <c r="E102" s="82"/>
      <c r="F102" s="91"/>
      <c r="G102" s="81">
        <v>0</v>
      </c>
      <c r="H102" s="49"/>
      <c r="I102" s="19"/>
      <c r="J102" s="274"/>
      <c r="K102" s="48"/>
      <c r="L102" s="81">
        <v>0</v>
      </c>
      <c r="M102" s="49"/>
      <c r="N102" s="19"/>
      <c r="O102" s="274"/>
      <c r="P102" s="48"/>
      <c r="Q102" s="81">
        <v>0</v>
      </c>
      <c r="R102" s="49"/>
      <c r="S102" s="19"/>
      <c r="T102" s="274"/>
      <c r="U102" s="48"/>
      <c r="V102" s="81">
        <v>0</v>
      </c>
      <c r="W102" s="49"/>
      <c r="X102" s="19"/>
      <c r="Y102" s="274"/>
      <c r="Z102" s="48"/>
      <c r="AA102" s="81">
        <v>0</v>
      </c>
      <c r="AB102" s="49"/>
      <c r="AC102" s="19"/>
      <c r="AD102" s="274"/>
      <c r="AE102" s="48"/>
      <c r="AF102" s="81">
        <v>0</v>
      </c>
      <c r="AG102" s="49"/>
      <c r="AH102" s="19"/>
      <c r="AI102" s="274"/>
      <c r="AJ102" s="48"/>
      <c r="AK102" s="81">
        <v>0</v>
      </c>
      <c r="AL102" s="49"/>
      <c r="AM102" s="19"/>
      <c r="AN102" s="274"/>
      <c r="AO102" s="48"/>
      <c r="AP102" s="81">
        <v>0</v>
      </c>
      <c r="AQ102" s="49"/>
      <c r="AR102" s="19"/>
      <c r="AS102" s="274"/>
      <c r="AT102" s="48"/>
      <c r="AU102" s="81">
        <v>0</v>
      </c>
      <c r="AV102" s="49"/>
      <c r="AW102" s="19"/>
      <c r="AX102" s="274"/>
      <c r="AY102" s="48"/>
      <c r="AZ102" s="81">
        <v>0</v>
      </c>
      <c r="BA102" s="49"/>
      <c r="BB102" s="19"/>
      <c r="BC102" s="274"/>
      <c r="BD102" s="48"/>
      <c r="BE102" s="81">
        <v>0</v>
      </c>
      <c r="BF102" s="49"/>
      <c r="BG102" s="19"/>
      <c r="BH102" s="274"/>
      <c r="BI102" s="48"/>
      <c r="BJ102" s="81">
        <v>0</v>
      </c>
      <c r="BK102" s="49"/>
      <c r="BL102" s="19"/>
      <c r="BM102" s="274"/>
      <c r="BN102" s="48"/>
      <c r="BO102" s="81">
        <v>0</v>
      </c>
      <c r="BP102" s="49"/>
      <c r="BQ102" s="19"/>
      <c r="BR102" s="274"/>
      <c r="BS102" s="48"/>
      <c r="BT102" s="81">
        <f>SUM(L102:BO102)</f>
        <v>0</v>
      </c>
      <c r="BU102" s="49"/>
      <c r="BV102" s="19"/>
      <c r="BW102" s="274"/>
      <c r="BX102" s="48"/>
      <c r="BY102" s="81">
        <v>0</v>
      </c>
      <c r="BZ102" s="49"/>
      <c r="CA102" s="19"/>
      <c r="CB102" s="274"/>
      <c r="CC102" s="48"/>
      <c r="CD102" s="81">
        <v>0</v>
      </c>
      <c r="CE102" s="49"/>
      <c r="CF102" s="19"/>
      <c r="CG102" s="274"/>
      <c r="CH102" s="48"/>
      <c r="CI102" s="81">
        <v>0</v>
      </c>
      <c r="CJ102" s="49"/>
      <c r="CK102" s="19"/>
      <c r="CL102" s="274"/>
      <c r="CM102" s="48"/>
      <c r="CN102" s="81">
        <v>0</v>
      </c>
      <c r="CO102" s="49"/>
      <c r="CP102" s="19"/>
      <c r="CQ102" s="274"/>
      <c r="CR102" s="48"/>
      <c r="CS102" s="81">
        <v>0</v>
      </c>
      <c r="CT102" s="49"/>
      <c r="CU102" s="19"/>
      <c r="CV102" s="274"/>
      <c r="CW102" s="48"/>
      <c r="CX102" s="81">
        <v>0</v>
      </c>
      <c r="CY102" s="49"/>
      <c r="CZ102" s="19"/>
      <c r="DA102" s="274"/>
      <c r="DB102" s="48"/>
      <c r="DC102" s="81">
        <v>0</v>
      </c>
      <c r="DD102" s="49"/>
      <c r="DE102" s="19"/>
      <c r="DF102" s="274"/>
      <c r="DG102" s="48"/>
      <c r="DH102" s="81">
        <v>0</v>
      </c>
      <c r="DI102" s="49"/>
      <c r="DJ102" s="19"/>
      <c r="DK102" s="274"/>
      <c r="DL102" s="48"/>
      <c r="DM102" s="81">
        <v>0</v>
      </c>
      <c r="DN102" s="49"/>
      <c r="DO102" s="19"/>
      <c r="DP102" s="274"/>
      <c r="DQ102" s="48"/>
      <c r="DR102" s="81">
        <v>0</v>
      </c>
      <c r="DS102" s="49"/>
      <c r="DT102" s="19"/>
      <c r="DU102" s="274"/>
      <c r="DV102" s="48"/>
      <c r="DW102" s="81">
        <v>0</v>
      </c>
      <c r="DX102" s="49"/>
      <c r="DY102" s="19"/>
      <c r="DZ102" s="274"/>
      <c r="EA102" s="48"/>
      <c r="EB102" s="81">
        <v>0</v>
      </c>
      <c r="EC102" s="49"/>
      <c r="ED102" s="19"/>
      <c r="EE102" s="274"/>
      <c r="EF102" s="48"/>
      <c r="EG102" s="81">
        <v>0</v>
      </c>
      <c r="EH102" s="49"/>
      <c r="EI102" s="19"/>
      <c r="EJ102" s="274"/>
      <c r="EK102" s="48"/>
      <c r="EL102" s="81">
        <f>SUM(CD102:EB102)</f>
        <v>0</v>
      </c>
      <c r="EM102" s="49"/>
      <c r="EN102" s="19"/>
      <c r="EO102" s="244"/>
      <c r="EP102" s="451"/>
      <c r="EQ102" s="451"/>
    </row>
    <row r="103" spans="4:147" ht="12.75" hidden="1" customHeight="1" x14ac:dyDescent="0.2">
      <c r="D103" s="244"/>
      <c r="E103" s="82"/>
      <c r="G103" s="19"/>
      <c r="H103" s="19"/>
      <c r="I103" s="19"/>
      <c r="J103" s="274"/>
      <c r="K103" s="19"/>
      <c r="L103" s="19"/>
      <c r="M103" s="19"/>
      <c r="N103" s="19"/>
      <c r="O103" s="274"/>
      <c r="P103" s="19"/>
      <c r="Q103" s="19"/>
      <c r="R103" s="19"/>
      <c r="S103" s="19"/>
      <c r="T103" s="274"/>
      <c r="U103" s="19"/>
      <c r="V103" s="19"/>
      <c r="W103" s="19"/>
      <c r="X103" s="19"/>
      <c r="Y103" s="274"/>
      <c r="Z103" s="19"/>
      <c r="AA103" s="19"/>
      <c r="AB103" s="19"/>
      <c r="AC103" s="19"/>
      <c r="AD103" s="274"/>
      <c r="AE103" s="19"/>
      <c r="AF103" s="19"/>
      <c r="AG103" s="19"/>
      <c r="AH103" s="19"/>
      <c r="AI103" s="274"/>
      <c r="AJ103" s="19"/>
      <c r="AK103" s="19"/>
      <c r="AL103" s="19"/>
      <c r="AM103" s="19"/>
      <c r="AN103" s="274"/>
      <c r="AO103" s="19"/>
      <c r="AP103" s="19"/>
      <c r="AQ103" s="19"/>
      <c r="AR103" s="19"/>
      <c r="AS103" s="274"/>
      <c r="AT103" s="19"/>
      <c r="AU103" s="19"/>
      <c r="AV103" s="19"/>
      <c r="AW103" s="19"/>
      <c r="AX103" s="274"/>
      <c r="AY103" s="19"/>
      <c r="AZ103" s="19"/>
      <c r="BA103" s="19"/>
      <c r="BB103" s="19"/>
      <c r="BC103" s="274"/>
      <c r="BD103" s="19"/>
      <c r="BE103" s="19"/>
      <c r="BF103" s="19"/>
      <c r="BG103" s="19"/>
      <c r="BH103" s="274"/>
      <c r="BI103" s="19"/>
      <c r="BJ103" s="19"/>
      <c r="BK103" s="19"/>
      <c r="BL103" s="19"/>
      <c r="BM103" s="274"/>
      <c r="BN103" s="19"/>
      <c r="BO103" s="19"/>
      <c r="BP103" s="19"/>
      <c r="BQ103" s="19"/>
      <c r="BR103" s="274"/>
      <c r="BS103" s="19"/>
      <c r="BT103" s="19"/>
      <c r="BU103" s="19"/>
      <c r="BV103" s="19"/>
      <c r="BW103" s="274"/>
      <c r="BX103" s="19"/>
      <c r="BY103" s="19"/>
      <c r="BZ103" s="19"/>
      <c r="CA103" s="19"/>
      <c r="CB103" s="274"/>
      <c r="CC103" s="19"/>
      <c r="CD103" s="19"/>
      <c r="CE103" s="19"/>
      <c r="CF103" s="19"/>
      <c r="CG103" s="274"/>
      <c r="CH103" s="19"/>
      <c r="CI103" s="19"/>
      <c r="CJ103" s="19"/>
      <c r="CK103" s="19"/>
      <c r="CL103" s="274"/>
      <c r="CM103" s="19"/>
      <c r="CN103" s="19"/>
      <c r="CO103" s="19"/>
      <c r="CP103" s="19"/>
      <c r="CQ103" s="274"/>
      <c r="CR103" s="19"/>
      <c r="CS103" s="19"/>
      <c r="CT103" s="19"/>
      <c r="CU103" s="19"/>
      <c r="CV103" s="274"/>
      <c r="CW103" s="19"/>
      <c r="CX103" s="19"/>
      <c r="CY103" s="19"/>
      <c r="CZ103" s="19"/>
      <c r="DA103" s="274"/>
      <c r="DB103" s="19"/>
      <c r="DC103" s="19"/>
      <c r="DD103" s="19"/>
      <c r="DE103" s="19"/>
      <c r="DF103" s="274"/>
      <c r="DG103" s="19"/>
      <c r="DH103" s="19"/>
      <c r="DI103" s="19"/>
      <c r="DJ103" s="19"/>
      <c r="DK103" s="274"/>
      <c r="DL103" s="19"/>
      <c r="DM103" s="19"/>
      <c r="DN103" s="19"/>
      <c r="DO103" s="19"/>
      <c r="DP103" s="274"/>
      <c r="DQ103" s="19"/>
      <c r="DR103" s="19"/>
      <c r="DS103" s="19"/>
      <c r="DT103" s="19"/>
      <c r="DU103" s="274"/>
      <c r="DV103" s="19"/>
      <c r="DW103" s="19"/>
      <c r="DX103" s="19"/>
      <c r="DY103" s="19"/>
      <c r="DZ103" s="274"/>
      <c r="EA103" s="19"/>
      <c r="EB103" s="19"/>
      <c r="EC103" s="19"/>
      <c r="ED103" s="19"/>
      <c r="EE103" s="274"/>
      <c r="EF103" s="19"/>
      <c r="EG103" s="19"/>
      <c r="EH103" s="19"/>
      <c r="EI103" s="19"/>
      <c r="EJ103" s="274"/>
      <c r="EK103" s="19"/>
      <c r="EL103" s="19"/>
      <c r="EM103" s="19"/>
      <c r="EN103" s="19"/>
      <c r="EO103" s="244"/>
      <c r="EP103" s="451"/>
      <c r="EQ103" s="451"/>
    </row>
    <row r="104" spans="4:147" x14ac:dyDescent="0.2">
      <c r="D104" s="244" t="s">
        <v>365</v>
      </c>
      <c r="E104" s="82"/>
      <c r="G104" s="19">
        <f>SUM(G105:G105)</f>
        <v>0</v>
      </c>
      <c r="H104" s="19"/>
      <c r="I104" s="19"/>
      <c r="J104" s="274"/>
      <c r="L104" s="19">
        <f>SUM(L105:L105)</f>
        <v>0</v>
      </c>
      <c r="M104" s="19"/>
      <c r="N104" s="19"/>
      <c r="O104" s="274"/>
      <c r="P104" s="19"/>
      <c r="Q104" s="19">
        <f>SUM(Q105:Q105)</f>
        <v>0</v>
      </c>
      <c r="R104" s="19"/>
      <c r="S104" s="19"/>
      <c r="T104" s="274"/>
      <c r="U104" s="19"/>
      <c r="V104" s="19">
        <f>SUM(V105:V105)</f>
        <v>0</v>
      </c>
      <c r="W104" s="19"/>
      <c r="X104" s="19"/>
      <c r="Y104" s="274"/>
      <c r="Z104" s="19"/>
      <c r="AA104" s="19">
        <f>SUM(AA105:AA105)</f>
        <v>0</v>
      </c>
      <c r="AB104" s="19"/>
      <c r="AC104" s="19"/>
      <c r="AD104" s="274"/>
      <c r="AE104" s="19"/>
      <c r="AF104" s="19">
        <f>SUM(AF105:AF105)</f>
        <v>0</v>
      </c>
      <c r="AG104" s="19"/>
      <c r="AH104" s="19"/>
      <c r="AI104" s="274"/>
      <c r="AJ104" s="19"/>
      <c r="AK104" s="19">
        <f>SUM(AK105:AK105)</f>
        <v>0</v>
      </c>
      <c r="AL104" s="19"/>
      <c r="AM104" s="19"/>
      <c r="AN104" s="274"/>
      <c r="AO104" s="19"/>
      <c r="AP104" s="19">
        <f>SUM(AP105:AP105)</f>
        <v>0</v>
      </c>
      <c r="AQ104" s="19"/>
      <c r="AR104" s="19"/>
      <c r="AS104" s="274"/>
      <c r="AT104" s="19"/>
      <c r="AU104" s="19">
        <f>SUM(AU105:AU105)</f>
        <v>0</v>
      </c>
      <c r="AV104" s="19"/>
      <c r="AW104" s="19"/>
      <c r="AX104" s="274"/>
      <c r="AY104" s="19"/>
      <c r="AZ104" s="19">
        <f>SUM(AZ105:AZ105)</f>
        <v>0</v>
      </c>
      <c r="BA104" s="19"/>
      <c r="BB104" s="19"/>
      <c r="BC104" s="274"/>
      <c r="BD104" s="19"/>
      <c r="BE104" s="19">
        <f>SUM(BE105:BE105)</f>
        <v>0</v>
      </c>
      <c r="BF104" s="19"/>
      <c r="BG104" s="19"/>
      <c r="BH104" s="274"/>
      <c r="BI104" s="19"/>
      <c r="BJ104" s="19">
        <f>SUM(BJ105:BJ105)</f>
        <v>0</v>
      </c>
      <c r="BK104" s="19"/>
      <c r="BL104" s="19"/>
      <c r="BM104" s="274"/>
      <c r="BN104" s="19"/>
      <c r="BO104" s="19">
        <f>SUM(BO105:BO105)</f>
        <v>0</v>
      </c>
      <c r="BP104" s="19"/>
      <c r="BQ104" s="19"/>
      <c r="BR104" s="274"/>
      <c r="BT104" s="19">
        <f>SUM(BT105:BT105)</f>
        <v>0</v>
      </c>
      <c r="BU104" s="19"/>
      <c r="BV104" s="19"/>
      <c r="BW104" s="274"/>
      <c r="BY104" s="19">
        <f>SUM(BY105:BY105)</f>
        <v>266052</v>
      </c>
      <c r="BZ104" s="19"/>
      <c r="CA104" s="19"/>
      <c r="CB104" s="274"/>
      <c r="CD104" s="19">
        <f>SUM(CD105:CD105)</f>
        <v>0</v>
      </c>
      <c r="CE104" s="19"/>
      <c r="CF104" s="19"/>
      <c r="CG104" s="274"/>
      <c r="CH104" s="19"/>
      <c r="CI104" s="19">
        <f>SUM(CI105:CI105)</f>
        <v>0</v>
      </c>
      <c r="CJ104" s="19"/>
      <c r="CK104" s="19"/>
      <c r="CL104" s="274"/>
      <c r="CM104" s="19"/>
      <c r="CN104" s="19">
        <f>SUM(CN105:CN105)</f>
        <v>0</v>
      </c>
      <c r="CO104" s="19"/>
      <c r="CP104" s="19"/>
      <c r="CQ104" s="274"/>
      <c r="CR104" s="19"/>
      <c r="CS104" s="19">
        <f>SUM(CS105:CS105)</f>
        <v>0</v>
      </c>
      <c r="CT104" s="19"/>
      <c r="CU104" s="19"/>
      <c r="CV104" s="274"/>
      <c r="CW104" s="19"/>
      <c r="CX104" s="19">
        <f>SUM(CX105:CX105)</f>
        <v>266052</v>
      </c>
      <c r="CY104" s="19"/>
      <c r="CZ104" s="19"/>
      <c r="DA104" s="274"/>
      <c r="DB104" s="19"/>
      <c r="DC104" s="19">
        <f>SUM(DC105:DC105)</f>
        <v>0</v>
      </c>
      <c r="DD104" s="19"/>
      <c r="DE104" s="19"/>
      <c r="DF104" s="274"/>
      <c r="DG104" s="19"/>
      <c r="DH104" s="19">
        <f>SUM(DH105:DH105)</f>
        <v>0</v>
      </c>
      <c r="DI104" s="19"/>
      <c r="DJ104" s="19"/>
      <c r="DK104" s="274"/>
      <c r="DL104" s="19"/>
      <c r="DM104" s="19">
        <f>SUM(DM105:DM105)</f>
        <v>0</v>
      </c>
      <c r="DN104" s="19"/>
      <c r="DO104" s="19"/>
      <c r="DP104" s="274"/>
      <c r="DQ104" s="19"/>
      <c r="DR104" s="19">
        <f>SUM(DR105:DR105)</f>
        <v>0</v>
      </c>
      <c r="DS104" s="19"/>
      <c r="DT104" s="19"/>
      <c r="DU104" s="274"/>
      <c r="DV104" s="19"/>
      <c r="DW104" s="19">
        <f>SUM(DW105:DW105)</f>
        <v>0</v>
      </c>
      <c r="DX104" s="19"/>
      <c r="DY104" s="19"/>
      <c r="DZ104" s="274"/>
      <c r="EA104" s="19"/>
      <c r="EB104" s="19">
        <f>SUM(EB105:EB105)</f>
        <v>0</v>
      </c>
      <c r="EC104" s="19"/>
      <c r="ED104" s="19"/>
      <c r="EE104" s="274"/>
      <c r="EF104" s="19"/>
      <c r="EG104" s="19">
        <f>SUM(EG105:EG105)</f>
        <v>0</v>
      </c>
      <c r="EH104" s="19"/>
      <c r="EI104" s="19"/>
      <c r="EJ104" s="274"/>
      <c r="EL104" s="19">
        <f>SUM(EL105:EL105)</f>
        <v>266052</v>
      </c>
      <c r="EM104" s="19"/>
      <c r="EO104" s="244"/>
      <c r="EP104" s="451"/>
      <c r="EQ104" s="451"/>
    </row>
    <row r="105" spans="4:147" x14ac:dyDescent="0.2">
      <c r="D105" s="244" t="s">
        <v>344</v>
      </c>
      <c r="E105" s="82"/>
      <c r="F105" s="91"/>
      <c r="G105" s="81">
        <v>0</v>
      </c>
      <c r="H105" s="49"/>
      <c r="I105" s="19"/>
      <c r="J105" s="274"/>
      <c r="K105" s="91"/>
      <c r="L105" s="81">
        <v>0</v>
      </c>
      <c r="M105" s="49"/>
      <c r="N105" s="19"/>
      <c r="O105" s="274"/>
      <c r="P105" s="48"/>
      <c r="Q105" s="81">
        <v>0</v>
      </c>
      <c r="R105" s="49"/>
      <c r="S105" s="19"/>
      <c r="T105" s="274"/>
      <c r="U105" s="48"/>
      <c r="V105" s="81">
        <v>0</v>
      </c>
      <c r="W105" s="49"/>
      <c r="X105" s="19"/>
      <c r="Y105" s="274"/>
      <c r="Z105" s="48"/>
      <c r="AA105" s="81">
        <v>0</v>
      </c>
      <c r="AB105" s="49"/>
      <c r="AC105" s="19"/>
      <c r="AD105" s="274"/>
      <c r="AE105" s="48"/>
      <c r="AF105" s="81">
        <v>0</v>
      </c>
      <c r="AG105" s="49"/>
      <c r="AH105" s="19"/>
      <c r="AI105" s="274"/>
      <c r="AJ105" s="48"/>
      <c r="AK105" s="81">
        <v>0</v>
      </c>
      <c r="AL105" s="49"/>
      <c r="AM105" s="19"/>
      <c r="AN105" s="274"/>
      <c r="AO105" s="48"/>
      <c r="AP105" s="81">
        <v>0</v>
      </c>
      <c r="AQ105" s="49"/>
      <c r="AR105" s="19"/>
      <c r="AS105" s="274"/>
      <c r="AT105" s="48"/>
      <c r="AU105" s="81">
        <v>0</v>
      </c>
      <c r="AV105" s="49"/>
      <c r="AW105" s="19"/>
      <c r="AX105" s="274"/>
      <c r="AY105" s="48"/>
      <c r="AZ105" s="81">
        <v>0</v>
      </c>
      <c r="BA105" s="49"/>
      <c r="BB105" s="19"/>
      <c r="BC105" s="274"/>
      <c r="BD105" s="48"/>
      <c r="BE105" s="81">
        <v>0</v>
      </c>
      <c r="BF105" s="49"/>
      <c r="BG105" s="19"/>
      <c r="BH105" s="274"/>
      <c r="BI105" s="48"/>
      <c r="BJ105" s="81">
        <v>0</v>
      </c>
      <c r="BK105" s="49"/>
      <c r="BL105" s="19"/>
      <c r="BM105" s="274"/>
      <c r="BN105" s="48"/>
      <c r="BO105" s="81">
        <v>0</v>
      </c>
      <c r="BP105" s="49"/>
      <c r="BQ105" s="19"/>
      <c r="BR105" s="274"/>
      <c r="BS105" s="48"/>
      <c r="BT105" s="81">
        <f>SUM(L105:BO105)</f>
        <v>0</v>
      </c>
      <c r="BU105" s="49"/>
      <c r="BV105" s="19"/>
      <c r="BW105" s="274"/>
      <c r="BX105" s="91"/>
      <c r="BY105" s="81">
        <v>266052</v>
      </c>
      <c r="BZ105" s="49"/>
      <c r="CA105" s="19"/>
      <c r="CB105" s="274"/>
      <c r="CC105" s="91"/>
      <c r="CD105" s="81">
        <v>0</v>
      </c>
      <c r="CE105" s="49"/>
      <c r="CF105" s="19"/>
      <c r="CG105" s="274"/>
      <c r="CH105" s="48"/>
      <c r="CI105" s="81">
        <v>0</v>
      </c>
      <c r="CJ105" s="49"/>
      <c r="CK105" s="19"/>
      <c r="CL105" s="274"/>
      <c r="CM105" s="48"/>
      <c r="CN105" s="81">
        <v>0</v>
      </c>
      <c r="CO105" s="49"/>
      <c r="CP105" s="19"/>
      <c r="CQ105" s="274"/>
      <c r="CR105" s="48"/>
      <c r="CS105" s="81">
        <v>0</v>
      </c>
      <c r="CT105" s="49"/>
      <c r="CU105" s="19"/>
      <c r="CV105" s="274"/>
      <c r="CW105" s="48"/>
      <c r="CX105" s="81">
        <v>266052</v>
      </c>
      <c r="CY105" s="49"/>
      <c r="CZ105" s="19"/>
      <c r="DA105" s="274"/>
      <c r="DB105" s="48"/>
      <c r="DC105" s="81">
        <v>0</v>
      </c>
      <c r="DD105" s="49"/>
      <c r="DE105" s="19"/>
      <c r="DF105" s="274"/>
      <c r="DG105" s="48"/>
      <c r="DH105" s="81">
        <v>0</v>
      </c>
      <c r="DI105" s="49"/>
      <c r="DJ105" s="19"/>
      <c r="DK105" s="274"/>
      <c r="DL105" s="48"/>
      <c r="DM105" s="81">
        <v>0</v>
      </c>
      <c r="DN105" s="49"/>
      <c r="DO105" s="19"/>
      <c r="DP105" s="274"/>
      <c r="DQ105" s="48"/>
      <c r="DR105" s="81">
        <v>0</v>
      </c>
      <c r="DS105" s="49"/>
      <c r="DT105" s="19"/>
      <c r="DU105" s="274"/>
      <c r="DV105" s="48"/>
      <c r="DW105" s="81">
        <v>0</v>
      </c>
      <c r="DX105" s="49"/>
      <c r="DY105" s="19"/>
      <c r="DZ105" s="274"/>
      <c r="EA105" s="48"/>
      <c r="EB105" s="81">
        <v>0</v>
      </c>
      <c r="EC105" s="49"/>
      <c r="ED105" s="19"/>
      <c r="EE105" s="274"/>
      <c r="EF105" s="48"/>
      <c r="EG105" s="81">
        <v>0</v>
      </c>
      <c r="EH105" s="49"/>
      <c r="EI105" s="19"/>
      <c r="EJ105" s="274"/>
      <c r="EK105" s="91"/>
      <c r="EL105" s="81">
        <f>SUM(CD105:EG105)</f>
        <v>266052</v>
      </c>
      <c r="EM105" s="49"/>
      <c r="EO105" s="244"/>
      <c r="EP105" s="451"/>
      <c r="EQ105" s="451"/>
    </row>
    <row r="106" spans="4:147" ht="12.75" customHeight="1" x14ac:dyDescent="0.2">
      <c r="D106" s="244"/>
      <c r="E106" s="82"/>
      <c r="G106" s="19"/>
      <c r="H106" s="19"/>
      <c r="I106" s="19"/>
      <c r="J106" s="274"/>
      <c r="K106" s="19"/>
      <c r="L106" s="19"/>
      <c r="M106" s="19"/>
      <c r="N106" s="19"/>
      <c r="O106" s="274"/>
      <c r="P106" s="19"/>
      <c r="Q106" s="19"/>
      <c r="R106" s="19"/>
      <c r="S106" s="19"/>
      <c r="T106" s="274"/>
      <c r="U106" s="19"/>
      <c r="V106" s="19"/>
      <c r="W106" s="19"/>
      <c r="X106" s="19"/>
      <c r="Y106" s="274"/>
      <c r="Z106" s="19"/>
      <c r="AA106" s="19"/>
      <c r="AB106" s="19"/>
      <c r="AC106" s="19"/>
      <c r="AD106" s="274"/>
      <c r="AE106" s="19"/>
      <c r="AF106" s="19"/>
      <c r="AG106" s="19"/>
      <c r="AH106" s="19"/>
      <c r="AI106" s="274"/>
      <c r="AJ106" s="19"/>
      <c r="AK106" s="19"/>
      <c r="AL106" s="19"/>
      <c r="AM106" s="19"/>
      <c r="AN106" s="274"/>
      <c r="AO106" s="19"/>
      <c r="AP106" s="19"/>
      <c r="AQ106" s="19"/>
      <c r="AR106" s="19"/>
      <c r="AS106" s="274"/>
      <c r="AT106" s="19"/>
      <c r="AU106" s="19"/>
      <c r="AV106" s="19"/>
      <c r="AW106" s="19"/>
      <c r="AX106" s="274"/>
      <c r="AY106" s="19"/>
      <c r="AZ106" s="19"/>
      <c r="BA106" s="19"/>
      <c r="BB106" s="19"/>
      <c r="BC106" s="274"/>
      <c r="BD106" s="19"/>
      <c r="BE106" s="19"/>
      <c r="BF106" s="19"/>
      <c r="BG106" s="19"/>
      <c r="BH106" s="274"/>
      <c r="BI106" s="19"/>
      <c r="BJ106" s="19"/>
      <c r="BK106" s="19"/>
      <c r="BL106" s="19"/>
      <c r="BM106" s="274"/>
      <c r="BN106" s="19"/>
      <c r="BO106" s="19"/>
      <c r="BP106" s="19"/>
      <c r="BQ106" s="19"/>
      <c r="BR106" s="274"/>
      <c r="BS106" s="19"/>
      <c r="BT106" s="19"/>
      <c r="BU106" s="19"/>
      <c r="BV106" s="19"/>
      <c r="BW106" s="274"/>
      <c r="BX106" s="19"/>
      <c r="BY106" s="19"/>
      <c r="BZ106" s="19"/>
      <c r="CA106" s="19"/>
      <c r="CB106" s="274"/>
      <c r="CC106" s="19"/>
      <c r="CD106" s="19"/>
      <c r="CE106" s="19"/>
      <c r="CF106" s="19"/>
      <c r="CG106" s="274"/>
      <c r="CH106" s="19"/>
      <c r="CI106" s="19"/>
      <c r="CJ106" s="19"/>
      <c r="CK106" s="19"/>
      <c r="CL106" s="274"/>
      <c r="CM106" s="19"/>
      <c r="CN106" s="19"/>
      <c r="CO106" s="19"/>
      <c r="CP106" s="19"/>
      <c r="CQ106" s="274"/>
      <c r="CR106" s="19"/>
      <c r="CS106" s="19"/>
      <c r="CT106" s="19"/>
      <c r="CU106" s="19"/>
      <c r="CV106" s="274"/>
      <c r="CW106" s="19"/>
      <c r="CX106" s="19"/>
      <c r="CY106" s="19"/>
      <c r="CZ106" s="19"/>
      <c r="DA106" s="274"/>
      <c r="DB106" s="19"/>
      <c r="DC106" s="19"/>
      <c r="DD106" s="19"/>
      <c r="DE106" s="19"/>
      <c r="DF106" s="274"/>
      <c r="DG106" s="19"/>
      <c r="DH106" s="19"/>
      <c r="DI106" s="19"/>
      <c r="DJ106" s="19"/>
      <c r="DK106" s="274"/>
      <c r="DL106" s="19"/>
      <c r="DM106" s="19"/>
      <c r="DN106" s="19"/>
      <c r="DO106" s="19"/>
      <c r="DP106" s="274"/>
      <c r="DQ106" s="19"/>
      <c r="DR106" s="19"/>
      <c r="DS106" s="19"/>
      <c r="DT106" s="19"/>
      <c r="DU106" s="274"/>
      <c r="DV106" s="19"/>
      <c r="DW106" s="19"/>
      <c r="DX106" s="19"/>
      <c r="DY106" s="19"/>
      <c r="DZ106" s="274"/>
      <c r="EA106" s="19"/>
      <c r="EB106" s="19"/>
      <c r="EC106" s="19"/>
      <c r="ED106" s="19"/>
      <c r="EE106" s="274"/>
      <c r="EF106" s="19"/>
      <c r="EG106" s="19"/>
      <c r="EH106" s="19"/>
      <c r="EI106" s="19"/>
      <c r="EJ106" s="274"/>
      <c r="EK106" s="19"/>
      <c r="EL106" s="19"/>
      <c r="EO106" s="244"/>
      <c r="EP106" s="451"/>
      <c r="EQ106" s="451"/>
    </row>
    <row r="107" spans="4:147" ht="12.75" customHeight="1" x14ac:dyDescent="0.2">
      <c r="D107" s="244" t="str">
        <f>[51]domlongtermissues!D336</f>
        <v xml:space="preserve">  R209  (6.25%  2036/03/31)</v>
      </c>
      <c r="E107" s="82"/>
      <c r="G107" s="19">
        <f>SUM(G108:G108)</f>
        <v>18552</v>
      </c>
      <c r="H107" s="19"/>
      <c r="I107" s="19"/>
      <c r="J107" s="274"/>
      <c r="K107" s="19"/>
      <c r="L107" s="19">
        <f>SUM(L108:L108)</f>
        <v>0</v>
      </c>
      <c r="M107" s="19"/>
      <c r="N107" s="19"/>
      <c r="O107" s="274"/>
      <c r="P107" s="19"/>
      <c r="Q107" s="19">
        <f>SUM(Q108:Q108)</f>
        <v>0</v>
      </c>
      <c r="R107" s="19"/>
      <c r="S107" s="19"/>
      <c r="T107" s="274"/>
      <c r="U107" s="19"/>
      <c r="V107" s="19">
        <f>SUM(V108:V108)</f>
        <v>0</v>
      </c>
      <c r="W107" s="19"/>
      <c r="X107" s="19"/>
      <c r="Y107" s="274"/>
      <c r="Z107" s="19"/>
      <c r="AA107" s="19">
        <f>SUM(AA108:AA108)</f>
        <v>0</v>
      </c>
      <c r="AB107" s="19"/>
      <c r="AC107" s="19"/>
      <c r="AD107" s="274"/>
      <c r="AE107" s="19"/>
      <c r="AF107" s="19">
        <f>SUM(AF108:AF108)</f>
        <v>0</v>
      </c>
      <c r="AG107" s="19"/>
      <c r="AH107" s="19"/>
      <c r="AI107" s="274"/>
      <c r="AJ107" s="19"/>
      <c r="AK107" s="19">
        <f>SUM(AK108:AK108)</f>
        <v>18552</v>
      </c>
      <c r="AL107" s="19"/>
      <c r="AM107" s="19"/>
      <c r="AN107" s="274"/>
      <c r="AO107" s="19"/>
      <c r="AP107" s="19">
        <f>SUM(AP108:AP108)</f>
        <v>0</v>
      </c>
      <c r="AQ107" s="19"/>
      <c r="AR107" s="19"/>
      <c r="AS107" s="274"/>
      <c r="AT107" s="19"/>
      <c r="AU107" s="19">
        <f>SUM(AU108:AU108)</f>
        <v>0</v>
      </c>
      <c r="AV107" s="19"/>
      <c r="AW107" s="19"/>
      <c r="AX107" s="274"/>
      <c r="AY107" s="19"/>
      <c r="AZ107" s="19">
        <f>SUM(AZ108:AZ108)</f>
        <v>0</v>
      </c>
      <c r="BA107" s="19"/>
      <c r="BB107" s="19"/>
      <c r="BC107" s="274"/>
      <c r="BD107" s="19"/>
      <c r="BE107" s="19">
        <f>SUM(BE108:BE108)</f>
        <v>0</v>
      </c>
      <c r="BF107" s="19"/>
      <c r="BG107" s="19"/>
      <c r="BH107" s="274"/>
      <c r="BI107" s="19"/>
      <c r="BJ107" s="19">
        <f>SUM(BJ108:BJ108)</f>
        <v>0</v>
      </c>
      <c r="BK107" s="19"/>
      <c r="BL107" s="19"/>
      <c r="BM107" s="274"/>
      <c r="BN107" s="19"/>
      <c r="BO107" s="19">
        <f>SUM(BO108:BO108)</f>
        <v>0</v>
      </c>
      <c r="BP107" s="19"/>
      <c r="BQ107" s="19"/>
      <c r="BR107" s="274"/>
      <c r="BS107" s="19"/>
      <c r="BT107" s="19">
        <f>SUM(BT108:BT108)</f>
        <v>18552</v>
      </c>
      <c r="BU107" s="19"/>
      <c r="BV107" s="19"/>
      <c r="BW107" s="274"/>
      <c r="BX107" s="19"/>
      <c r="BY107" s="19">
        <f>SUM(BY108:BY108)</f>
        <v>0</v>
      </c>
      <c r="BZ107" s="19"/>
      <c r="CA107" s="19"/>
      <c r="CB107" s="274"/>
      <c r="CC107" s="19"/>
      <c r="CD107" s="19">
        <f>SUM(CD108:CD108)</f>
        <v>0</v>
      </c>
      <c r="CE107" s="19"/>
      <c r="CF107" s="19"/>
      <c r="CG107" s="274"/>
      <c r="CH107" s="19"/>
      <c r="CI107" s="19">
        <f>SUM(CI108:CI108)</f>
        <v>0</v>
      </c>
      <c r="CJ107" s="19"/>
      <c r="CK107" s="19"/>
      <c r="CL107" s="274"/>
      <c r="CM107" s="19"/>
      <c r="CN107" s="19">
        <f>SUM(CN108:CN108)</f>
        <v>0</v>
      </c>
      <c r="CO107" s="19"/>
      <c r="CP107" s="19"/>
      <c r="CQ107" s="274"/>
      <c r="CR107" s="19"/>
      <c r="CS107" s="19">
        <f>SUM(CS108:CS108)</f>
        <v>0</v>
      </c>
      <c r="CT107" s="19"/>
      <c r="CU107" s="19"/>
      <c r="CV107" s="274"/>
      <c r="CW107" s="19"/>
      <c r="CX107" s="19">
        <f>SUM(CX108:CX108)</f>
        <v>0</v>
      </c>
      <c r="CY107" s="19"/>
      <c r="CZ107" s="19"/>
      <c r="DA107" s="274"/>
      <c r="DB107" s="19"/>
      <c r="DC107" s="19">
        <f>SUM(DC108:DC108)</f>
        <v>0</v>
      </c>
      <c r="DD107" s="19"/>
      <c r="DE107" s="19"/>
      <c r="DF107" s="274"/>
      <c r="DG107" s="19"/>
      <c r="DH107" s="19">
        <f>SUM(DH108:DH108)</f>
        <v>0</v>
      </c>
      <c r="DI107" s="19"/>
      <c r="DJ107" s="19"/>
      <c r="DK107" s="274"/>
      <c r="DL107" s="19"/>
      <c r="DM107" s="19">
        <f>SUM(DM108:DM108)</f>
        <v>0</v>
      </c>
      <c r="DN107" s="19"/>
      <c r="DO107" s="19"/>
      <c r="DP107" s="274"/>
      <c r="DQ107" s="19"/>
      <c r="DR107" s="19">
        <f>SUM(DR108:DR108)</f>
        <v>0</v>
      </c>
      <c r="DS107" s="19"/>
      <c r="DT107" s="19"/>
      <c r="DU107" s="274"/>
      <c r="DV107" s="19"/>
      <c r="DW107" s="19">
        <f>SUM(DW108:DW108)</f>
        <v>0</v>
      </c>
      <c r="DX107" s="19"/>
      <c r="DY107" s="19"/>
      <c r="DZ107" s="274"/>
      <c r="EA107" s="19"/>
      <c r="EB107" s="19">
        <f>SUM(EB108:EB108)</f>
        <v>0</v>
      </c>
      <c r="EC107" s="19"/>
      <c r="ED107" s="19"/>
      <c r="EE107" s="274"/>
      <c r="EF107" s="19"/>
      <c r="EG107" s="19">
        <f>SUM(EG108:EG108)</f>
        <v>0</v>
      </c>
      <c r="EH107" s="19"/>
      <c r="EI107" s="19"/>
      <c r="EJ107" s="274"/>
      <c r="EK107" s="19"/>
      <c r="EL107" s="19">
        <f>SUM(EL108:EL108)</f>
        <v>0</v>
      </c>
      <c r="EO107" s="244"/>
      <c r="EP107" s="451"/>
      <c r="EQ107" s="451"/>
    </row>
    <row r="108" spans="4:147" ht="12.75" customHeight="1" x14ac:dyDescent="0.2">
      <c r="D108" s="244" t="s">
        <v>344</v>
      </c>
      <c r="E108" s="82"/>
      <c r="F108" s="91"/>
      <c r="G108" s="81">
        <v>18552</v>
      </c>
      <c r="H108" s="49"/>
      <c r="I108" s="19"/>
      <c r="J108" s="274"/>
      <c r="K108" s="91"/>
      <c r="L108" s="81">
        <v>0</v>
      </c>
      <c r="M108" s="49"/>
      <c r="N108" s="19"/>
      <c r="O108" s="274"/>
      <c r="P108" s="91"/>
      <c r="Q108" s="81">
        <v>0</v>
      </c>
      <c r="R108" s="49"/>
      <c r="S108" s="19"/>
      <c r="T108" s="274"/>
      <c r="U108" s="91"/>
      <c r="V108" s="81">
        <v>0</v>
      </c>
      <c r="W108" s="49"/>
      <c r="X108" s="19"/>
      <c r="Y108" s="274"/>
      <c r="Z108" s="91"/>
      <c r="AA108" s="81">
        <v>0</v>
      </c>
      <c r="AB108" s="49"/>
      <c r="AC108" s="19"/>
      <c r="AD108" s="274"/>
      <c r="AE108" s="91"/>
      <c r="AF108" s="81">
        <v>0</v>
      </c>
      <c r="AG108" s="49"/>
      <c r="AH108" s="19"/>
      <c r="AI108" s="274"/>
      <c r="AJ108" s="91"/>
      <c r="AK108" s="81">
        <v>18552</v>
      </c>
      <c r="AL108" s="49"/>
      <c r="AM108" s="18"/>
      <c r="AN108" s="17"/>
      <c r="AO108" s="91"/>
      <c r="AP108" s="81">
        <v>0</v>
      </c>
      <c r="AQ108" s="49"/>
      <c r="AR108" s="19"/>
      <c r="AS108" s="274"/>
      <c r="AT108" s="91"/>
      <c r="AU108" s="81">
        <v>0</v>
      </c>
      <c r="AV108" s="49"/>
      <c r="AW108" s="19"/>
      <c r="AX108" s="274"/>
      <c r="AY108" s="91"/>
      <c r="AZ108" s="81">
        <v>0</v>
      </c>
      <c r="BA108" s="49"/>
      <c r="BB108" s="19"/>
      <c r="BC108" s="274"/>
      <c r="BD108" s="91"/>
      <c r="BE108" s="81">
        <v>0</v>
      </c>
      <c r="BF108" s="49"/>
      <c r="BG108" s="19"/>
      <c r="BH108" s="274"/>
      <c r="BI108" s="91"/>
      <c r="BJ108" s="81">
        <v>0</v>
      </c>
      <c r="BK108" s="49"/>
      <c r="BL108" s="19"/>
      <c r="BM108" s="274"/>
      <c r="BN108" s="91"/>
      <c r="BO108" s="81">
        <v>0</v>
      </c>
      <c r="BP108" s="49"/>
      <c r="BQ108" s="19"/>
      <c r="BR108" s="274"/>
      <c r="BS108" s="91"/>
      <c r="BT108" s="81">
        <f>SUM(L108:BO108)</f>
        <v>18552</v>
      </c>
      <c r="BU108" s="49"/>
      <c r="BV108" s="19"/>
      <c r="BW108" s="274"/>
      <c r="BX108" s="91"/>
      <c r="BY108" s="81">
        <v>0</v>
      </c>
      <c r="BZ108" s="49"/>
      <c r="CA108" s="19"/>
      <c r="CB108" s="274"/>
      <c r="CC108" s="91"/>
      <c r="CD108" s="81">
        <v>0</v>
      </c>
      <c r="CE108" s="49"/>
      <c r="CF108" s="19"/>
      <c r="CG108" s="274"/>
      <c r="CH108" s="91"/>
      <c r="CI108" s="81">
        <v>0</v>
      </c>
      <c r="CJ108" s="49"/>
      <c r="CK108" s="19"/>
      <c r="CL108" s="274"/>
      <c r="CM108" s="91"/>
      <c r="CN108" s="81">
        <v>0</v>
      </c>
      <c r="CO108" s="49"/>
      <c r="CP108" s="19"/>
      <c r="CQ108" s="274"/>
      <c r="CR108" s="91"/>
      <c r="CS108" s="81">
        <v>0</v>
      </c>
      <c r="CT108" s="49"/>
      <c r="CU108" s="19"/>
      <c r="CV108" s="274"/>
      <c r="CW108" s="91"/>
      <c r="CX108" s="81">
        <v>0</v>
      </c>
      <c r="CY108" s="49"/>
      <c r="CZ108" s="19"/>
      <c r="DA108" s="274"/>
      <c r="DB108" s="91"/>
      <c r="DC108" s="81">
        <v>0</v>
      </c>
      <c r="DD108" s="49"/>
      <c r="DE108" s="18"/>
      <c r="DF108" s="17"/>
      <c r="DG108" s="91"/>
      <c r="DH108" s="81">
        <v>0</v>
      </c>
      <c r="DI108" s="49"/>
      <c r="DJ108" s="19"/>
      <c r="DK108" s="274"/>
      <c r="DL108" s="91"/>
      <c r="DM108" s="81">
        <v>0</v>
      </c>
      <c r="DN108" s="49"/>
      <c r="DO108" s="19"/>
      <c r="DP108" s="274"/>
      <c r="DQ108" s="91"/>
      <c r="DR108" s="81">
        <v>0</v>
      </c>
      <c r="DS108" s="49"/>
      <c r="DT108" s="19"/>
      <c r="DU108" s="274"/>
      <c r="DV108" s="91"/>
      <c r="DW108" s="81">
        <v>0</v>
      </c>
      <c r="DX108" s="49"/>
      <c r="DY108" s="19"/>
      <c r="DZ108" s="274"/>
      <c r="EA108" s="91"/>
      <c r="EB108" s="81">
        <v>0</v>
      </c>
      <c r="EC108" s="49"/>
      <c r="ED108" s="19"/>
      <c r="EE108" s="274"/>
      <c r="EF108" s="91"/>
      <c r="EG108" s="81">
        <v>0</v>
      </c>
      <c r="EH108" s="49"/>
      <c r="EI108" s="19"/>
      <c r="EJ108" s="274"/>
      <c r="EK108" s="91"/>
      <c r="EL108" s="81">
        <f>SUM(CD108:EG108)</f>
        <v>0</v>
      </c>
      <c r="EM108" s="49"/>
      <c r="EO108" s="244"/>
      <c r="EP108" s="451"/>
      <c r="EQ108" s="451"/>
    </row>
    <row r="109" spans="4:147" x14ac:dyDescent="0.2">
      <c r="D109" s="244"/>
      <c r="E109" s="82"/>
      <c r="G109" s="19"/>
      <c r="H109" s="19"/>
      <c r="I109" s="19"/>
      <c r="J109" s="274"/>
      <c r="L109" s="19"/>
      <c r="M109" s="19"/>
      <c r="N109" s="19"/>
      <c r="O109" s="274"/>
      <c r="Q109" s="19"/>
      <c r="R109" s="19"/>
      <c r="S109" s="19"/>
      <c r="T109" s="274"/>
      <c r="V109" s="19"/>
      <c r="W109" s="19"/>
      <c r="X109" s="19"/>
      <c r="Y109" s="274"/>
      <c r="AA109" s="19"/>
      <c r="AB109" s="19"/>
      <c r="AC109" s="19"/>
      <c r="AD109" s="274"/>
      <c r="AF109" s="19"/>
      <c r="AG109" s="19"/>
      <c r="AH109" s="19"/>
      <c r="AI109" s="274"/>
      <c r="AK109" s="19"/>
      <c r="AL109" s="19"/>
      <c r="AM109" s="19"/>
      <c r="AN109" s="274"/>
      <c r="AP109" s="19"/>
      <c r="AQ109" s="19"/>
      <c r="AR109" s="19"/>
      <c r="AS109" s="274"/>
      <c r="AU109" s="19"/>
      <c r="AV109" s="19"/>
      <c r="AW109" s="19"/>
      <c r="AX109" s="274"/>
      <c r="AZ109" s="19"/>
      <c r="BA109" s="19"/>
      <c r="BB109" s="19"/>
      <c r="BC109" s="274"/>
      <c r="BE109" s="19"/>
      <c r="BF109" s="19"/>
      <c r="BG109" s="19"/>
      <c r="BH109" s="274"/>
      <c r="BJ109" s="19"/>
      <c r="BK109" s="19"/>
      <c r="BL109" s="19"/>
      <c r="BM109" s="274"/>
      <c r="BO109" s="19"/>
      <c r="BP109" s="19"/>
      <c r="BQ109" s="19"/>
      <c r="BR109" s="274"/>
      <c r="BT109" s="19"/>
      <c r="BU109" s="19"/>
      <c r="BV109" s="19"/>
      <c r="BW109" s="274"/>
      <c r="BY109" s="19"/>
      <c r="BZ109" s="19"/>
      <c r="CA109" s="19"/>
      <c r="CB109" s="274"/>
      <c r="CD109" s="19"/>
      <c r="CE109" s="19"/>
      <c r="CF109" s="19"/>
      <c r="CG109" s="274"/>
      <c r="CI109" s="19"/>
      <c r="CJ109" s="19"/>
      <c r="CK109" s="19"/>
      <c r="CL109" s="274"/>
      <c r="CN109" s="19"/>
      <c r="CO109" s="19"/>
      <c r="CP109" s="19"/>
      <c r="CQ109" s="274"/>
      <c r="CS109" s="19"/>
      <c r="CT109" s="19"/>
      <c r="CU109" s="19"/>
      <c r="CV109" s="274"/>
      <c r="CX109" s="19"/>
      <c r="CY109" s="19"/>
      <c r="CZ109" s="19"/>
      <c r="DA109" s="274"/>
      <c r="DC109" s="19"/>
      <c r="DD109" s="19"/>
      <c r="DE109" s="19"/>
      <c r="DF109" s="274"/>
      <c r="DH109" s="19"/>
      <c r="DI109" s="19"/>
      <c r="DJ109" s="19"/>
      <c r="DK109" s="274"/>
      <c r="DM109" s="19"/>
      <c r="DN109" s="19"/>
      <c r="DO109" s="19"/>
      <c r="DP109" s="274"/>
      <c r="DR109" s="19"/>
      <c r="DS109" s="19"/>
      <c r="DT109" s="19"/>
      <c r="DU109" s="274"/>
      <c r="DW109" s="19"/>
      <c r="DX109" s="19"/>
      <c r="DY109" s="19"/>
      <c r="DZ109" s="274"/>
      <c r="EB109" s="19"/>
      <c r="EC109" s="19"/>
      <c r="ED109" s="19"/>
      <c r="EE109" s="274"/>
      <c r="EG109" s="19"/>
      <c r="EH109" s="19"/>
      <c r="EI109" s="19"/>
      <c r="EJ109" s="274"/>
      <c r="EL109" s="19"/>
      <c r="EM109" s="19"/>
      <c r="EO109" s="244"/>
      <c r="EP109" s="451"/>
      <c r="EQ109" s="451"/>
    </row>
    <row r="110" spans="4:147" x14ac:dyDescent="0.2">
      <c r="D110" s="244" t="s">
        <v>374</v>
      </c>
      <c r="E110" s="82"/>
      <c r="G110" s="19">
        <f>SUM(G111:G111)</f>
        <v>0</v>
      </c>
      <c r="H110" s="19"/>
      <c r="I110" s="19"/>
      <c r="J110" s="274"/>
      <c r="K110" s="19"/>
      <c r="L110" s="19">
        <f>SUM(L111:L111)</f>
        <v>0</v>
      </c>
      <c r="M110" s="19"/>
      <c r="N110" s="19"/>
      <c r="O110" s="274"/>
      <c r="P110" s="19"/>
      <c r="Q110" s="19">
        <f>SUM(Q111:Q111)</f>
        <v>0</v>
      </c>
      <c r="R110" s="19"/>
      <c r="S110" s="19"/>
      <c r="T110" s="274"/>
      <c r="U110" s="19"/>
      <c r="V110" s="19">
        <f>SUM(V111:V111)</f>
        <v>0</v>
      </c>
      <c r="W110" s="19"/>
      <c r="X110" s="19"/>
      <c r="Y110" s="274"/>
      <c r="Z110" s="19"/>
      <c r="AA110" s="19">
        <f>SUM(AA111:AA111)</f>
        <v>0</v>
      </c>
      <c r="AB110" s="19"/>
      <c r="AC110" s="19"/>
      <c r="AD110" s="274"/>
      <c r="AE110" s="19"/>
      <c r="AF110" s="19">
        <f>SUM(AF111:AF111)</f>
        <v>0</v>
      </c>
      <c r="AG110" s="19"/>
      <c r="AH110" s="19"/>
      <c r="AI110" s="274"/>
      <c r="AJ110" s="19"/>
      <c r="AK110" s="19">
        <f>SUM(AK111:AK111)</f>
        <v>0</v>
      </c>
      <c r="AL110" s="19"/>
      <c r="AM110" s="19"/>
      <c r="AN110" s="274"/>
      <c r="AO110" s="19"/>
      <c r="AP110" s="19">
        <f>SUM(AP111:AP111)</f>
        <v>0</v>
      </c>
      <c r="AQ110" s="19"/>
      <c r="AR110" s="19"/>
      <c r="AS110" s="274"/>
      <c r="AT110" s="19"/>
      <c r="AU110" s="19">
        <f>SUM(AU111:AU111)</f>
        <v>0</v>
      </c>
      <c r="AV110" s="19"/>
      <c r="AW110" s="19"/>
      <c r="AX110" s="274"/>
      <c r="AY110" s="19"/>
      <c r="AZ110" s="19">
        <f>SUM(AZ111:AZ111)</f>
        <v>0</v>
      </c>
      <c r="BA110" s="19"/>
      <c r="BB110" s="19"/>
      <c r="BC110" s="274"/>
      <c r="BD110" s="19"/>
      <c r="BE110" s="19">
        <f>SUM(BE111:BE111)</f>
        <v>0</v>
      </c>
      <c r="BF110" s="19"/>
      <c r="BG110" s="19"/>
      <c r="BH110" s="274"/>
      <c r="BI110" s="19"/>
      <c r="BJ110" s="19">
        <f>SUM(BJ111:BJ111)</f>
        <v>0</v>
      </c>
      <c r="BK110" s="19"/>
      <c r="BL110" s="19"/>
      <c r="BM110" s="274"/>
      <c r="BN110" s="19"/>
      <c r="BO110" s="19">
        <f>SUM(BO111:BO111)</f>
        <v>0</v>
      </c>
      <c r="BP110" s="19"/>
      <c r="BQ110" s="19"/>
      <c r="BR110" s="274"/>
      <c r="BT110" s="19">
        <f>SUM(BT111:BT111)</f>
        <v>0</v>
      </c>
      <c r="BU110" s="19"/>
      <c r="BV110" s="19"/>
      <c r="BW110" s="274"/>
      <c r="BY110" s="19">
        <f>SUM(BY111:BY111)</f>
        <v>0</v>
      </c>
      <c r="BZ110" s="19"/>
      <c r="CA110" s="19"/>
      <c r="CB110" s="274"/>
      <c r="CC110" s="19"/>
      <c r="CD110" s="19">
        <f>SUM(CD111:CD111)</f>
        <v>0</v>
      </c>
      <c r="CE110" s="19"/>
      <c r="CF110" s="19"/>
      <c r="CG110" s="274"/>
      <c r="CH110" s="19"/>
      <c r="CI110" s="19">
        <f>SUM(CI111:CI111)</f>
        <v>0</v>
      </c>
      <c r="CJ110" s="19"/>
      <c r="CK110" s="19"/>
      <c r="CL110" s="274"/>
      <c r="CM110" s="19"/>
      <c r="CN110" s="19">
        <f>SUM(CN111:CN111)</f>
        <v>0</v>
      </c>
      <c r="CO110" s="19"/>
      <c r="CP110" s="19"/>
      <c r="CQ110" s="274"/>
      <c r="CR110" s="19"/>
      <c r="CS110" s="19">
        <f>SUM(CS111:CS111)</f>
        <v>0</v>
      </c>
      <c r="CT110" s="19"/>
      <c r="CU110" s="19"/>
      <c r="CV110" s="274"/>
      <c r="CW110" s="19"/>
      <c r="CX110" s="19">
        <f>SUM(CX111:CX111)</f>
        <v>0</v>
      </c>
      <c r="CY110" s="19"/>
      <c r="CZ110" s="19"/>
      <c r="DA110" s="274"/>
      <c r="DB110" s="19"/>
      <c r="DC110" s="19">
        <f>SUM(DC111:DC111)</f>
        <v>0</v>
      </c>
      <c r="DD110" s="19"/>
      <c r="DE110" s="19"/>
      <c r="DF110" s="274"/>
      <c r="DG110" s="19"/>
      <c r="DH110" s="19">
        <f>SUM(DH111:DH111)</f>
        <v>0</v>
      </c>
      <c r="DI110" s="19"/>
      <c r="DJ110" s="19"/>
      <c r="DK110" s="274"/>
      <c r="DL110" s="19"/>
      <c r="DM110" s="19">
        <f>SUM(DM111:DM111)</f>
        <v>0</v>
      </c>
      <c r="DN110" s="19"/>
      <c r="DO110" s="19"/>
      <c r="DP110" s="274"/>
      <c r="DQ110" s="19"/>
      <c r="DR110" s="19">
        <f>SUM(DR111:DR111)</f>
        <v>0</v>
      </c>
      <c r="DS110" s="19"/>
      <c r="DT110" s="19"/>
      <c r="DU110" s="274"/>
      <c r="DV110" s="19"/>
      <c r="DW110" s="19">
        <f>SUM(DW111:DW111)</f>
        <v>0</v>
      </c>
      <c r="DX110" s="19"/>
      <c r="DY110" s="19"/>
      <c r="DZ110" s="274"/>
      <c r="EA110" s="19"/>
      <c r="EB110" s="19">
        <f>SUM(EB111:EB111)</f>
        <v>0</v>
      </c>
      <c r="EC110" s="19"/>
      <c r="ED110" s="19"/>
      <c r="EE110" s="274"/>
      <c r="EF110" s="19"/>
      <c r="EG110" s="19">
        <f>SUM(EG111:EG111)</f>
        <v>0</v>
      </c>
      <c r="EH110" s="19"/>
      <c r="EI110" s="19"/>
      <c r="EJ110" s="274"/>
      <c r="EL110" s="19">
        <f>SUM(EL111:EL111)</f>
        <v>0</v>
      </c>
      <c r="EM110" s="19"/>
      <c r="EO110" s="244"/>
      <c r="EP110" s="451"/>
      <c r="EQ110" s="451"/>
    </row>
    <row r="111" spans="4:147" x14ac:dyDescent="0.2">
      <c r="D111" s="244" t="s">
        <v>344</v>
      </c>
      <c r="E111" s="82"/>
      <c r="F111" s="91"/>
      <c r="G111" s="81">
        <v>0</v>
      </c>
      <c r="H111" s="49"/>
      <c r="I111" s="19"/>
      <c r="J111" s="274"/>
      <c r="K111" s="91"/>
      <c r="L111" s="81">
        <v>0</v>
      </c>
      <c r="M111" s="49"/>
      <c r="N111" s="19"/>
      <c r="O111" s="274"/>
      <c r="P111" s="48"/>
      <c r="Q111" s="81">
        <v>0</v>
      </c>
      <c r="R111" s="49"/>
      <c r="S111" s="19"/>
      <c r="T111" s="274"/>
      <c r="U111" s="48"/>
      <c r="V111" s="81">
        <v>0</v>
      </c>
      <c r="W111" s="49"/>
      <c r="X111" s="19"/>
      <c r="Y111" s="274"/>
      <c r="Z111" s="48"/>
      <c r="AA111" s="81">
        <v>0</v>
      </c>
      <c r="AB111" s="49"/>
      <c r="AC111" s="19"/>
      <c r="AD111" s="274"/>
      <c r="AE111" s="48"/>
      <c r="AF111" s="81">
        <v>0</v>
      </c>
      <c r="AG111" s="49"/>
      <c r="AH111" s="19"/>
      <c r="AI111" s="274"/>
      <c r="AJ111" s="48"/>
      <c r="AK111" s="81">
        <v>0</v>
      </c>
      <c r="AL111" s="49"/>
      <c r="AM111" s="19"/>
      <c r="AN111" s="274"/>
      <c r="AO111" s="48"/>
      <c r="AP111" s="81">
        <v>0</v>
      </c>
      <c r="AQ111" s="49"/>
      <c r="AR111" s="19"/>
      <c r="AS111" s="274"/>
      <c r="AT111" s="48"/>
      <c r="AU111" s="81">
        <v>0</v>
      </c>
      <c r="AV111" s="49"/>
      <c r="AW111" s="19"/>
      <c r="AX111" s="274"/>
      <c r="AY111" s="48"/>
      <c r="AZ111" s="81">
        <v>0</v>
      </c>
      <c r="BA111" s="49"/>
      <c r="BB111" s="19"/>
      <c r="BC111" s="274"/>
      <c r="BD111" s="48"/>
      <c r="BE111" s="81">
        <v>0</v>
      </c>
      <c r="BF111" s="49"/>
      <c r="BG111" s="19"/>
      <c r="BH111" s="274"/>
      <c r="BI111" s="48"/>
      <c r="BJ111" s="81">
        <v>0</v>
      </c>
      <c r="BK111" s="49"/>
      <c r="BL111" s="19"/>
      <c r="BM111" s="274"/>
      <c r="BN111" s="48"/>
      <c r="BO111" s="81">
        <v>0</v>
      </c>
      <c r="BP111" s="49"/>
      <c r="BQ111" s="19"/>
      <c r="BR111" s="274"/>
      <c r="BS111" s="91"/>
      <c r="BT111" s="81">
        <f>SUM(L111:BO111)</f>
        <v>0</v>
      </c>
      <c r="BU111" s="49"/>
      <c r="BV111" s="19"/>
      <c r="BW111" s="274"/>
      <c r="BX111" s="91"/>
      <c r="BY111" s="81">
        <v>0</v>
      </c>
      <c r="BZ111" s="49"/>
      <c r="CA111" s="19"/>
      <c r="CB111" s="274"/>
      <c r="CC111" s="91"/>
      <c r="CD111" s="81">
        <v>0</v>
      </c>
      <c r="CE111" s="49"/>
      <c r="CF111" s="19"/>
      <c r="CG111" s="274"/>
      <c r="CH111" s="48"/>
      <c r="CI111" s="81">
        <v>0</v>
      </c>
      <c r="CJ111" s="49"/>
      <c r="CK111" s="19"/>
      <c r="CL111" s="274"/>
      <c r="CM111" s="48"/>
      <c r="CN111" s="81">
        <v>0</v>
      </c>
      <c r="CO111" s="49"/>
      <c r="CP111" s="19"/>
      <c r="CQ111" s="274"/>
      <c r="CR111" s="48"/>
      <c r="CS111" s="81">
        <v>0</v>
      </c>
      <c r="CT111" s="49"/>
      <c r="CU111" s="19"/>
      <c r="CV111" s="274"/>
      <c r="CW111" s="48"/>
      <c r="CX111" s="81">
        <v>0</v>
      </c>
      <c r="CY111" s="49"/>
      <c r="CZ111" s="19"/>
      <c r="DA111" s="274"/>
      <c r="DB111" s="48"/>
      <c r="DC111" s="81">
        <v>0</v>
      </c>
      <c r="DD111" s="49"/>
      <c r="DE111" s="19"/>
      <c r="DF111" s="274"/>
      <c r="DG111" s="48"/>
      <c r="DH111" s="81">
        <v>0</v>
      </c>
      <c r="DI111" s="49"/>
      <c r="DJ111" s="19"/>
      <c r="DK111" s="274"/>
      <c r="DL111" s="48"/>
      <c r="DM111" s="81">
        <v>0</v>
      </c>
      <c r="DN111" s="49"/>
      <c r="DO111" s="19"/>
      <c r="DP111" s="274"/>
      <c r="DQ111" s="48"/>
      <c r="DR111" s="81">
        <v>0</v>
      </c>
      <c r="DS111" s="49"/>
      <c r="DT111" s="19"/>
      <c r="DU111" s="274"/>
      <c r="DV111" s="48"/>
      <c r="DW111" s="81">
        <v>0</v>
      </c>
      <c r="DX111" s="49"/>
      <c r="DY111" s="19"/>
      <c r="DZ111" s="274"/>
      <c r="EA111" s="48"/>
      <c r="EB111" s="81">
        <v>0</v>
      </c>
      <c r="EC111" s="49"/>
      <c r="ED111" s="19"/>
      <c r="EE111" s="274"/>
      <c r="EF111" s="48"/>
      <c r="EG111" s="81">
        <v>0</v>
      </c>
      <c r="EH111" s="49"/>
      <c r="EI111" s="19"/>
      <c r="EJ111" s="274"/>
      <c r="EK111" s="91"/>
      <c r="EL111" s="81">
        <f>SUM(CD111:EG111)</f>
        <v>0</v>
      </c>
      <c r="EM111" s="49"/>
      <c r="EO111" s="244"/>
      <c r="EP111" s="451"/>
      <c r="EQ111" s="451"/>
    </row>
    <row r="112" spans="4:147" x14ac:dyDescent="0.2">
      <c r="D112" s="244"/>
      <c r="E112" s="82"/>
      <c r="G112" s="19"/>
      <c r="H112" s="19"/>
      <c r="I112" s="19"/>
      <c r="J112" s="274"/>
      <c r="L112" s="19"/>
      <c r="M112" s="19"/>
      <c r="N112" s="19"/>
      <c r="O112" s="274"/>
      <c r="Q112" s="19"/>
      <c r="R112" s="19"/>
      <c r="S112" s="19"/>
      <c r="T112" s="274"/>
      <c r="V112" s="19"/>
      <c r="W112" s="19"/>
      <c r="X112" s="19"/>
      <c r="Y112" s="274"/>
      <c r="AA112" s="19"/>
      <c r="AB112" s="19"/>
      <c r="AC112" s="19"/>
      <c r="AD112" s="274"/>
      <c r="AF112" s="19"/>
      <c r="AG112" s="19"/>
      <c r="AH112" s="19"/>
      <c r="AI112" s="274"/>
      <c r="AK112" s="19"/>
      <c r="AL112" s="19"/>
      <c r="AM112" s="19"/>
      <c r="AN112" s="274"/>
      <c r="AP112" s="19"/>
      <c r="AQ112" s="19"/>
      <c r="AR112" s="19"/>
      <c r="AS112" s="274"/>
      <c r="AU112" s="19"/>
      <c r="AV112" s="19"/>
      <c r="AW112" s="19"/>
      <c r="AX112" s="274"/>
      <c r="AZ112" s="19"/>
      <c r="BA112" s="19"/>
      <c r="BB112" s="19"/>
      <c r="BC112" s="274"/>
      <c r="BE112" s="19"/>
      <c r="BF112" s="19"/>
      <c r="BG112" s="19"/>
      <c r="BH112" s="274"/>
      <c r="BJ112" s="19"/>
      <c r="BK112" s="19"/>
      <c r="BL112" s="19"/>
      <c r="BM112" s="274"/>
      <c r="BO112" s="19"/>
      <c r="BP112" s="19"/>
      <c r="BQ112" s="19"/>
      <c r="BR112" s="274"/>
      <c r="BT112" s="19"/>
      <c r="BU112" s="19"/>
      <c r="BV112" s="19"/>
      <c r="BW112" s="274"/>
      <c r="BY112" s="19"/>
      <c r="BZ112" s="19"/>
      <c r="CA112" s="19"/>
      <c r="CB112" s="274"/>
      <c r="CD112" s="19"/>
      <c r="CE112" s="19"/>
      <c r="CF112" s="19"/>
      <c r="CG112" s="274"/>
      <c r="CI112" s="19"/>
      <c r="CJ112" s="19"/>
      <c r="CK112" s="19"/>
      <c r="CL112" s="274"/>
      <c r="CN112" s="19"/>
      <c r="CO112" s="19"/>
      <c r="CP112" s="19"/>
      <c r="CQ112" s="274"/>
      <c r="CS112" s="19"/>
      <c r="CT112" s="19"/>
      <c r="CU112" s="19"/>
      <c r="CV112" s="274"/>
      <c r="CX112" s="19"/>
      <c r="CY112" s="19"/>
      <c r="CZ112" s="19"/>
      <c r="DA112" s="274"/>
      <c r="DC112" s="19"/>
      <c r="DD112" s="19"/>
      <c r="DE112" s="19"/>
      <c r="DF112" s="274"/>
      <c r="DH112" s="19"/>
      <c r="DI112" s="19"/>
      <c r="DJ112" s="19"/>
      <c r="DK112" s="274"/>
      <c r="DM112" s="19"/>
      <c r="DN112" s="19"/>
      <c r="DO112" s="19"/>
      <c r="DP112" s="274"/>
      <c r="DR112" s="19"/>
      <c r="DS112" s="19"/>
      <c r="DT112" s="19"/>
      <c r="DU112" s="274"/>
      <c r="DW112" s="19"/>
      <c r="DX112" s="19"/>
      <c r="DY112" s="19"/>
      <c r="DZ112" s="274"/>
      <c r="EB112" s="19"/>
      <c r="EC112" s="19"/>
      <c r="ED112" s="19"/>
      <c r="EE112" s="274"/>
      <c r="EG112" s="19"/>
      <c r="EH112" s="19"/>
      <c r="EI112" s="19"/>
      <c r="EJ112" s="274"/>
      <c r="EL112" s="19"/>
      <c r="EM112" s="19"/>
      <c r="EO112" s="244"/>
      <c r="EP112" s="451"/>
      <c r="EQ112" s="451"/>
    </row>
    <row r="113" spans="4:147" hidden="1" x14ac:dyDescent="0.2">
      <c r="D113" s="244" t="s">
        <v>370</v>
      </c>
      <c r="E113" s="82"/>
      <c r="G113" s="19">
        <f>SUM(G114:G114)</f>
        <v>0</v>
      </c>
      <c r="H113" s="19"/>
      <c r="I113" s="19"/>
      <c r="J113" s="274"/>
      <c r="K113" s="19"/>
      <c r="L113" s="19">
        <f>SUM(L114:L114)</f>
        <v>0</v>
      </c>
      <c r="M113" s="19"/>
      <c r="N113" s="19"/>
      <c r="O113" s="274"/>
      <c r="P113" s="19"/>
      <c r="Q113" s="19">
        <f>SUM(Q114:Q114)</f>
        <v>0</v>
      </c>
      <c r="R113" s="19"/>
      <c r="S113" s="19"/>
      <c r="T113" s="274"/>
      <c r="U113" s="19"/>
      <c r="V113" s="19">
        <f>SUM(V114:V114)</f>
        <v>0</v>
      </c>
      <c r="W113" s="19"/>
      <c r="X113" s="19"/>
      <c r="Y113" s="274"/>
      <c r="Z113" s="19"/>
      <c r="AA113" s="19">
        <f>SUM(AA114:AA114)</f>
        <v>0</v>
      </c>
      <c r="AB113" s="19"/>
      <c r="AC113" s="19"/>
      <c r="AD113" s="274"/>
      <c r="AE113" s="19"/>
      <c r="AF113" s="19">
        <f>SUM(AF114:AF114)</f>
        <v>0</v>
      </c>
      <c r="AG113" s="19"/>
      <c r="AH113" s="19"/>
      <c r="AI113" s="274"/>
      <c r="AJ113" s="19"/>
      <c r="AK113" s="19">
        <f>SUM(AK114:AK114)</f>
        <v>0</v>
      </c>
      <c r="AL113" s="19"/>
      <c r="AM113" s="19"/>
      <c r="AN113" s="274"/>
      <c r="AO113" s="19"/>
      <c r="AP113" s="19">
        <f>SUM(AP114:AP114)</f>
        <v>0</v>
      </c>
      <c r="AQ113" s="19"/>
      <c r="AR113" s="19"/>
      <c r="AS113" s="274"/>
      <c r="AT113" s="19"/>
      <c r="AU113" s="19">
        <f>SUM(AU114:AU114)</f>
        <v>0</v>
      </c>
      <c r="AV113" s="19"/>
      <c r="AW113" s="19"/>
      <c r="AX113" s="274"/>
      <c r="AY113" s="19"/>
      <c r="AZ113" s="19">
        <f>SUM(AZ114:AZ114)</f>
        <v>0</v>
      </c>
      <c r="BA113" s="19"/>
      <c r="BB113" s="19"/>
      <c r="BC113" s="274"/>
      <c r="BD113" s="19"/>
      <c r="BE113" s="19">
        <f>SUM(BE114:BE114)</f>
        <v>0</v>
      </c>
      <c r="BF113" s="19"/>
      <c r="BG113" s="19"/>
      <c r="BH113" s="274"/>
      <c r="BI113" s="19"/>
      <c r="BJ113" s="19">
        <f>SUM(BJ114:BJ114)</f>
        <v>0</v>
      </c>
      <c r="BK113" s="19"/>
      <c r="BL113" s="19"/>
      <c r="BM113" s="274"/>
      <c r="BN113" s="19"/>
      <c r="BO113" s="19">
        <f>SUM(BO114:BO114)</f>
        <v>0</v>
      </c>
      <c r="BP113" s="19"/>
      <c r="BQ113" s="19"/>
      <c r="BR113" s="274"/>
      <c r="BT113" s="19">
        <f>SUM(BT114:BT114)</f>
        <v>0</v>
      </c>
      <c r="BU113" s="19"/>
      <c r="BV113" s="19"/>
      <c r="BW113" s="274"/>
      <c r="BY113" s="19">
        <f>SUM(BY114:BY114)</f>
        <v>0</v>
      </c>
      <c r="BZ113" s="19"/>
      <c r="CA113" s="19"/>
      <c r="CB113" s="274"/>
      <c r="CC113" s="19"/>
      <c r="CD113" s="19">
        <f>SUM(CD114:CD114)</f>
        <v>0</v>
      </c>
      <c r="CE113" s="19"/>
      <c r="CF113" s="19"/>
      <c r="CG113" s="274"/>
      <c r="CH113" s="19"/>
      <c r="CI113" s="19">
        <f>SUM(CI114:CI114)</f>
        <v>0</v>
      </c>
      <c r="CJ113" s="19"/>
      <c r="CK113" s="19"/>
      <c r="CL113" s="274"/>
      <c r="CM113" s="19"/>
      <c r="CN113" s="19">
        <f>SUM(CN114:CN114)</f>
        <v>0</v>
      </c>
      <c r="CO113" s="19"/>
      <c r="CP113" s="19"/>
      <c r="CQ113" s="274"/>
      <c r="CR113" s="19"/>
      <c r="CS113" s="19">
        <f>SUM(CS114:CS114)</f>
        <v>0</v>
      </c>
      <c r="CT113" s="19"/>
      <c r="CU113" s="19"/>
      <c r="CV113" s="274"/>
      <c r="CW113" s="19"/>
      <c r="CX113" s="19">
        <f>SUM(CX114:CX114)</f>
        <v>0</v>
      </c>
      <c r="CY113" s="19"/>
      <c r="CZ113" s="19"/>
      <c r="DA113" s="274"/>
      <c r="DB113" s="19"/>
      <c r="DC113" s="19">
        <f>SUM(DC114:DC114)</f>
        <v>0</v>
      </c>
      <c r="DD113" s="19"/>
      <c r="DE113" s="19"/>
      <c r="DF113" s="274"/>
      <c r="DG113" s="19"/>
      <c r="DH113" s="19">
        <f>SUM(DH114:DH114)</f>
        <v>0</v>
      </c>
      <c r="DI113" s="19"/>
      <c r="DJ113" s="19"/>
      <c r="DK113" s="274"/>
      <c r="DL113" s="19"/>
      <c r="DM113" s="19">
        <f>SUM(DM114:DM114)</f>
        <v>0</v>
      </c>
      <c r="DN113" s="19"/>
      <c r="DO113" s="19"/>
      <c r="DP113" s="274"/>
      <c r="DQ113" s="19"/>
      <c r="DR113" s="19">
        <f>SUM(DR114:DR114)</f>
        <v>0</v>
      </c>
      <c r="DS113" s="19"/>
      <c r="DT113" s="19"/>
      <c r="DU113" s="274"/>
      <c r="DV113" s="19"/>
      <c r="DW113" s="19">
        <f>SUM(DW114:DW114)</f>
        <v>0</v>
      </c>
      <c r="DX113" s="19"/>
      <c r="DY113" s="19"/>
      <c r="DZ113" s="274"/>
      <c r="EA113" s="19"/>
      <c r="EB113" s="19">
        <f>SUM(EB114:EB114)</f>
        <v>0</v>
      </c>
      <c r="EC113" s="19"/>
      <c r="ED113" s="19"/>
      <c r="EE113" s="274"/>
      <c r="EF113" s="19"/>
      <c r="EG113" s="19">
        <f>SUM(EG114:EG114)</f>
        <v>0</v>
      </c>
      <c r="EH113" s="19"/>
      <c r="EI113" s="19"/>
      <c r="EJ113" s="274"/>
      <c r="EL113" s="19">
        <f>SUM(EL114:EL114)</f>
        <v>0</v>
      </c>
      <c r="EM113" s="19"/>
      <c r="EO113" s="244"/>
      <c r="EP113" s="451"/>
      <c r="EQ113" s="451"/>
    </row>
    <row r="114" spans="4:147" hidden="1" x14ac:dyDescent="0.2">
      <c r="D114" s="244" t="s">
        <v>344</v>
      </c>
      <c r="E114" s="82"/>
      <c r="F114" s="91"/>
      <c r="G114" s="81">
        <v>0</v>
      </c>
      <c r="H114" s="49"/>
      <c r="I114" s="19"/>
      <c r="J114" s="274"/>
      <c r="K114" s="91"/>
      <c r="L114" s="81">
        <v>0</v>
      </c>
      <c r="M114" s="49"/>
      <c r="N114" s="19"/>
      <c r="O114" s="274"/>
      <c r="P114" s="48"/>
      <c r="Q114" s="81">
        <v>0</v>
      </c>
      <c r="R114" s="49"/>
      <c r="S114" s="19"/>
      <c r="T114" s="274"/>
      <c r="U114" s="48"/>
      <c r="V114" s="81">
        <v>0</v>
      </c>
      <c r="W114" s="49"/>
      <c r="X114" s="19"/>
      <c r="Y114" s="274"/>
      <c r="Z114" s="48"/>
      <c r="AA114" s="81">
        <v>0</v>
      </c>
      <c r="AB114" s="49"/>
      <c r="AC114" s="19"/>
      <c r="AD114" s="274"/>
      <c r="AE114" s="48"/>
      <c r="AF114" s="81">
        <v>0</v>
      </c>
      <c r="AG114" s="49"/>
      <c r="AH114" s="19"/>
      <c r="AI114" s="274"/>
      <c r="AJ114" s="48"/>
      <c r="AK114" s="81">
        <v>0</v>
      </c>
      <c r="AL114" s="49"/>
      <c r="AM114" s="19"/>
      <c r="AN114" s="274"/>
      <c r="AO114" s="48"/>
      <c r="AP114" s="81">
        <v>0</v>
      </c>
      <c r="AQ114" s="49"/>
      <c r="AR114" s="19"/>
      <c r="AS114" s="274"/>
      <c r="AT114" s="48"/>
      <c r="AU114" s="81">
        <v>0</v>
      </c>
      <c r="AV114" s="49"/>
      <c r="AW114" s="19"/>
      <c r="AX114" s="274"/>
      <c r="AY114" s="48"/>
      <c r="AZ114" s="81">
        <v>0</v>
      </c>
      <c r="BA114" s="49"/>
      <c r="BB114" s="19"/>
      <c r="BC114" s="274"/>
      <c r="BD114" s="48"/>
      <c r="BE114" s="81">
        <v>0</v>
      </c>
      <c r="BF114" s="49"/>
      <c r="BG114" s="19"/>
      <c r="BH114" s="274"/>
      <c r="BI114" s="48"/>
      <c r="BJ114" s="81">
        <v>0</v>
      </c>
      <c r="BK114" s="49"/>
      <c r="BL114" s="19"/>
      <c r="BM114" s="274"/>
      <c r="BN114" s="48"/>
      <c r="BO114" s="81">
        <v>0</v>
      </c>
      <c r="BP114" s="49"/>
      <c r="BQ114" s="19"/>
      <c r="BR114" s="274"/>
      <c r="BS114" s="91"/>
      <c r="BT114" s="81">
        <f>SUM(L114:BO114)</f>
        <v>0</v>
      </c>
      <c r="BU114" s="49"/>
      <c r="BV114" s="19"/>
      <c r="BW114" s="274"/>
      <c r="BX114" s="91"/>
      <c r="BY114" s="81">
        <f>SUM(Q114:BT114)</f>
        <v>0</v>
      </c>
      <c r="BZ114" s="49"/>
      <c r="CA114" s="19"/>
      <c r="CB114" s="274"/>
      <c r="CC114" s="91"/>
      <c r="CD114" s="81">
        <v>0</v>
      </c>
      <c r="CE114" s="49"/>
      <c r="CF114" s="19"/>
      <c r="CG114" s="274"/>
      <c r="CH114" s="48"/>
      <c r="CI114" s="81">
        <v>0</v>
      </c>
      <c r="CJ114" s="49"/>
      <c r="CK114" s="19"/>
      <c r="CL114" s="274"/>
      <c r="CM114" s="48"/>
      <c r="CN114" s="81">
        <v>0</v>
      </c>
      <c r="CO114" s="49"/>
      <c r="CP114" s="19"/>
      <c r="CQ114" s="274"/>
      <c r="CR114" s="48"/>
      <c r="CS114" s="81">
        <v>0</v>
      </c>
      <c r="CT114" s="49"/>
      <c r="CU114" s="19"/>
      <c r="CV114" s="274"/>
      <c r="CW114" s="48"/>
      <c r="CX114" s="81">
        <v>0</v>
      </c>
      <c r="CY114" s="49"/>
      <c r="CZ114" s="19"/>
      <c r="DA114" s="274"/>
      <c r="DB114" s="48"/>
      <c r="DC114" s="81">
        <v>0</v>
      </c>
      <c r="DD114" s="49"/>
      <c r="DE114" s="19"/>
      <c r="DF114" s="274"/>
      <c r="DG114" s="48"/>
      <c r="DH114" s="81">
        <v>0</v>
      </c>
      <c r="DI114" s="49"/>
      <c r="DJ114" s="19"/>
      <c r="DK114" s="274"/>
      <c r="DL114" s="48"/>
      <c r="DM114" s="81">
        <v>0</v>
      </c>
      <c r="DN114" s="49"/>
      <c r="DO114" s="19"/>
      <c r="DP114" s="274"/>
      <c r="DQ114" s="48"/>
      <c r="DR114" s="81">
        <v>0</v>
      </c>
      <c r="DS114" s="49"/>
      <c r="DT114" s="19"/>
      <c r="DU114" s="274"/>
      <c r="DV114" s="48"/>
      <c r="DW114" s="81">
        <v>0</v>
      </c>
      <c r="DX114" s="49"/>
      <c r="DY114" s="19"/>
      <c r="DZ114" s="274"/>
      <c r="EA114" s="48"/>
      <c r="EB114" s="81">
        <v>0</v>
      </c>
      <c r="EC114" s="49"/>
      <c r="ED114" s="19"/>
      <c r="EE114" s="274"/>
      <c r="EF114" s="48"/>
      <c r="EG114" s="81">
        <v>0</v>
      </c>
      <c r="EH114" s="49"/>
      <c r="EI114" s="19"/>
      <c r="EJ114" s="274"/>
      <c r="EK114" s="91"/>
      <c r="EL114" s="81">
        <f>SUM(CD114:EG114)</f>
        <v>0</v>
      </c>
      <c r="EM114" s="49"/>
      <c r="EO114" s="244"/>
      <c r="EP114" s="451"/>
      <c r="EQ114" s="451"/>
    </row>
    <row r="115" spans="4:147" hidden="1" x14ac:dyDescent="0.2">
      <c r="D115" s="244"/>
      <c r="E115" s="82"/>
      <c r="G115" s="19"/>
      <c r="H115" s="19"/>
      <c r="I115" s="19"/>
      <c r="J115" s="274"/>
      <c r="L115" s="19"/>
      <c r="M115" s="19"/>
      <c r="N115" s="19"/>
      <c r="O115" s="274"/>
      <c r="Q115" s="19"/>
      <c r="R115" s="19"/>
      <c r="S115" s="19"/>
      <c r="T115" s="274"/>
      <c r="V115" s="19"/>
      <c r="W115" s="19"/>
      <c r="X115" s="19"/>
      <c r="Y115" s="274"/>
      <c r="AA115" s="19"/>
      <c r="AB115" s="19"/>
      <c r="AC115" s="19"/>
      <c r="AD115" s="274"/>
      <c r="AF115" s="19"/>
      <c r="AG115" s="19"/>
      <c r="AH115" s="19"/>
      <c r="AI115" s="274"/>
      <c r="AK115" s="19"/>
      <c r="AL115" s="19"/>
      <c r="AM115" s="19"/>
      <c r="AN115" s="274"/>
      <c r="AP115" s="19"/>
      <c r="AQ115" s="19"/>
      <c r="AR115" s="19"/>
      <c r="AS115" s="274"/>
      <c r="AU115" s="19"/>
      <c r="AV115" s="19"/>
      <c r="AW115" s="19"/>
      <c r="AX115" s="274"/>
      <c r="AZ115" s="19"/>
      <c r="BA115" s="19"/>
      <c r="BB115" s="19"/>
      <c r="BC115" s="274"/>
      <c r="BE115" s="19"/>
      <c r="BF115" s="19"/>
      <c r="BG115" s="19"/>
      <c r="BH115" s="274"/>
      <c r="BJ115" s="19"/>
      <c r="BK115" s="19"/>
      <c r="BL115" s="19"/>
      <c r="BM115" s="274"/>
      <c r="BO115" s="19"/>
      <c r="BP115" s="19"/>
      <c r="BQ115" s="19"/>
      <c r="BR115" s="274"/>
      <c r="BT115" s="19"/>
      <c r="BU115" s="19"/>
      <c r="BV115" s="19"/>
      <c r="BW115" s="274"/>
      <c r="BY115" s="19"/>
      <c r="BZ115" s="19"/>
      <c r="CA115" s="19"/>
      <c r="CB115" s="274"/>
      <c r="CD115" s="19"/>
      <c r="CE115" s="19"/>
      <c r="CF115" s="19"/>
      <c r="CG115" s="274"/>
      <c r="CI115" s="19"/>
      <c r="CJ115" s="19"/>
      <c r="CK115" s="19"/>
      <c r="CL115" s="274"/>
      <c r="CN115" s="19"/>
      <c r="CO115" s="19"/>
      <c r="CP115" s="19"/>
      <c r="CQ115" s="274"/>
      <c r="CS115" s="19"/>
      <c r="CT115" s="19"/>
      <c r="CU115" s="19"/>
      <c r="CV115" s="274"/>
      <c r="CX115" s="19"/>
      <c r="CY115" s="19"/>
      <c r="CZ115" s="19"/>
      <c r="DA115" s="274"/>
      <c r="DC115" s="19"/>
      <c r="DD115" s="19"/>
      <c r="DE115" s="19"/>
      <c r="DF115" s="274"/>
      <c r="DH115" s="19"/>
      <c r="DI115" s="19"/>
      <c r="DJ115" s="19"/>
      <c r="DK115" s="274"/>
      <c r="DM115" s="19"/>
      <c r="DN115" s="19"/>
      <c r="DO115" s="19"/>
      <c r="DP115" s="274"/>
      <c r="DR115" s="19"/>
      <c r="DS115" s="19"/>
      <c r="DT115" s="19"/>
      <c r="DU115" s="274"/>
      <c r="DW115" s="19"/>
      <c r="DX115" s="19"/>
      <c r="DY115" s="19"/>
      <c r="DZ115" s="274"/>
      <c r="EB115" s="19"/>
      <c r="EC115" s="19"/>
      <c r="ED115" s="19"/>
      <c r="EE115" s="274"/>
      <c r="EG115" s="19"/>
      <c r="EH115" s="19"/>
      <c r="EI115" s="19"/>
      <c r="EJ115" s="274"/>
      <c r="EL115" s="19"/>
      <c r="EM115" s="19"/>
      <c r="EO115" s="244"/>
      <c r="EP115" s="451"/>
      <c r="EQ115" s="451"/>
    </row>
    <row r="116" spans="4:147" x14ac:dyDescent="0.2">
      <c r="D116" s="244" t="s">
        <v>410</v>
      </c>
      <c r="E116" s="82"/>
      <c r="G116" s="19">
        <f>SUM(G117:G117)</f>
        <v>0</v>
      </c>
      <c r="H116" s="19"/>
      <c r="I116" s="19"/>
      <c r="J116" s="274"/>
      <c r="K116" s="19"/>
      <c r="L116" s="19">
        <f>SUM(L117:L117)</f>
        <v>0</v>
      </c>
      <c r="M116" s="19"/>
      <c r="N116" s="19"/>
      <c r="O116" s="274"/>
      <c r="P116" s="19"/>
      <c r="Q116" s="19">
        <f>SUM(Q117:Q117)</f>
        <v>0</v>
      </c>
      <c r="R116" s="19"/>
      <c r="S116" s="19"/>
      <c r="T116" s="274"/>
      <c r="U116" s="19"/>
      <c r="V116" s="19">
        <f>SUM(V117:V117)</f>
        <v>0</v>
      </c>
      <c r="W116" s="19"/>
      <c r="X116" s="19"/>
      <c r="Y116" s="274"/>
      <c r="Z116" s="19"/>
      <c r="AA116" s="19">
        <f>SUM(AA117:AA117)</f>
        <v>0</v>
      </c>
      <c r="AB116" s="19"/>
      <c r="AC116" s="19"/>
      <c r="AD116" s="274"/>
      <c r="AE116" s="19"/>
      <c r="AF116" s="19">
        <f>SUM(AF117:AF117)</f>
        <v>0</v>
      </c>
      <c r="AG116" s="19"/>
      <c r="AH116" s="19"/>
      <c r="AI116" s="274"/>
      <c r="AJ116" s="19"/>
      <c r="AK116" s="19">
        <f>SUM(AK117:AK117)</f>
        <v>0</v>
      </c>
      <c r="AL116" s="19"/>
      <c r="AM116" s="19"/>
      <c r="AN116" s="274"/>
      <c r="AO116" s="19"/>
      <c r="AP116" s="19">
        <f>SUM(AP117:AP117)</f>
        <v>0</v>
      </c>
      <c r="AQ116" s="19"/>
      <c r="AR116" s="19"/>
      <c r="AS116" s="274"/>
      <c r="AT116" s="19"/>
      <c r="AU116" s="19">
        <f>SUM(AU117:AU117)</f>
        <v>0</v>
      </c>
      <c r="AV116" s="19"/>
      <c r="AW116" s="19"/>
      <c r="AX116" s="274"/>
      <c r="AY116" s="19"/>
      <c r="AZ116" s="19">
        <f>SUM(AZ117:AZ117)</f>
        <v>0</v>
      </c>
      <c r="BA116" s="19"/>
      <c r="BB116" s="19"/>
      <c r="BC116" s="274"/>
      <c r="BD116" s="19"/>
      <c r="BE116" s="19">
        <f>SUM(BE117:BE117)</f>
        <v>0</v>
      </c>
      <c r="BF116" s="19"/>
      <c r="BG116" s="19"/>
      <c r="BH116" s="274"/>
      <c r="BI116" s="19"/>
      <c r="BJ116" s="19">
        <f>SUM(BJ117:BJ117)</f>
        <v>0</v>
      </c>
      <c r="BK116" s="19"/>
      <c r="BL116" s="19"/>
      <c r="BM116" s="274"/>
      <c r="BN116" s="19"/>
      <c r="BO116" s="19">
        <f>SUM(BO117:BO117)</f>
        <v>0</v>
      </c>
      <c r="BP116" s="19"/>
      <c r="BQ116" s="19"/>
      <c r="BR116" s="274"/>
      <c r="BT116" s="19">
        <f>SUM(BT117:BT117)</f>
        <v>0</v>
      </c>
      <c r="BU116" s="19"/>
      <c r="BV116" s="19"/>
      <c r="BW116" s="274"/>
      <c r="BY116" s="19">
        <f>SUM(BY117:BY117)</f>
        <v>470894</v>
      </c>
      <c r="BZ116" s="19"/>
      <c r="CA116" s="19"/>
      <c r="CB116" s="274"/>
      <c r="CC116" s="19"/>
      <c r="CD116" s="19">
        <f>SUM(CD117:CD117)</f>
        <v>0</v>
      </c>
      <c r="CE116" s="19"/>
      <c r="CF116" s="19"/>
      <c r="CG116" s="274"/>
      <c r="CH116" s="19"/>
      <c r="CI116" s="19">
        <f>SUM(CI117:CI117)</f>
        <v>0</v>
      </c>
      <c r="CJ116" s="19"/>
      <c r="CK116" s="19"/>
      <c r="CL116" s="274"/>
      <c r="CM116" s="19"/>
      <c r="CN116" s="19">
        <f>SUM(CN117:CN117)</f>
        <v>0</v>
      </c>
      <c r="CO116" s="19"/>
      <c r="CP116" s="19"/>
      <c r="CQ116" s="274"/>
      <c r="CR116" s="19"/>
      <c r="CS116" s="19">
        <f>SUM(CS117:CS117)</f>
        <v>0</v>
      </c>
      <c r="CT116" s="19"/>
      <c r="CU116" s="19"/>
      <c r="CV116" s="274"/>
      <c r="CW116" s="19"/>
      <c r="CX116" s="19">
        <f>SUM(CX117:CX117)</f>
        <v>23165</v>
      </c>
      <c r="CY116" s="19"/>
      <c r="CZ116" s="19"/>
      <c r="DA116" s="274"/>
      <c r="DB116" s="19"/>
      <c r="DC116" s="19">
        <f>SUM(DC117:DC117)</f>
        <v>0</v>
      </c>
      <c r="DD116" s="19"/>
      <c r="DE116" s="19"/>
      <c r="DF116" s="274"/>
      <c r="DG116" s="19"/>
      <c r="DH116" s="19">
        <f>SUM(DH117:DH117)</f>
        <v>0</v>
      </c>
      <c r="DI116" s="19"/>
      <c r="DJ116" s="19"/>
      <c r="DK116" s="274"/>
      <c r="DL116" s="19"/>
      <c r="DM116" s="19">
        <f>SUM(DM117:DM117)</f>
        <v>0</v>
      </c>
      <c r="DN116" s="19"/>
      <c r="DO116" s="19"/>
      <c r="DP116" s="274"/>
      <c r="DQ116" s="19"/>
      <c r="DR116" s="19">
        <f>SUM(DR117:DR117)</f>
        <v>0</v>
      </c>
      <c r="DS116" s="19"/>
      <c r="DT116" s="19"/>
      <c r="DU116" s="274"/>
      <c r="DV116" s="19"/>
      <c r="DW116" s="19">
        <f>SUM(DW117:DW117)</f>
        <v>0</v>
      </c>
      <c r="DX116" s="19"/>
      <c r="DY116" s="19"/>
      <c r="DZ116" s="274"/>
      <c r="EA116" s="19"/>
      <c r="EB116" s="19">
        <f>SUM(EB117:EB117)</f>
        <v>0</v>
      </c>
      <c r="EC116" s="19"/>
      <c r="ED116" s="19"/>
      <c r="EE116" s="274"/>
      <c r="EF116" s="19"/>
      <c r="EG116" s="19">
        <f>SUM(EG117:EG117)</f>
        <v>447729</v>
      </c>
      <c r="EH116" s="19"/>
      <c r="EI116" s="19"/>
      <c r="EJ116" s="274"/>
      <c r="EL116" s="19">
        <f>SUM(EL117:EL117)</f>
        <v>470894</v>
      </c>
      <c r="EM116" s="19"/>
      <c r="EO116" s="244"/>
      <c r="EP116" s="451"/>
      <c r="EQ116" s="451"/>
    </row>
    <row r="117" spans="4:147" x14ac:dyDescent="0.2">
      <c r="D117" s="244" t="s">
        <v>344</v>
      </c>
      <c r="E117" s="82"/>
      <c r="F117" s="91"/>
      <c r="G117" s="81">
        <v>0</v>
      </c>
      <c r="H117" s="49"/>
      <c r="I117" s="19"/>
      <c r="J117" s="274"/>
      <c r="K117" s="91"/>
      <c r="L117" s="81">
        <v>0</v>
      </c>
      <c r="M117" s="49"/>
      <c r="N117" s="19"/>
      <c r="O117" s="274"/>
      <c r="P117" s="48"/>
      <c r="Q117" s="81">
        <v>0</v>
      </c>
      <c r="R117" s="49"/>
      <c r="S117" s="19"/>
      <c r="T117" s="274"/>
      <c r="U117" s="48"/>
      <c r="V117" s="81">
        <v>0</v>
      </c>
      <c r="W117" s="49"/>
      <c r="X117" s="19"/>
      <c r="Y117" s="274"/>
      <c r="Z117" s="48"/>
      <c r="AA117" s="81">
        <v>0</v>
      </c>
      <c r="AB117" s="49"/>
      <c r="AC117" s="19"/>
      <c r="AD117" s="274"/>
      <c r="AE117" s="48"/>
      <c r="AF117" s="81">
        <v>0</v>
      </c>
      <c r="AG117" s="49"/>
      <c r="AH117" s="19"/>
      <c r="AI117" s="274"/>
      <c r="AJ117" s="48"/>
      <c r="AK117" s="81">
        <v>0</v>
      </c>
      <c r="AL117" s="49"/>
      <c r="AM117" s="19"/>
      <c r="AN117" s="274"/>
      <c r="AO117" s="48"/>
      <c r="AP117" s="81">
        <v>0</v>
      </c>
      <c r="AQ117" s="49"/>
      <c r="AR117" s="19"/>
      <c r="AS117" s="274"/>
      <c r="AT117" s="48"/>
      <c r="AU117" s="81">
        <v>0</v>
      </c>
      <c r="AV117" s="49"/>
      <c r="AW117" s="19"/>
      <c r="AX117" s="274"/>
      <c r="AY117" s="48"/>
      <c r="AZ117" s="81">
        <v>0</v>
      </c>
      <c r="BA117" s="49"/>
      <c r="BB117" s="19"/>
      <c r="BC117" s="274"/>
      <c r="BD117" s="48"/>
      <c r="BE117" s="81">
        <v>0</v>
      </c>
      <c r="BF117" s="49"/>
      <c r="BG117" s="19"/>
      <c r="BH117" s="274"/>
      <c r="BI117" s="48"/>
      <c r="BJ117" s="81">
        <v>0</v>
      </c>
      <c r="BK117" s="49"/>
      <c r="BL117" s="19"/>
      <c r="BM117" s="274"/>
      <c r="BN117" s="48"/>
      <c r="BO117" s="81">
        <v>0</v>
      </c>
      <c r="BP117" s="49"/>
      <c r="BQ117" s="19"/>
      <c r="BR117" s="274"/>
      <c r="BS117" s="91"/>
      <c r="BT117" s="81">
        <f>SUM(L117:BO117)</f>
        <v>0</v>
      </c>
      <c r="BU117" s="49"/>
      <c r="BV117" s="19"/>
      <c r="BW117" s="274"/>
      <c r="BX117" s="91"/>
      <c r="BY117" s="81">
        <v>470894</v>
      </c>
      <c r="BZ117" s="49"/>
      <c r="CA117" s="19"/>
      <c r="CB117" s="274"/>
      <c r="CC117" s="91"/>
      <c r="CD117" s="81">
        <v>0</v>
      </c>
      <c r="CE117" s="49"/>
      <c r="CF117" s="19"/>
      <c r="CG117" s="274"/>
      <c r="CH117" s="48"/>
      <c r="CI117" s="81">
        <v>0</v>
      </c>
      <c r="CJ117" s="49"/>
      <c r="CK117" s="19"/>
      <c r="CL117" s="274"/>
      <c r="CM117" s="48"/>
      <c r="CN117" s="81">
        <v>0</v>
      </c>
      <c r="CO117" s="49"/>
      <c r="CP117" s="19"/>
      <c r="CQ117" s="274"/>
      <c r="CR117" s="48"/>
      <c r="CS117" s="81">
        <v>0</v>
      </c>
      <c r="CT117" s="49"/>
      <c r="CU117" s="19"/>
      <c r="CV117" s="274"/>
      <c r="CW117" s="48"/>
      <c r="CX117" s="81">
        <v>23165</v>
      </c>
      <c r="CY117" s="49"/>
      <c r="CZ117" s="19"/>
      <c r="DA117" s="274"/>
      <c r="DB117" s="48"/>
      <c r="DC117" s="81">
        <v>0</v>
      </c>
      <c r="DD117" s="49"/>
      <c r="DE117" s="19"/>
      <c r="DF117" s="274"/>
      <c r="DG117" s="48"/>
      <c r="DH117" s="81">
        <v>0</v>
      </c>
      <c r="DI117" s="49"/>
      <c r="DJ117" s="19"/>
      <c r="DK117" s="274"/>
      <c r="DL117" s="48"/>
      <c r="DM117" s="81">
        <v>0</v>
      </c>
      <c r="DN117" s="49"/>
      <c r="DO117" s="19"/>
      <c r="DP117" s="274"/>
      <c r="DQ117" s="48"/>
      <c r="DR117" s="81">
        <v>0</v>
      </c>
      <c r="DS117" s="49"/>
      <c r="DT117" s="19"/>
      <c r="DU117" s="274"/>
      <c r="DV117" s="48"/>
      <c r="DW117" s="81">
        <v>0</v>
      </c>
      <c r="DX117" s="49"/>
      <c r="DY117" s="19"/>
      <c r="DZ117" s="274"/>
      <c r="EA117" s="48"/>
      <c r="EB117" s="81">
        <v>0</v>
      </c>
      <c r="EC117" s="49"/>
      <c r="ED117" s="19"/>
      <c r="EE117" s="274"/>
      <c r="EF117" s="48"/>
      <c r="EG117" s="81">
        <v>447729</v>
      </c>
      <c r="EH117" s="49"/>
      <c r="EI117" s="19"/>
      <c r="EJ117" s="274"/>
      <c r="EK117" s="91"/>
      <c r="EL117" s="81">
        <f>SUM(CD117:EG117)</f>
        <v>470894</v>
      </c>
      <c r="EM117" s="49"/>
      <c r="EO117" s="244"/>
      <c r="EP117" s="451"/>
      <c r="EQ117" s="451"/>
    </row>
    <row r="118" spans="4:147" x14ac:dyDescent="0.2">
      <c r="D118" s="244"/>
      <c r="E118" s="82"/>
      <c r="G118" s="19"/>
      <c r="H118" s="19"/>
      <c r="I118" s="19"/>
      <c r="J118" s="274"/>
      <c r="L118" s="19"/>
      <c r="M118" s="19"/>
      <c r="N118" s="19"/>
      <c r="O118" s="274"/>
      <c r="Q118" s="19"/>
      <c r="R118" s="19"/>
      <c r="S118" s="19"/>
      <c r="T118" s="274"/>
      <c r="V118" s="19"/>
      <c r="W118" s="19"/>
      <c r="X118" s="19"/>
      <c r="Y118" s="274"/>
      <c r="AA118" s="19"/>
      <c r="AB118" s="19"/>
      <c r="AC118" s="19"/>
      <c r="AD118" s="274"/>
      <c r="AF118" s="19"/>
      <c r="AG118" s="19"/>
      <c r="AH118" s="19"/>
      <c r="AI118" s="274"/>
      <c r="AK118" s="19"/>
      <c r="AL118" s="19"/>
      <c r="AM118" s="19"/>
      <c r="AN118" s="274"/>
      <c r="AP118" s="19"/>
      <c r="AQ118" s="19"/>
      <c r="AR118" s="19"/>
      <c r="AS118" s="274"/>
      <c r="AU118" s="19"/>
      <c r="AV118" s="19"/>
      <c r="AW118" s="19"/>
      <c r="AX118" s="274"/>
      <c r="AZ118" s="19"/>
      <c r="BA118" s="19"/>
      <c r="BB118" s="19"/>
      <c r="BC118" s="274"/>
      <c r="BE118" s="19"/>
      <c r="BF118" s="19"/>
      <c r="BG118" s="19"/>
      <c r="BH118" s="274"/>
      <c r="BJ118" s="19"/>
      <c r="BK118" s="19"/>
      <c r="BL118" s="19"/>
      <c r="BM118" s="274"/>
      <c r="BO118" s="19"/>
      <c r="BP118" s="19"/>
      <c r="BQ118" s="19"/>
      <c r="BR118" s="274"/>
      <c r="BT118" s="19"/>
      <c r="BU118" s="19"/>
      <c r="BV118" s="19"/>
      <c r="BW118" s="274"/>
      <c r="BY118" s="19"/>
      <c r="BZ118" s="19"/>
      <c r="CA118" s="19"/>
      <c r="CB118" s="274"/>
      <c r="CD118" s="19"/>
      <c r="CE118" s="19"/>
      <c r="CF118" s="19"/>
      <c r="CG118" s="274"/>
      <c r="CI118" s="19"/>
      <c r="CJ118" s="19"/>
      <c r="CK118" s="19"/>
      <c r="CL118" s="274"/>
      <c r="CN118" s="19"/>
      <c r="CO118" s="19"/>
      <c r="CP118" s="19"/>
      <c r="CQ118" s="274"/>
      <c r="CS118" s="19"/>
      <c r="CT118" s="19"/>
      <c r="CU118" s="19"/>
      <c r="CV118" s="274"/>
      <c r="CX118" s="19"/>
      <c r="CY118" s="19"/>
      <c r="CZ118" s="19"/>
      <c r="DA118" s="274"/>
      <c r="DC118" s="19"/>
      <c r="DD118" s="19"/>
      <c r="DE118" s="19"/>
      <c r="DF118" s="274"/>
      <c r="DH118" s="19"/>
      <c r="DI118" s="19"/>
      <c r="DJ118" s="19"/>
      <c r="DK118" s="274"/>
      <c r="DM118" s="19"/>
      <c r="DN118" s="19"/>
      <c r="DO118" s="19"/>
      <c r="DP118" s="274"/>
      <c r="DR118" s="19"/>
      <c r="DS118" s="19"/>
      <c r="DT118" s="19"/>
      <c r="DU118" s="274"/>
      <c r="DW118" s="19"/>
      <c r="DX118" s="19"/>
      <c r="DY118" s="19"/>
      <c r="DZ118" s="274"/>
      <c r="EB118" s="19"/>
      <c r="EC118" s="19"/>
      <c r="ED118" s="19"/>
      <c r="EE118" s="274"/>
      <c r="EG118" s="19"/>
      <c r="EH118" s="19"/>
      <c r="EI118" s="19"/>
      <c r="EJ118" s="274"/>
      <c r="EL118" s="19"/>
      <c r="EM118" s="19"/>
      <c r="EO118" s="244"/>
      <c r="EP118" s="451"/>
      <c r="EQ118" s="451"/>
    </row>
    <row r="119" spans="4:147" x14ac:dyDescent="0.2">
      <c r="D119" s="244" t="s">
        <v>372</v>
      </c>
      <c r="E119" s="82"/>
      <c r="G119" s="19">
        <f>SUM(G120:G120)</f>
        <v>0</v>
      </c>
      <c r="H119" s="19"/>
      <c r="I119" s="19"/>
      <c r="J119" s="274"/>
      <c r="K119" s="19"/>
      <c r="L119" s="19">
        <f>SUM(L120:L120)</f>
        <v>0</v>
      </c>
      <c r="M119" s="19"/>
      <c r="N119" s="19"/>
      <c r="O119" s="274"/>
      <c r="P119" s="19"/>
      <c r="Q119" s="19">
        <f>SUM(Q120:Q120)</f>
        <v>0</v>
      </c>
      <c r="R119" s="19"/>
      <c r="S119" s="19"/>
      <c r="T119" s="274"/>
      <c r="U119" s="19"/>
      <c r="V119" s="19">
        <f>SUM(V120:V120)</f>
        <v>0</v>
      </c>
      <c r="W119" s="19"/>
      <c r="X119" s="19"/>
      <c r="Y119" s="274"/>
      <c r="Z119" s="19"/>
      <c r="AA119" s="19">
        <f>SUM(AA120:AA120)</f>
        <v>0</v>
      </c>
      <c r="AB119" s="19"/>
      <c r="AC119" s="19"/>
      <c r="AD119" s="274"/>
      <c r="AE119" s="19"/>
      <c r="AF119" s="19">
        <f>SUM(AF120:AF120)</f>
        <v>0</v>
      </c>
      <c r="AG119" s="19"/>
      <c r="AH119" s="19"/>
      <c r="AI119" s="274"/>
      <c r="AJ119" s="19"/>
      <c r="AK119" s="19">
        <f>SUM(AK120:AK120)</f>
        <v>0</v>
      </c>
      <c r="AL119" s="19"/>
      <c r="AM119" s="19"/>
      <c r="AN119" s="274"/>
      <c r="AO119" s="19"/>
      <c r="AP119" s="19">
        <f>SUM(AP120:AP120)</f>
        <v>0</v>
      </c>
      <c r="AQ119" s="19"/>
      <c r="AR119" s="19"/>
      <c r="AS119" s="274"/>
      <c r="AT119" s="19"/>
      <c r="AU119" s="19">
        <f>SUM(AU120:AU120)</f>
        <v>0</v>
      </c>
      <c r="AV119" s="19"/>
      <c r="AW119" s="19"/>
      <c r="AX119" s="274"/>
      <c r="AY119" s="19"/>
      <c r="AZ119" s="19">
        <f>SUM(AZ120:AZ120)</f>
        <v>0</v>
      </c>
      <c r="BA119" s="19"/>
      <c r="BB119" s="19"/>
      <c r="BC119" s="274"/>
      <c r="BD119" s="19"/>
      <c r="BE119" s="19">
        <f>SUM(BE120:BE120)</f>
        <v>0</v>
      </c>
      <c r="BF119" s="19"/>
      <c r="BG119" s="19"/>
      <c r="BH119" s="274"/>
      <c r="BI119" s="19"/>
      <c r="BJ119" s="19">
        <f>SUM(BJ120:BJ120)</f>
        <v>0</v>
      </c>
      <c r="BK119" s="19"/>
      <c r="BL119" s="19"/>
      <c r="BM119" s="274"/>
      <c r="BN119" s="19"/>
      <c r="BO119" s="19">
        <f>SUM(BO120:BO120)</f>
        <v>0</v>
      </c>
      <c r="BP119" s="19"/>
      <c r="BQ119" s="19"/>
      <c r="BR119" s="274"/>
      <c r="BT119" s="19">
        <f>SUM(BT120:BT120)</f>
        <v>0</v>
      </c>
      <c r="BU119" s="19"/>
      <c r="BV119" s="19"/>
      <c r="BW119" s="274"/>
      <c r="BY119" s="19">
        <f>SUM(BY120:BY120)</f>
        <v>30810</v>
      </c>
      <c r="BZ119" s="19"/>
      <c r="CA119" s="19"/>
      <c r="CB119" s="274"/>
      <c r="CC119" s="19"/>
      <c r="CD119" s="19">
        <f>SUM(CD120:CD120)</f>
        <v>0</v>
      </c>
      <c r="CE119" s="19"/>
      <c r="CF119" s="19"/>
      <c r="CG119" s="274"/>
      <c r="CH119" s="19"/>
      <c r="CI119" s="19">
        <f>SUM(CI120:CI120)</f>
        <v>0</v>
      </c>
      <c r="CJ119" s="19"/>
      <c r="CK119" s="19"/>
      <c r="CL119" s="274"/>
      <c r="CM119" s="19"/>
      <c r="CN119" s="19">
        <f>SUM(CN120:CN120)</f>
        <v>0</v>
      </c>
      <c r="CO119" s="19"/>
      <c r="CP119" s="19"/>
      <c r="CQ119" s="274"/>
      <c r="CR119" s="19"/>
      <c r="CS119" s="19">
        <f>SUM(CS120:CS120)</f>
        <v>0</v>
      </c>
      <c r="CT119" s="19"/>
      <c r="CU119" s="19"/>
      <c r="CV119" s="274"/>
      <c r="CW119" s="19"/>
      <c r="CX119" s="19">
        <f>SUM(CX120:CX120)</f>
        <v>0</v>
      </c>
      <c r="CY119" s="19"/>
      <c r="CZ119" s="19"/>
      <c r="DA119" s="274"/>
      <c r="DB119" s="19"/>
      <c r="DC119" s="19">
        <f>SUM(DC120:DC120)</f>
        <v>0</v>
      </c>
      <c r="DD119" s="19"/>
      <c r="DE119" s="19"/>
      <c r="DF119" s="274"/>
      <c r="DG119" s="19"/>
      <c r="DH119" s="19">
        <f>SUM(DH120:DH120)</f>
        <v>0</v>
      </c>
      <c r="DI119" s="19"/>
      <c r="DJ119" s="19"/>
      <c r="DK119" s="274"/>
      <c r="DL119" s="19"/>
      <c r="DM119" s="19">
        <f>SUM(DM120:DM120)</f>
        <v>0</v>
      </c>
      <c r="DN119" s="19"/>
      <c r="DO119" s="19"/>
      <c r="DP119" s="274"/>
      <c r="DQ119" s="19"/>
      <c r="DR119" s="19">
        <f>SUM(DR120:DR120)</f>
        <v>0</v>
      </c>
      <c r="DS119" s="19"/>
      <c r="DT119" s="19"/>
      <c r="DU119" s="274"/>
      <c r="DV119" s="19"/>
      <c r="DW119" s="19">
        <f>SUM(DW120:DW120)</f>
        <v>0</v>
      </c>
      <c r="DX119" s="19"/>
      <c r="DY119" s="19"/>
      <c r="DZ119" s="274"/>
      <c r="EA119" s="19"/>
      <c r="EB119" s="19">
        <f>SUM(EB120:EB120)</f>
        <v>0</v>
      </c>
      <c r="EC119" s="19"/>
      <c r="ED119" s="19"/>
      <c r="EE119" s="274"/>
      <c r="EF119" s="19"/>
      <c r="EG119" s="19">
        <f>SUM(EG120:EG120)</f>
        <v>30810</v>
      </c>
      <c r="EH119" s="19"/>
      <c r="EI119" s="19"/>
      <c r="EJ119" s="274"/>
      <c r="EL119" s="19">
        <f>SUM(EL120:EL120)</f>
        <v>30810</v>
      </c>
      <c r="EM119" s="19"/>
      <c r="EO119" s="244"/>
      <c r="EP119" s="451"/>
      <c r="EQ119" s="451"/>
    </row>
    <row r="120" spans="4:147" x14ac:dyDescent="0.2">
      <c r="D120" s="244" t="s">
        <v>344</v>
      </c>
      <c r="E120" s="82"/>
      <c r="F120" s="91"/>
      <c r="G120" s="81">
        <v>0</v>
      </c>
      <c r="H120" s="49"/>
      <c r="I120" s="19"/>
      <c r="J120" s="274"/>
      <c r="K120" s="91"/>
      <c r="L120" s="81">
        <v>0</v>
      </c>
      <c r="M120" s="49"/>
      <c r="N120" s="19"/>
      <c r="O120" s="274"/>
      <c r="P120" s="48"/>
      <c r="Q120" s="81">
        <v>0</v>
      </c>
      <c r="R120" s="49"/>
      <c r="S120" s="19"/>
      <c r="T120" s="274"/>
      <c r="U120" s="48"/>
      <c r="V120" s="81">
        <v>0</v>
      </c>
      <c r="W120" s="49"/>
      <c r="X120" s="19"/>
      <c r="Y120" s="274"/>
      <c r="Z120" s="48"/>
      <c r="AA120" s="81">
        <v>0</v>
      </c>
      <c r="AB120" s="49"/>
      <c r="AC120" s="19"/>
      <c r="AD120" s="274"/>
      <c r="AE120" s="48"/>
      <c r="AF120" s="81">
        <v>0</v>
      </c>
      <c r="AG120" s="49"/>
      <c r="AH120" s="19"/>
      <c r="AI120" s="274"/>
      <c r="AJ120" s="48"/>
      <c r="AK120" s="81">
        <v>0</v>
      </c>
      <c r="AL120" s="49"/>
      <c r="AM120" s="19"/>
      <c r="AN120" s="274"/>
      <c r="AO120" s="48"/>
      <c r="AP120" s="81">
        <v>0</v>
      </c>
      <c r="AQ120" s="49"/>
      <c r="AR120" s="19"/>
      <c r="AS120" s="274"/>
      <c r="AT120" s="48"/>
      <c r="AU120" s="81">
        <v>0</v>
      </c>
      <c r="AV120" s="49"/>
      <c r="AW120" s="19"/>
      <c r="AX120" s="274"/>
      <c r="AY120" s="48"/>
      <c r="AZ120" s="81">
        <v>0</v>
      </c>
      <c r="BA120" s="49"/>
      <c r="BB120" s="19"/>
      <c r="BC120" s="274"/>
      <c r="BD120" s="48"/>
      <c r="BE120" s="81">
        <v>0</v>
      </c>
      <c r="BF120" s="49"/>
      <c r="BG120" s="19"/>
      <c r="BH120" s="274"/>
      <c r="BI120" s="48"/>
      <c r="BJ120" s="81">
        <v>0</v>
      </c>
      <c r="BK120" s="49"/>
      <c r="BL120" s="19"/>
      <c r="BM120" s="274"/>
      <c r="BN120" s="48"/>
      <c r="BO120" s="81">
        <v>0</v>
      </c>
      <c r="BP120" s="49"/>
      <c r="BQ120" s="19"/>
      <c r="BR120" s="274"/>
      <c r="BS120" s="91"/>
      <c r="BT120" s="81">
        <f>SUM(L120:BO120)</f>
        <v>0</v>
      </c>
      <c r="BU120" s="49"/>
      <c r="BV120" s="19"/>
      <c r="BW120" s="274"/>
      <c r="BX120" s="91"/>
      <c r="BY120" s="81">
        <v>30810</v>
      </c>
      <c r="BZ120" s="49"/>
      <c r="CA120" s="19"/>
      <c r="CB120" s="274"/>
      <c r="CC120" s="91"/>
      <c r="CD120" s="81">
        <v>0</v>
      </c>
      <c r="CE120" s="49"/>
      <c r="CF120" s="19"/>
      <c r="CG120" s="274"/>
      <c r="CH120" s="48"/>
      <c r="CI120" s="81">
        <v>0</v>
      </c>
      <c r="CJ120" s="49"/>
      <c r="CK120" s="19"/>
      <c r="CL120" s="274"/>
      <c r="CM120" s="48"/>
      <c r="CN120" s="81">
        <v>0</v>
      </c>
      <c r="CO120" s="49"/>
      <c r="CP120" s="19"/>
      <c r="CQ120" s="274"/>
      <c r="CR120" s="48"/>
      <c r="CS120" s="81">
        <v>0</v>
      </c>
      <c r="CT120" s="49"/>
      <c r="CU120" s="19"/>
      <c r="CV120" s="274"/>
      <c r="CW120" s="48"/>
      <c r="CX120" s="81">
        <v>0</v>
      </c>
      <c r="CY120" s="49"/>
      <c r="CZ120" s="19"/>
      <c r="DA120" s="274"/>
      <c r="DB120" s="48"/>
      <c r="DC120" s="81">
        <v>0</v>
      </c>
      <c r="DD120" s="49"/>
      <c r="DE120" s="19"/>
      <c r="DF120" s="274"/>
      <c r="DG120" s="48"/>
      <c r="DH120" s="81">
        <v>0</v>
      </c>
      <c r="DI120" s="49"/>
      <c r="DJ120" s="19"/>
      <c r="DK120" s="274"/>
      <c r="DL120" s="48"/>
      <c r="DM120" s="81">
        <v>0</v>
      </c>
      <c r="DN120" s="49"/>
      <c r="DO120" s="19"/>
      <c r="DP120" s="274"/>
      <c r="DQ120" s="48"/>
      <c r="DR120" s="81">
        <v>0</v>
      </c>
      <c r="DS120" s="49"/>
      <c r="DT120" s="19"/>
      <c r="DU120" s="274"/>
      <c r="DV120" s="48"/>
      <c r="DW120" s="81">
        <v>0</v>
      </c>
      <c r="DX120" s="49"/>
      <c r="DY120" s="19"/>
      <c r="DZ120" s="274"/>
      <c r="EA120" s="48"/>
      <c r="EB120" s="81">
        <v>0</v>
      </c>
      <c r="EC120" s="49"/>
      <c r="ED120" s="19"/>
      <c r="EE120" s="274"/>
      <c r="EF120" s="48"/>
      <c r="EG120" s="81">
        <v>30810</v>
      </c>
      <c r="EH120" s="49"/>
      <c r="EI120" s="19"/>
      <c r="EJ120" s="274"/>
      <c r="EK120" s="91"/>
      <c r="EL120" s="81">
        <f>SUM(CD120:EG120)</f>
        <v>30810</v>
      </c>
      <c r="EM120" s="49"/>
      <c r="EO120" s="244"/>
      <c r="EP120" s="451"/>
      <c r="EQ120" s="451"/>
    </row>
    <row r="121" spans="4:147" hidden="1" x14ac:dyDescent="0.2">
      <c r="D121" s="435"/>
      <c r="E121" s="82"/>
      <c r="G121" s="19"/>
      <c r="H121" s="19"/>
      <c r="I121" s="19"/>
      <c r="J121" s="274"/>
      <c r="K121" s="19"/>
      <c r="L121" s="19"/>
      <c r="M121" s="19"/>
      <c r="N121" s="19"/>
      <c r="O121" s="274"/>
      <c r="P121" s="19"/>
      <c r="Q121" s="19"/>
      <c r="R121" s="19"/>
      <c r="S121" s="19"/>
      <c r="T121" s="274"/>
      <c r="U121" s="19"/>
      <c r="V121" s="19"/>
      <c r="W121" s="19"/>
      <c r="X121" s="19"/>
      <c r="Y121" s="274"/>
      <c r="Z121" s="19"/>
      <c r="AA121" s="19"/>
      <c r="AB121" s="19"/>
      <c r="AC121" s="19"/>
      <c r="AD121" s="274"/>
      <c r="AE121" s="19"/>
      <c r="AF121" s="19"/>
      <c r="AG121" s="19"/>
      <c r="AH121" s="19"/>
      <c r="AI121" s="274"/>
      <c r="AJ121" s="19"/>
      <c r="AK121" s="19"/>
      <c r="AL121" s="19"/>
      <c r="AM121" s="19"/>
      <c r="AN121" s="274"/>
      <c r="AO121" s="19"/>
      <c r="AP121" s="19"/>
      <c r="AQ121" s="19"/>
      <c r="AR121" s="19"/>
      <c r="AS121" s="274"/>
      <c r="AT121" s="19"/>
      <c r="AU121" s="19"/>
      <c r="AV121" s="19"/>
      <c r="AW121" s="19"/>
      <c r="AX121" s="274"/>
      <c r="AY121" s="19"/>
      <c r="AZ121" s="19"/>
      <c r="BA121" s="19"/>
      <c r="BB121" s="19"/>
      <c r="BC121" s="274"/>
      <c r="BD121" s="19"/>
      <c r="BE121" s="19"/>
      <c r="BF121" s="19"/>
      <c r="BG121" s="19"/>
      <c r="BH121" s="274"/>
      <c r="BI121" s="19"/>
      <c r="BJ121" s="19"/>
      <c r="BK121" s="19"/>
      <c r="BL121" s="19"/>
      <c r="BM121" s="274"/>
      <c r="BN121" s="19"/>
      <c r="BO121" s="19"/>
      <c r="BP121" s="19"/>
      <c r="BQ121" s="19"/>
      <c r="BR121" s="274"/>
      <c r="BS121" s="19"/>
      <c r="BT121" s="19"/>
      <c r="BU121" s="19"/>
      <c r="BV121" s="19"/>
      <c r="BW121" s="274"/>
      <c r="BX121" s="19"/>
      <c r="BY121" s="19"/>
      <c r="BZ121" s="19"/>
      <c r="CA121" s="19"/>
      <c r="CB121" s="274"/>
      <c r="CC121" s="19"/>
      <c r="CD121" s="19"/>
      <c r="CE121" s="19"/>
      <c r="CF121" s="19"/>
      <c r="CG121" s="274"/>
      <c r="CH121" s="19"/>
      <c r="CI121" s="19"/>
      <c r="CJ121" s="19"/>
      <c r="CK121" s="19"/>
      <c r="CL121" s="274"/>
      <c r="CM121" s="19"/>
      <c r="CN121" s="19"/>
      <c r="CO121" s="19"/>
      <c r="CP121" s="19"/>
      <c r="CQ121" s="274"/>
      <c r="CR121" s="19"/>
      <c r="CS121" s="19"/>
      <c r="CT121" s="19"/>
      <c r="CU121" s="19"/>
      <c r="CV121" s="274"/>
      <c r="CW121" s="19"/>
      <c r="CX121" s="19"/>
      <c r="CY121" s="19"/>
      <c r="CZ121" s="19"/>
      <c r="DA121" s="274"/>
      <c r="DB121" s="19"/>
      <c r="DC121" s="19"/>
      <c r="DD121" s="19"/>
      <c r="DE121" s="19"/>
      <c r="DF121" s="274"/>
      <c r="DG121" s="19"/>
      <c r="DH121" s="19"/>
      <c r="DI121" s="19"/>
      <c r="DJ121" s="19"/>
      <c r="DK121" s="274"/>
      <c r="DL121" s="19"/>
      <c r="DM121" s="19"/>
      <c r="DN121" s="19"/>
      <c r="DO121" s="19"/>
      <c r="DP121" s="274"/>
      <c r="DQ121" s="19"/>
      <c r="DR121" s="19"/>
      <c r="DS121" s="19"/>
      <c r="DT121" s="19"/>
      <c r="DU121" s="274"/>
      <c r="DV121" s="19"/>
      <c r="DW121" s="19"/>
      <c r="DX121" s="19"/>
      <c r="DY121" s="19"/>
      <c r="DZ121" s="274"/>
      <c r="EA121" s="19"/>
      <c r="EB121" s="19"/>
      <c r="EC121" s="19"/>
      <c r="ED121" s="19"/>
      <c r="EE121" s="274"/>
      <c r="EF121" s="19"/>
      <c r="EG121" s="19"/>
      <c r="EH121" s="19"/>
      <c r="EI121" s="19"/>
      <c r="EJ121" s="274"/>
      <c r="EK121" s="19"/>
      <c r="EL121" s="19"/>
      <c r="EN121" s="128"/>
      <c r="EO121" s="244"/>
      <c r="EP121" s="451"/>
      <c r="EQ121" s="451"/>
    </row>
    <row r="122" spans="4:147" s="451" customFormat="1" hidden="1" x14ac:dyDescent="0.2">
      <c r="D122" s="484" t="s">
        <v>431</v>
      </c>
      <c r="E122" s="138"/>
      <c r="G122" s="14">
        <v>0</v>
      </c>
      <c r="H122" s="14"/>
      <c r="I122" s="14"/>
      <c r="J122" s="422"/>
      <c r="K122" s="14"/>
      <c r="L122" s="14">
        <f>SUM(L123:L125)</f>
        <v>0</v>
      </c>
      <c r="M122" s="14"/>
      <c r="N122" s="14"/>
      <c r="O122" s="422"/>
      <c r="P122" s="14"/>
      <c r="Q122" s="14">
        <f>SUM(Q123:Q125)</f>
        <v>0</v>
      </c>
      <c r="R122" s="14"/>
      <c r="S122" s="14"/>
      <c r="T122" s="422"/>
      <c r="U122" s="14"/>
      <c r="V122" s="14">
        <f>SUM(V123:V125)</f>
        <v>0</v>
      </c>
      <c r="W122" s="14"/>
      <c r="X122" s="14"/>
      <c r="Y122" s="422"/>
      <c r="Z122" s="14"/>
      <c r="AA122" s="14">
        <f>SUM(AA123:AA125)</f>
        <v>0</v>
      </c>
      <c r="AB122" s="14"/>
      <c r="AC122" s="14"/>
      <c r="AD122" s="422"/>
      <c r="AE122" s="14"/>
      <c r="AF122" s="14">
        <f>SUM(AF123:AF125)</f>
        <v>0</v>
      </c>
      <c r="AG122" s="14"/>
      <c r="AH122" s="14"/>
      <c r="AI122" s="422"/>
      <c r="AJ122" s="14"/>
      <c r="AK122" s="14">
        <f>SUM(AK123:AK125)</f>
        <v>0</v>
      </c>
      <c r="AL122" s="14"/>
      <c r="AM122" s="14"/>
      <c r="AN122" s="422"/>
      <c r="AO122" s="14"/>
      <c r="AP122" s="14">
        <f>SUM(AP123:AP125)</f>
        <v>0</v>
      </c>
      <c r="AQ122" s="14"/>
      <c r="AR122" s="14"/>
      <c r="AS122" s="422"/>
      <c r="AT122" s="14"/>
      <c r="AU122" s="14">
        <f>SUM(AU123:AU125)</f>
        <v>0</v>
      </c>
      <c r="AV122" s="14"/>
      <c r="AW122" s="14"/>
      <c r="AX122" s="422"/>
      <c r="AY122" s="14"/>
      <c r="AZ122" s="14">
        <f>SUM(AZ123:AZ125)</f>
        <v>0</v>
      </c>
      <c r="BA122" s="14"/>
      <c r="BB122" s="14"/>
      <c r="BC122" s="422"/>
      <c r="BD122" s="14"/>
      <c r="BE122" s="14">
        <f>SUM(BE123:BE125)</f>
        <v>0</v>
      </c>
      <c r="BF122" s="14"/>
      <c r="BG122" s="14"/>
      <c r="BH122" s="422"/>
      <c r="BI122" s="14"/>
      <c r="BJ122" s="14">
        <f>SUM(BJ123:BJ125)</f>
        <v>0</v>
      </c>
      <c r="BK122" s="14"/>
      <c r="BL122" s="14"/>
      <c r="BM122" s="422"/>
      <c r="BN122" s="14"/>
      <c r="BO122" s="14">
        <f>SUM(BO123:BO125)</f>
        <v>0</v>
      </c>
      <c r="BP122" s="14"/>
      <c r="BQ122" s="14"/>
      <c r="BR122" s="422"/>
      <c r="BS122" s="14"/>
      <c r="BT122" s="14">
        <f>SUM(BT123:BT125)</f>
        <v>0</v>
      </c>
      <c r="BU122" s="14"/>
      <c r="BV122" s="14"/>
      <c r="BW122" s="422"/>
      <c r="BX122" s="14"/>
      <c r="BY122" s="14">
        <v>0</v>
      </c>
      <c r="BZ122" s="14"/>
      <c r="CA122" s="14"/>
      <c r="CB122" s="422"/>
      <c r="CC122" s="14"/>
      <c r="CD122" s="14">
        <f>SUM(CD123:CD125)</f>
        <v>0</v>
      </c>
      <c r="CE122" s="14"/>
      <c r="CF122" s="14"/>
      <c r="CG122" s="422"/>
      <c r="CH122" s="14"/>
      <c r="CI122" s="14">
        <f>SUM(CI123:CI125)</f>
        <v>0</v>
      </c>
      <c r="CJ122" s="14"/>
      <c r="CK122" s="14"/>
      <c r="CL122" s="422"/>
      <c r="CM122" s="14"/>
      <c r="CN122" s="14">
        <f>SUM(CN123:CN125)</f>
        <v>0</v>
      </c>
      <c r="CO122" s="14"/>
      <c r="CP122" s="14"/>
      <c r="CQ122" s="422"/>
      <c r="CR122" s="14"/>
      <c r="CS122" s="14">
        <f>SUM(CS123:CS125)</f>
        <v>0</v>
      </c>
      <c r="CT122" s="14"/>
      <c r="CU122" s="14"/>
      <c r="CV122" s="422"/>
      <c r="CW122" s="14"/>
      <c r="CX122" s="14">
        <f>SUM(CX123:CX125)</f>
        <v>0</v>
      </c>
      <c r="CY122" s="14"/>
      <c r="CZ122" s="14"/>
      <c r="DA122" s="422"/>
      <c r="DB122" s="14"/>
      <c r="DC122" s="14">
        <f>SUM(DC123:DC125)</f>
        <v>0</v>
      </c>
      <c r="DD122" s="14"/>
      <c r="DE122" s="14"/>
      <c r="DF122" s="422"/>
      <c r="DG122" s="14"/>
      <c r="DH122" s="14">
        <f>SUM(DH123:DH125)</f>
        <v>0</v>
      </c>
      <c r="DI122" s="14"/>
      <c r="DJ122" s="14"/>
      <c r="DK122" s="422"/>
      <c r="DL122" s="14"/>
      <c r="DM122" s="14">
        <f>SUM(DM123:DM125)</f>
        <v>0</v>
      </c>
      <c r="DN122" s="14"/>
      <c r="DO122" s="14"/>
      <c r="DP122" s="422"/>
      <c r="DQ122" s="14"/>
      <c r="DR122" s="14">
        <f>SUM(DR123:DR125)</f>
        <v>0</v>
      </c>
      <c r="DS122" s="14"/>
      <c r="DT122" s="14"/>
      <c r="DU122" s="422"/>
      <c r="DV122" s="14"/>
      <c r="DW122" s="14">
        <f>SUM(DW123:DW125)</f>
        <v>0</v>
      </c>
      <c r="DX122" s="14"/>
      <c r="DY122" s="14"/>
      <c r="DZ122" s="422"/>
      <c r="EA122" s="14"/>
      <c r="EB122" s="14">
        <f>SUM(EB123:EB125)</f>
        <v>0</v>
      </c>
      <c r="EC122" s="14"/>
      <c r="ED122" s="14"/>
      <c r="EE122" s="422"/>
      <c r="EF122" s="14"/>
      <c r="EG122" s="14">
        <f>SUM(EG123:EG125)</f>
        <v>0</v>
      </c>
      <c r="EH122" s="14"/>
      <c r="EI122" s="19"/>
      <c r="EJ122" s="274"/>
      <c r="EK122" s="14"/>
      <c r="EL122" s="14">
        <f>SUM(EL123:EL125)</f>
        <v>0</v>
      </c>
      <c r="EO122" s="484"/>
    </row>
    <row r="123" spans="4:147" hidden="1" x14ac:dyDescent="0.2">
      <c r="D123" s="244" t="s">
        <v>344</v>
      </c>
      <c r="E123" s="82"/>
      <c r="F123" s="112"/>
      <c r="G123" s="374">
        <f>G133+G153</f>
        <v>0</v>
      </c>
      <c r="H123" s="475"/>
      <c r="I123" s="19"/>
      <c r="J123" s="274"/>
      <c r="K123" s="173"/>
      <c r="L123" s="374">
        <f>L133+L153</f>
        <v>0</v>
      </c>
      <c r="M123" s="475"/>
      <c r="N123" s="19"/>
      <c r="O123" s="274"/>
      <c r="P123" s="173"/>
      <c r="Q123" s="374">
        <f>Q133+Q153</f>
        <v>0</v>
      </c>
      <c r="R123" s="475"/>
      <c r="S123" s="19"/>
      <c r="T123" s="274"/>
      <c r="U123" s="173"/>
      <c r="V123" s="374">
        <f>V133+V153</f>
        <v>0</v>
      </c>
      <c r="W123" s="475"/>
      <c r="X123" s="19"/>
      <c r="Y123" s="274"/>
      <c r="Z123" s="173"/>
      <c r="AA123" s="374">
        <f>AA133+AA153</f>
        <v>0</v>
      </c>
      <c r="AB123" s="475"/>
      <c r="AC123" s="19"/>
      <c r="AD123" s="274"/>
      <c r="AE123" s="173"/>
      <c r="AF123" s="374">
        <f>AF133+AF153</f>
        <v>0</v>
      </c>
      <c r="AG123" s="475"/>
      <c r="AH123" s="19"/>
      <c r="AI123" s="274"/>
      <c r="AJ123" s="173"/>
      <c r="AK123" s="374">
        <f>AK133+AK153</f>
        <v>0</v>
      </c>
      <c r="AL123" s="475"/>
      <c r="AM123" s="19"/>
      <c r="AN123" s="274"/>
      <c r="AO123" s="173"/>
      <c r="AP123" s="374">
        <f>AP133+AP153</f>
        <v>0</v>
      </c>
      <c r="AQ123" s="475"/>
      <c r="AR123" s="19"/>
      <c r="AS123" s="274"/>
      <c r="AT123" s="173"/>
      <c r="AU123" s="374">
        <f>AU133+AU153</f>
        <v>0</v>
      </c>
      <c r="AV123" s="475"/>
      <c r="AW123" s="19"/>
      <c r="AX123" s="274"/>
      <c r="AY123" s="173"/>
      <c r="AZ123" s="374">
        <f>AZ133+AZ153</f>
        <v>0</v>
      </c>
      <c r="BA123" s="475"/>
      <c r="BB123" s="19"/>
      <c r="BC123" s="274"/>
      <c r="BD123" s="173"/>
      <c r="BE123" s="374">
        <f>BE133+BE153</f>
        <v>0</v>
      </c>
      <c r="BF123" s="475"/>
      <c r="BG123" s="19"/>
      <c r="BH123" s="274"/>
      <c r="BI123" s="173"/>
      <c r="BJ123" s="374">
        <f>BJ133+BJ153</f>
        <v>0</v>
      </c>
      <c r="BK123" s="475"/>
      <c r="BL123" s="19"/>
      <c r="BM123" s="274"/>
      <c r="BN123" s="173"/>
      <c r="BO123" s="374">
        <f>BO133+BO153</f>
        <v>0</v>
      </c>
      <c r="BP123" s="475"/>
      <c r="BQ123" s="19"/>
      <c r="BR123" s="274"/>
      <c r="BS123" s="173"/>
      <c r="BT123" s="374">
        <f>BT133+BT128+BT153+BT138+BT143+BT148</f>
        <v>0</v>
      </c>
      <c r="BU123" s="475"/>
      <c r="BV123" s="19"/>
      <c r="BW123" s="274"/>
      <c r="BX123" s="173"/>
      <c r="BY123" s="374">
        <f>BY133+BY153</f>
        <v>0</v>
      </c>
      <c r="BZ123" s="475"/>
      <c r="CA123" s="19"/>
      <c r="CB123" s="274"/>
      <c r="CC123" s="173"/>
      <c r="CD123" s="374">
        <f>CD133+CD153</f>
        <v>0</v>
      </c>
      <c r="CE123" s="475"/>
      <c r="CF123" s="19"/>
      <c r="CG123" s="274"/>
      <c r="CH123" s="173"/>
      <c r="CI123" s="374">
        <f>CI133+CI153</f>
        <v>0</v>
      </c>
      <c r="CJ123" s="475"/>
      <c r="CK123" s="19"/>
      <c r="CL123" s="274"/>
      <c r="CM123" s="173"/>
      <c r="CN123" s="374">
        <f>CN133+CN153</f>
        <v>0</v>
      </c>
      <c r="CO123" s="475"/>
      <c r="CP123" s="19"/>
      <c r="CQ123" s="274"/>
      <c r="CR123" s="173"/>
      <c r="CS123" s="374">
        <f>CS133+CS153</f>
        <v>0</v>
      </c>
      <c r="CT123" s="475"/>
      <c r="CU123" s="19"/>
      <c r="CV123" s="274"/>
      <c r="CW123" s="173"/>
      <c r="CX123" s="374">
        <f>CX133+CX153</f>
        <v>0</v>
      </c>
      <c r="CY123" s="475"/>
      <c r="CZ123" s="19"/>
      <c r="DA123" s="274"/>
      <c r="DB123" s="173"/>
      <c r="DC123" s="374">
        <f>DC133+DC153</f>
        <v>0</v>
      </c>
      <c r="DD123" s="475"/>
      <c r="DE123" s="19"/>
      <c r="DF123" s="274"/>
      <c r="DG123" s="173"/>
      <c r="DH123" s="374">
        <f>DH133+DH153</f>
        <v>0</v>
      </c>
      <c r="DI123" s="475"/>
      <c r="DJ123" s="19"/>
      <c r="DK123" s="274"/>
      <c r="DL123" s="173"/>
      <c r="DM123" s="374">
        <f>DM133+DM153</f>
        <v>0</v>
      </c>
      <c r="DN123" s="475"/>
      <c r="DO123" s="19"/>
      <c r="DP123" s="274"/>
      <c r="DQ123" s="173"/>
      <c r="DR123" s="374">
        <f>DR133+DR153</f>
        <v>0</v>
      </c>
      <c r="DS123" s="475"/>
      <c r="DT123" s="19"/>
      <c r="DU123" s="274"/>
      <c r="DV123" s="173"/>
      <c r="DW123" s="374">
        <f>DW133+DW153</f>
        <v>0</v>
      </c>
      <c r="DX123" s="475"/>
      <c r="DY123" s="19"/>
      <c r="DZ123" s="274"/>
      <c r="EA123" s="173"/>
      <c r="EB123" s="374">
        <f>EB133+EB153</f>
        <v>0</v>
      </c>
      <c r="EC123" s="475"/>
      <c r="ED123" s="19"/>
      <c r="EE123" s="274"/>
      <c r="EF123" s="173"/>
      <c r="EG123" s="374">
        <f>EG133+EG153</f>
        <v>0</v>
      </c>
      <c r="EH123" s="475"/>
      <c r="EI123" s="19"/>
      <c r="EJ123" s="274"/>
      <c r="EK123" s="173"/>
      <c r="EL123" s="374">
        <f>EL133+EL128+EL153+EL138+EL143+EL148</f>
        <v>0</v>
      </c>
      <c r="EM123" s="475"/>
      <c r="EO123" s="244"/>
      <c r="EP123" s="451"/>
      <c r="EQ123" s="451"/>
    </row>
    <row r="124" spans="4:147" hidden="1" x14ac:dyDescent="0.2">
      <c r="D124" s="244" t="s">
        <v>432</v>
      </c>
      <c r="E124" s="82"/>
      <c r="F124" s="82"/>
      <c r="G124" s="19">
        <f>G134+G154</f>
        <v>0</v>
      </c>
      <c r="H124" s="18"/>
      <c r="I124" s="19"/>
      <c r="J124" s="274"/>
      <c r="K124" s="274"/>
      <c r="L124" s="19">
        <f>L134+L154</f>
        <v>0</v>
      </c>
      <c r="M124" s="18"/>
      <c r="N124" s="19"/>
      <c r="O124" s="274"/>
      <c r="P124" s="274"/>
      <c r="Q124" s="19">
        <f>Q134+Q154</f>
        <v>0</v>
      </c>
      <c r="R124" s="18"/>
      <c r="S124" s="19"/>
      <c r="T124" s="274"/>
      <c r="U124" s="274"/>
      <c r="V124" s="19">
        <f>V134+V154</f>
        <v>0</v>
      </c>
      <c r="W124" s="18"/>
      <c r="X124" s="19"/>
      <c r="Y124" s="274"/>
      <c r="Z124" s="274"/>
      <c r="AA124" s="19">
        <f>AA134+AA154</f>
        <v>0</v>
      </c>
      <c r="AB124" s="18"/>
      <c r="AC124" s="19"/>
      <c r="AD124" s="274"/>
      <c r="AE124" s="274"/>
      <c r="AF124" s="19">
        <f>AF134+AF154</f>
        <v>0</v>
      </c>
      <c r="AG124" s="18"/>
      <c r="AH124" s="19"/>
      <c r="AI124" s="274"/>
      <c r="AJ124" s="274"/>
      <c r="AK124" s="19">
        <f>AK134+AK154</f>
        <v>0</v>
      </c>
      <c r="AL124" s="18"/>
      <c r="AM124" s="19"/>
      <c r="AN124" s="274"/>
      <c r="AO124" s="274"/>
      <c r="AP124" s="19">
        <f>AP134+AP154</f>
        <v>0</v>
      </c>
      <c r="AQ124" s="18"/>
      <c r="AR124" s="19"/>
      <c r="AS124" s="274"/>
      <c r="AT124" s="274"/>
      <c r="AU124" s="19">
        <f>AU134+AU154</f>
        <v>0</v>
      </c>
      <c r="AV124" s="18"/>
      <c r="AW124" s="19"/>
      <c r="AX124" s="274"/>
      <c r="AY124" s="274"/>
      <c r="AZ124" s="19">
        <f>AZ134+AZ154</f>
        <v>0</v>
      </c>
      <c r="BA124" s="18"/>
      <c r="BB124" s="19"/>
      <c r="BC124" s="274"/>
      <c r="BD124" s="274"/>
      <c r="BE124" s="19">
        <f>BE134+BE154</f>
        <v>0</v>
      </c>
      <c r="BF124" s="18"/>
      <c r="BG124" s="19"/>
      <c r="BH124" s="274"/>
      <c r="BI124" s="274"/>
      <c r="BJ124" s="19">
        <f>BJ134+BJ154</f>
        <v>0</v>
      </c>
      <c r="BK124" s="18"/>
      <c r="BL124" s="19"/>
      <c r="BM124" s="274"/>
      <c r="BN124" s="274"/>
      <c r="BO124" s="19">
        <f>BO134+BO154</f>
        <v>0</v>
      </c>
      <c r="BP124" s="18"/>
      <c r="BQ124" s="19"/>
      <c r="BR124" s="274"/>
      <c r="BS124" s="274"/>
      <c r="BT124" s="19">
        <f>BT134+BT129+BT139+BT144+BT154+BT149</f>
        <v>0</v>
      </c>
      <c r="BU124" s="18"/>
      <c r="BV124" s="19"/>
      <c r="BW124" s="274"/>
      <c r="BX124" s="274"/>
      <c r="BY124" s="19">
        <f>BY134+BY154</f>
        <v>0</v>
      </c>
      <c r="BZ124" s="18"/>
      <c r="CA124" s="19"/>
      <c r="CB124" s="274"/>
      <c r="CC124" s="274"/>
      <c r="CD124" s="19">
        <f>CD134+CD154</f>
        <v>0</v>
      </c>
      <c r="CE124" s="18"/>
      <c r="CF124" s="19"/>
      <c r="CG124" s="274"/>
      <c r="CH124" s="274"/>
      <c r="CI124" s="19">
        <f>CI134+CI154</f>
        <v>0</v>
      </c>
      <c r="CJ124" s="18"/>
      <c r="CK124" s="19"/>
      <c r="CL124" s="274"/>
      <c r="CM124" s="274"/>
      <c r="CN124" s="19">
        <f>CN134+CN154</f>
        <v>0</v>
      </c>
      <c r="CO124" s="18"/>
      <c r="CP124" s="19"/>
      <c r="CQ124" s="274"/>
      <c r="CR124" s="274"/>
      <c r="CS124" s="19">
        <f>CS134+CS154</f>
        <v>0</v>
      </c>
      <c r="CT124" s="18"/>
      <c r="CU124" s="19"/>
      <c r="CV124" s="274"/>
      <c r="CW124" s="274"/>
      <c r="CX124" s="19">
        <f>CX134+CX154</f>
        <v>0</v>
      </c>
      <c r="CY124" s="18"/>
      <c r="CZ124" s="19"/>
      <c r="DA124" s="274"/>
      <c r="DB124" s="274"/>
      <c r="DC124" s="19">
        <f>DC134+DC154</f>
        <v>0</v>
      </c>
      <c r="DD124" s="18"/>
      <c r="DE124" s="19"/>
      <c r="DF124" s="274"/>
      <c r="DG124" s="274"/>
      <c r="DH124" s="19">
        <f>DH134+DH154</f>
        <v>0</v>
      </c>
      <c r="DI124" s="18"/>
      <c r="DJ124" s="19"/>
      <c r="DK124" s="274"/>
      <c r="DL124" s="274"/>
      <c r="DM124" s="19">
        <f>DM134+DM154</f>
        <v>0</v>
      </c>
      <c r="DN124" s="18"/>
      <c r="DO124" s="19"/>
      <c r="DP124" s="274"/>
      <c r="DQ124" s="274"/>
      <c r="DR124" s="19">
        <f>DR134+DR154</f>
        <v>0</v>
      </c>
      <c r="DS124" s="18"/>
      <c r="DT124" s="19"/>
      <c r="DU124" s="274"/>
      <c r="DV124" s="274"/>
      <c r="DW124" s="19">
        <f>DW134+DW154</f>
        <v>0</v>
      </c>
      <c r="DX124" s="18"/>
      <c r="DY124" s="19"/>
      <c r="DZ124" s="274"/>
      <c r="EA124" s="274"/>
      <c r="EB124" s="19">
        <f>EB134+EB154</f>
        <v>0</v>
      </c>
      <c r="EC124" s="18"/>
      <c r="ED124" s="19"/>
      <c r="EE124" s="274"/>
      <c r="EF124" s="274"/>
      <c r="EG124" s="19">
        <f>EG134+EG154</f>
        <v>0</v>
      </c>
      <c r="EH124" s="18"/>
      <c r="EI124" s="19"/>
      <c r="EJ124" s="274"/>
      <c r="EK124" s="274"/>
      <c r="EL124" s="19">
        <f>EL134+EL129+EL139+EL144+EL154+EL149</f>
        <v>0</v>
      </c>
      <c r="EM124" s="18"/>
      <c r="EO124" s="244"/>
      <c r="EP124" s="451"/>
      <c r="EQ124" s="451"/>
    </row>
    <row r="125" spans="4:147" hidden="1" x14ac:dyDescent="0.2">
      <c r="D125" s="244" t="s">
        <v>433</v>
      </c>
      <c r="E125" s="82"/>
      <c r="F125" s="276"/>
      <c r="G125" s="37">
        <f>G135+G155</f>
        <v>0</v>
      </c>
      <c r="H125" s="36"/>
      <c r="I125" s="19"/>
      <c r="J125" s="274"/>
      <c r="K125" s="231"/>
      <c r="L125" s="37">
        <f>L135+L155</f>
        <v>0</v>
      </c>
      <c r="M125" s="36"/>
      <c r="N125" s="19"/>
      <c r="O125" s="274"/>
      <c r="P125" s="231"/>
      <c r="Q125" s="37">
        <f>Q135+Q155</f>
        <v>0</v>
      </c>
      <c r="R125" s="36"/>
      <c r="S125" s="19"/>
      <c r="T125" s="274"/>
      <c r="U125" s="231"/>
      <c r="V125" s="37">
        <f>V135+V155</f>
        <v>0</v>
      </c>
      <c r="W125" s="36"/>
      <c r="X125" s="19"/>
      <c r="Y125" s="274"/>
      <c r="Z125" s="231"/>
      <c r="AA125" s="37">
        <f>AA135+AA155</f>
        <v>0</v>
      </c>
      <c r="AB125" s="36"/>
      <c r="AC125" s="19"/>
      <c r="AD125" s="274"/>
      <c r="AE125" s="231"/>
      <c r="AF125" s="37">
        <f>AF135+AF155</f>
        <v>0</v>
      </c>
      <c r="AG125" s="36"/>
      <c r="AH125" s="19"/>
      <c r="AI125" s="274"/>
      <c r="AJ125" s="231"/>
      <c r="AK125" s="37">
        <f>AK135+AK155</f>
        <v>0</v>
      </c>
      <c r="AL125" s="36"/>
      <c r="AM125" s="19"/>
      <c r="AN125" s="274"/>
      <c r="AO125" s="231"/>
      <c r="AP125" s="37">
        <f>AP135+AP155</f>
        <v>0</v>
      </c>
      <c r="AQ125" s="36"/>
      <c r="AR125" s="19"/>
      <c r="AS125" s="274"/>
      <c r="AT125" s="231"/>
      <c r="AU125" s="37">
        <f>AU135+AU155</f>
        <v>0</v>
      </c>
      <c r="AV125" s="36"/>
      <c r="AW125" s="19"/>
      <c r="AX125" s="274"/>
      <c r="AY125" s="231"/>
      <c r="AZ125" s="37">
        <f>AZ135+AZ155</f>
        <v>0</v>
      </c>
      <c r="BA125" s="36"/>
      <c r="BB125" s="19"/>
      <c r="BC125" s="274"/>
      <c r="BD125" s="231"/>
      <c r="BE125" s="37">
        <f>BE135+BE155</f>
        <v>0</v>
      </c>
      <c r="BF125" s="36"/>
      <c r="BG125" s="19"/>
      <c r="BH125" s="274"/>
      <c r="BI125" s="231"/>
      <c r="BJ125" s="37">
        <f>BJ135+BJ155</f>
        <v>0</v>
      </c>
      <c r="BK125" s="36"/>
      <c r="BL125" s="19"/>
      <c r="BM125" s="274"/>
      <c r="BN125" s="231"/>
      <c r="BO125" s="37">
        <f>BO135+BO155</f>
        <v>0</v>
      </c>
      <c r="BP125" s="36"/>
      <c r="BQ125" s="19"/>
      <c r="BR125" s="274"/>
      <c r="BS125" s="231"/>
      <c r="BT125" s="37">
        <f>BT135+BT130+BT155+BT140+BT145+BT150</f>
        <v>0</v>
      </c>
      <c r="BU125" s="36"/>
      <c r="BV125" s="19"/>
      <c r="BW125" s="274"/>
      <c r="BX125" s="231"/>
      <c r="BY125" s="37">
        <f>BY135+BY155</f>
        <v>0</v>
      </c>
      <c r="BZ125" s="36"/>
      <c r="CA125" s="19"/>
      <c r="CB125" s="274"/>
      <c r="CC125" s="231"/>
      <c r="CD125" s="37">
        <f>CD135+CD155</f>
        <v>0</v>
      </c>
      <c r="CE125" s="36"/>
      <c r="CF125" s="19"/>
      <c r="CG125" s="274"/>
      <c r="CH125" s="231"/>
      <c r="CI125" s="37">
        <f>CI135+CI155</f>
        <v>0</v>
      </c>
      <c r="CJ125" s="36"/>
      <c r="CK125" s="19"/>
      <c r="CL125" s="274"/>
      <c r="CM125" s="231"/>
      <c r="CN125" s="37">
        <f>CN135+CN155</f>
        <v>0</v>
      </c>
      <c r="CO125" s="36"/>
      <c r="CP125" s="19"/>
      <c r="CQ125" s="274"/>
      <c r="CR125" s="231"/>
      <c r="CS125" s="37">
        <f>CS135+CS155</f>
        <v>0</v>
      </c>
      <c r="CT125" s="36"/>
      <c r="CU125" s="19"/>
      <c r="CV125" s="274"/>
      <c r="CW125" s="231"/>
      <c r="CX125" s="37">
        <f>CX135+CX155</f>
        <v>0</v>
      </c>
      <c r="CY125" s="36"/>
      <c r="CZ125" s="19"/>
      <c r="DA125" s="274"/>
      <c r="DB125" s="231"/>
      <c r="DC125" s="37">
        <f>DC135+DC155</f>
        <v>0</v>
      </c>
      <c r="DD125" s="36"/>
      <c r="DE125" s="19"/>
      <c r="DF125" s="274"/>
      <c r="DG125" s="231"/>
      <c r="DH125" s="37">
        <f>DH135+DH155</f>
        <v>0</v>
      </c>
      <c r="DI125" s="36"/>
      <c r="DJ125" s="19"/>
      <c r="DK125" s="274"/>
      <c r="DL125" s="231"/>
      <c r="DM125" s="37">
        <f>DM135+DM155</f>
        <v>0</v>
      </c>
      <c r="DN125" s="36"/>
      <c r="DO125" s="19"/>
      <c r="DP125" s="274"/>
      <c r="DQ125" s="231"/>
      <c r="DR125" s="37">
        <f>DR135+DR155</f>
        <v>0</v>
      </c>
      <c r="DS125" s="36"/>
      <c r="DT125" s="19"/>
      <c r="DU125" s="274"/>
      <c r="DV125" s="231"/>
      <c r="DW125" s="37">
        <f>DW135+DW155</f>
        <v>0</v>
      </c>
      <c r="DX125" s="36"/>
      <c r="DY125" s="19"/>
      <c r="DZ125" s="274"/>
      <c r="EA125" s="231"/>
      <c r="EB125" s="37">
        <f>EB135+EB155</f>
        <v>0</v>
      </c>
      <c r="EC125" s="36"/>
      <c r="ED125" s="19"/>
      <c r="EE125" s="274"/>
      <c r="EF125" s="231"/>
      <c r="EG125" s="37">
        <f>EG135+EG155</f>
        <v>0</v>
      </c>
      <c r="EH125" s="36"/>
      <c r="EI125" s="19"/>
      <c r="EJ125" s="274"/>
      <c r="EK125" s="231"/>
      <c r="EL125" s="37">
        <f>EL135+EL130+EL155+EL140+EL145+EL150</f>
        <v>0</v>
      </c>
      <c r="EM125" s="36"/>
      <c r="EO125" s="244"/>
      <c r="EP125" s="451"/>
      <c r="EQ125" s="451"/>
    </row>
    <row r="126" spans="4:147" hidden="1" x14ac:dyDescent="0.2">
      <c r="D126" s="244"/>
      <c r="E126" s="82"/>
      <c r="G126" s="19"/>
      <c r="H126" s="19"/>
      <c r="I126" s="19"/>
      <c r="J126" s="274"/>
      <c r="K126" s="19"/>
      <c r="L126" s="19"/>
      <c r="M126" s="19"/>
      <c r="N126" s="19"/>
      <c r="O126" s="274"/>
      <c r="P126" s="19"/>
      <c r="Q126" s="19"/>
      <c r="R126" s="19"/>
      <c r="S126" s="19"/>
      <c r="T126" s="274"/>
      <c r="U126" s="19"/>
      <c r="V126" s="19"/>
      <c r="W126" s="19"/>
      <c r="X126" s="19"/>
      <c r="Y126" s="274"/>
      <c r="Z126" s="19"/>
      <c r="AA126" s="19"/>
      <c r="AB126" s="19"/>
      <c r="AC126" s="19"/>
      <c r="AD126" s="274"/>
      <c r="AE126" s="19"/>
      <c r="AF126" s="19"/>
      <c r="AG126" s="19"/>
      <c r="AH126" s="19"/>
      <c r="AI126" s="274"/>
      <c r="AJ126" s="19"/>
      <c r="AK126" s="19"/>
      <c r="AL126" s="19"/>
      <c r="AM126" s="19"/>
      <c r="AN126" s="274"/>
      <c r="AO126" s="19"/>
      <c r="AP126" s="19"/>
      <c r="AQ126" s="19"/>
      <c r="AR126" s="19"/>
      <c r="AS126" s="274"/>
      <c r="AT126" s="19"/>
      <c r="AU126" s="19"/>
      <c r="AV126" s="19"/>
      <c r="AW126" s="19"/>
      <c r="AX126" s="274"/>
      <c r="AY126" s="19"/>
      <c r="AZ126" s="19"/>
      <c r="BA126" s="19"/>
      <c r="BB126" s="19"/>
      <c r="BC126" s="274"/>
      <c r="BD126" s="19"/>
      <c r="BE126" s="19"/>
      <c r="BF126" s="19"/>
      <c r="BG126" s="19"/>
      <c r="BH126" s="274"/>
      <c r="BI126" s="19"/>
      <c r="BJ126" s="19"/>
      <c r="BK126" s="19"/>
      <c r="BL126" s="19"/>
      <c r="BM126" s="274"/>
      <c r="BN126" s="19"/>
      <c r="BO126" s="19"/>
      <c r="BP126" s="19"/>
      <c r="BQ126" s="19"/>
      <c r="BR126" s="274"/>
      <c r="BS126" s="19"/>
      <c r="BT126" s="19"/>
      <c r="BU126" s="19"/>
      <c r="BV126" s="19"/>
      <c r="BW126" s="274"/>
      <c r="BX126" s="19"/>
      <c r="BY126" s="19"/>
      <c r="BZ126" s="19"/>
      <c r="CA126" s="19"/>
      <c r="CB126" s="274"/>
      <c r="CC126" s="19"/>
      <c r="CD126" s="19"/>
      <c r="CE126" s="19"/>
      <c r="CF126" s="19"/>
      <c r="CG126" s="274"/>
      <c r="CH126" s="19"/>
      <c r="CI126" s="19"/>
      <c r="CJ126" s="19"/>
      <c r="CK126" s="19"/>
      <c r="CL126" s="274"/>
      <c r="CM126" s="19"/>
      <c r="CN126" s="19"/>
      <c r="CO126" s="19"/>
      <c r="CP126" s="19"/>
      <c r="CQ126" s="274"/>
      <c r="CR126" s="19"/>
      <c r="CS126" s="19"/>
      <c r="CT126" s="19"/>
      <c r="CU126" s="19"/>
      <c r="CV126" s="274"/>
      <c r="CW126" s="19"/>
      <c r="CX126" s="19"/>
      <c r="CY126" s="19"/>
      <c r="CZ126" s="19"/>
      <c r="DA126" s="274"/>
      <c r="DB126" s="19"/>
      <c r="DC126" s="19"/>
      <c r="DD126" s="19"/>
      <c r="DE126" s="19"/>
      <c r="DF126" s="274"/>
      <c r="DG126" s="19"/>
      <c r="DH126" s="19"/>
      <c r="DI126" s="19"/>
      <c r="DJ126" s="19"/>
      <c r="DK126" s="274"/>
      <c r="DL126" s="19"/>
      <c r="DM126" s="19"/>
      <c r="DN126" s="19"/>
      <c r="DO126" s="19"/>
      <c r="DP126" s="274"/>
      <c r="DQ126" s="19"/>
      <c r="DR126" s="19"/>
      <c r="DS126" s="19"/>
      <c r="DT126" s="19"/>
      <c r="DU126" s="274"/>
      <c r="DV126" s="19"/>
      <c r="DW126" s="19"/>
      <c r="DX126" s="19"/>
      <c r="DY126" s="19"/>
      <c r="DZ126" s="274"/>
      <c r="EA126" s="19"/>
      <c r="EB126" s="19"/>
      <c r="EC126" s="19"/>
      <c r="ED126" s="19"/>
      <c r="EE126" s="274"/>
      <c r="EF126" s="19"/>
      <c r="EG126" s="19"/>
      <c r="EH126" s="19"/>
      <c r="EI126" s="19"/>
      <c r="EJ126" s="274"/>
      <c r="EK126" s="19"/>
      <c r="EL126" s="19"/>
      <c r="EO126" s="244"/>
      <c r="EP126" s="451"/>
      <c r="EQ126" s="451"/>
    </row>
    <row r="127" spans="4:147" hidden="1" x14ac:dyDescent="0.2">
      <c r="D127" s="244" t="s">
        <v>434</v>
      </c>
      <c r="E127" s="82"/>
      <c r="G127" s="19">
        <f>SUM(G128:G130)</f>
        <v>0</v>
      </c>
      <c r="H127" s="19"/>
      <c r="I127" s="19"/>
      <c r="J127" s="274"/>
      <c r="K127" s="19"/>
      <c r="L127" s="19">
        <f>SUM(L128:L130)</f>
        <v>0</v>
      </c>
      <c r="M127" s="19"/>
      <c r="N127" s="19"/>
      <c r="O127" s="274"/>
      <c r="P127" s="19"/>
      <c r="Q127" s="19">
        <f>SUM(Q128:Q130)</f>
        <v>0</v>
      </c>
      <c r="R127" s="19"/>
      <c r="S127" s="19"/>
      <c r="T127" s="274"/>
      <c r="U127" s="19"/>
      <c r="V127" s="19">
        <f>SUM(V128:V130)</f>
        <v>0</v>
      </c>
      <c r="W127" s="19"/>
      <c r="X127" s="19"/>
      <c r="Y127" s="274"/>
      <c r="Z127" s="19"/>
      <c r="AA127" s="19">
        <f>SUM(AA128:AA130)</f>
        <v>0</v>
      </c>
      <c r="AB127" s="19"/>
      <c r="AC127" s="19"/>
      <c r="AD127" s="274"/>
      <c r="AE127" s="19"/>
      <c r="AF127" s="19">
        <f>SUM(AF128:AF130)</f>
        <v>0</v>
      </c>
      <c r="AG127" s="19"/>
      <c r="AH127" s="19"/>
      <c r="AI127" s="274"/>
      <c r="AJ127" s="19"/>
      <c r="AK127" s="19">
        <f>SUM(AK128:AK130)</f>
        <v>0</v>
      </c>
      <c r="AL127" s="19"/>
      <c r="AM127" s="19"/>
      <c r="AN127" s="274"/>
      <c r="AO127" s="19"/>
      <c r="AP127" s="19">
        <f>SUM(AP128:AP130)</f>
        <v>0</v>
      </c>
      <c r="AQ127" s="19"/>
      <c r="AR127" s="19"/>
      <c r="AS127" s="274"/>
      <c r="AT127" s="19"/>
      <c r="AU127" s="19">
        <f>SUM(AU128:AU130)</f>
        <v>0</v>
      </c>
      <c r="AV127" s="19"/>
      <c r="AW127" s="19"/>
      <c r="AX127" s="274"/>
      <c r="AY127" s="19"/>
      <c r="AZ127" s="19">
        <f>SUM(AZ128:AZ130)</f>
        <v>0</v>
      </c>
      <c r="BA127" s="19"/>
      <c r="BB127" s="19"/>
      <c r="BC127" s="274"/>
      <c r="BD127" s="19"/>
      <c r="BE127" s="19">
        <f>SUM(BE128:BE130)</f>
        <v>0</v>
      </c>
      <c r="BF127" s="19"/>
      <c r="BG127" s="19"/>
      <c r="BH127" s="274"/>
      <c r="BI127" s="19"/>
      <c r="BJ127" s="19">
        <f>SUM(BJ128:BJ130)</f>
        <v>0</v>
      </c>
      <c r="BK127" s="19"/>
      <c r="BL127" s="19"/>
      <c r="BM127" s="274"/>
      <c r="BN127" s="19"/>
      <c r="BO127" s="19">
        <f>SUM(BO128:BO130)</f>
        <v>0</v>
      </c>
      <c r="BP127" s="19"/>
      <c r="BQ127" s="19"/>
      <c r="BR127" s="274"/>
      <c r="BS127" s="19"/>
      <c r="BT127" s="19">
        <f>SUM(BT128:BT130)</f>
        <v>0</v>
      </c>
      <c r="BU127" s="19"/>
      <c r="BV127" s="19"/>
      <c r="BW127" s="274"/>
      <c r="BX127" s="19"/>
      <c r="BY127" s="19">
        <f>SUM(BY128:BY130)</f>
        <v>0</v>
      </c>
      <c r="BZ127" s="19"/>
      <c r="CA127" s="19"/>
      <c r="CB127" s="274"/>
      <c r="CC127" s="19"/>
      <c r="CD127" s="19">
        <f>SUM(CD128:CD130)</f>
        <v>0</v>
      </c>
      <c r="CE127" s="19"/>
      <c r="CF127" s="19"/>
      <c r="CG127" s="274"/>
      <c r="CH127" s="19"/>
      <c r="CI127" s="19">
        <f>SUM(CI128:CI130)</f>
        <v>0</v>
      </c>
      <c r="CJ127" s="19"/>
      <c r="CK127" s="19"/>
      <c r="CL127" s="274"/>
      <c r="CM127" s="19"/>
      <c r="CN127" s="19">
        <f>SUM(CN128:CN130)</f>
        <v>0</v>
      </c>
      <c r="CO127" s="19"/>
      <c r="CP127" s="19"/>
      <c r="CQ127" s="274"/>
      <c r="CR127" s="19"/>
      <c r="CS127" s="19">
        <f>SUM(CS128:CS130)</f>
        <v>0</v>
      </c>
      <c r="CT127" s="19"/>
      <c r="CU127" s="19"/>
      <c r="CV127" s="274"/>
      <c r="CW127" s="19"/>
      <c r="CX127" s="19">
        <f>SUM(CX128:CX130)</f>
        <v>0</v>
      </c>
      <c r="CY127" s="19"/>
      <c r="CZ127" s="19"/>
      <c r="DA127" s="274"/>
      <c r="DB127" s="19"/>
      <c r="DC127" s="19">
        <f>SUM(DC128:DC130)</f>
        <v>0</v>
      </c>
      <c r="DD127" s="19"/>
      <c r="DE127" s="19"/>
      <c r="DF127" s="274"/>
      <c r="DG127" s="19"/>
      <c r="DH127" s="19">
        <f>SUM(DH128:DH130)</f>
        <v>0</v>
      </c>
      <c r="DI127" s="19"/>
      <c r="DJ127" s="19"/>
      <c r="DK127" s="274"/>
      <c r="DL127" s="19"/>
      <c r="DM127" s="19">
        <f>SUM(DM128:DM130)</f>
        <v>0</v>
      </c>
      <c r="DN127" s="19"/>
      <c r="DO127" s="19"/>
      <c r="DP127" s="274"/>
      <c r="DQ127" s="19"/>
      <c r="DR127" s="19">
        <f>SUM(DR128:DR130)</f>
        <v>0</v>
      </c>
      <c r="DS127" s="19"/>
      <c r="DT127" s="19"/>
      <c r="DU127" s="274"/>
      <c r="DV127" s="19"/>
      <c r="DW127" s="19">
        <f>SUM(DW128:DW130)</f>
        <v>0</v>
      </c>
      <c r="DX127" s="19"/>
      <c r="DY127" s="19"/>
      <c r="DZ127" s="274"/>
      <c r="EA127" s="19"/>
      <c r="EB127" s="19">
        <f>SUM(EB128:EB130)</f>
        <v>0</v>
      </c>
      <c r="EC127" s="19"/>
      <c r="ED127" s="19"/>
      <c r="EE127" s="274"/>
      <c r="EF127" s="19"/>
      <c r="EG127" s="19">
        <f>SUM(EG128:EG130)</f>
        <v>0</v>
      </c>
      <c r="EH127" s="19"/>
      <c r="EI127" s="19"/>
      <c r="EJ127" s="274"/>
      <c r="EK127" s="19"/>
      <c r="EL127" s="19">
        <f>SUM(EL128:EL130)</f>
        <v>0</v>
      </c>
      <c r="EO127" s="244"/>
      <c r="EP127" s="451"/>
      <c r="EQ127" s="451"/>
    </row>
    <row r="128" spans="4:147" hidden="1" x14ac:dyDescent="0.2">
      <c r="D128" s="244" t="s">
        <v>344</v>
      </c>
      <c r="E128" s="82"/>
      <c r="F128" s="112"/>
      <c r="G128" s="374">
        <v>0</v>
      </c>
      <c r="H128" s="475"/>
      <c r="I128" s="19"/>
      <c r="J128" s="274"/>
      <c r="K128" s="173"/>
      <c r="L128" s="374">
        <v>0</v>
      </c>
      <c r="M128" s="475"/>
      <c r="N128" s="19"/>
      <c r="O128" s="274"/>
      <c r="P128" s="173"/>
      <c r="Q128" s="374">
        <v>0</v>
      </c>
      <c r="R128" s="475"/>
      <c r="S128" s="19"/>
      <c r="T128" s="274"/>
      <c r="U128" s="173"/>
      <c r="V128" s="374">
        <v>0</v>
      </c>
      <c r="W128" s="475"/>
      <c r="X128" s="19"/>
      <c r="Y128" s="274"/>
      <c r="Z128" s="173"/>
      <c r="AA128" s="374">
        <v>0</v>
      </c>
      <c r="AB128" s="475"/>
      <c r="AC128" s="19"/>
      <c r="AD128" s="274"/>
      <c r="AE128" s="173"/>
      <c r="AF128" s="374">
        <v>0</v>
      </c>
      <c r="AG128" s="475"/>
      <c r="AH128" s="19"/>
      <c r="AI128" s="274"/>
      <c r="AJ128" s="173"/>
      <c r="AK128" s="374">
        <v>0</v>
      </c>
      <c r="AL128" s="475"/>
      <c r="AM128" s="19"/>
      <c r="AN128" s="274"/>
      <c r="AO128" s="173"/>
      <c r="AP128" s="374">
        <v>0</v>
      </c>
      <c r="AQ128" s="475"/>
      <c r="AR128" s="19"/>
      <c r="AS128" s="274"/>
      <c r="AT128" s="173"/>
      <c r="AU128" s="374">
        <v>0</v>
      </c>
      <c r="AV128" s="475"/>
      <c r="AW128" s="19"/>
      <c r="AX128" s="274"/>
      <c r="AY128" s="173"/>
      <c r="AZ128" s="374">
        <v>0</v>
      </c>
      <c r="BA128" s="475"/>
      <c r="BB128" s="19"/>
      <c r="BC128" s="274"/>
      <c r="BD128" s="173"/>
      <c r="BE128" s="374">
        <v>0</v>
      </c>
      <c r="BF128" s="475"/>
      <c r="BG128" s="19"/>
      <c r="BH128" s="274"/>
      <c r="BI128" s="173"/>
      <c r="BJ128" s="374">
        <v>0</v>
      </c>
      <c r="BK128" s="475"/>
      <c r="BL128" s="19"/>
      <c r="BM128" s="274"/>
      <c r="BN128" s="173"/>
      <c r="BO128" s="374">
        <v>0</v>
      </c>
      <c r="BP128" s="475"/>
      <c r="BQ128" s="19"/>
      <c r="BR128" s="274"/>
      <c r="BS128" s="173"/>
      <c r="BT128" s="374">
        <f>SUM(L128:BO128)</f>
        <v>0</v>
      </c>
      <c r="BU128" s="475"/>
      <c r="BV128" s="19"/>
      <c r="BW128" s="274"/>
      <c r="BX128" s="173"/>
      <c r="BY128" s="374">
        <v>0</v>
      </c>
      <c r="BZ128" s="475"/>
      <c r="CA128" s="19"/>
      <c r="CB128" s="274"/>
      <c r="CC128" s="173"/>
      <c r="CD128" s="374">
        <v>0</v>
      </c>
      <c r="CE128" s="475"/>
      <c r="CF128" s="19"/>
      <c r="CG128" s="274"/>
      <c r="CH128" s="173"/>
      <c r="CI128" s="374">
        <v>0</v>
      </c>
      <c r="CJ128" s="475"/>
      <c r="CK128" s="19"/>
      <c r="CL128" s="274"/>
      <c r="CM128" s="173"/>
      <c r="CN128" s="374">
        <v>0</v>
      </c>
      <c r="CO128" s="475"/>
      <c r="CP128" s="19"/>
      <c r="CQ128" s="274"/>
      <c r="CR128" s="173"/>
      <c r="CS128" s="374">
        <v>0</v>
      </c>
      <c r="CT128" s="475"/>
      <c r="CU128" s="19"/>
      <c r="CV128" s="274"/>
      <c r="CW128" s="173"/>
      <c r="CX128" s="374">
        <v>0</v>
      </c>
      <c r="CY128" s="475"/>
      <c r="CZ128" s="19"/>
      <c r="DA128" s="274"/>
      <c r="DB128" s="173"/>
      <c r="DC128" s="374">
        <v>0</v>
      </c>
      <c r="DD128" s="475"/>
      <c r="DE128" s="19"/>
      <c r="DF128" s="274"/>
      <c r="DG128" s="173"/>
      <c r="DH128" s="374">
        <v>0</v>
      </c>
      <c r="DI128" s="475"/>
      <c r="DJ128" s="19"/>
      <c r="DK128" s="274"/>
      <c r="DL128" s="173"/>
      <c r="DM128" s="374">
        <v>0</v>
      </c>
      <c r="DN128" s="475"/>
      <c r="DO128" s="19"/>
      <c r="DP128" s="274"/>
      <c r="DQ128" s="173"/>
      <c r="DR128" s="374">
        <v>0</v>
      </c>
      <c r="DS128" s="475"/>
      <c r="DT128" s="19"/>
      <c r="DU128" s="274"/>
      <c r="DV128" s="173"/>
      <c r="DW128" s="374">
        <v>0</v>
      </c>
      <c r="DX128" s="475"/>
      <c r="DY128" s="19"/>
      <c r="DZ128" s="274"/>
      <c r="EA128" s="173"/>
      <c r="EB128" s="374">
        <v>0</v>
      </c>
      <c r="EC128" s="475"/>
      <c r="ED128" s="19"/>
      <c r="EE128" s="274"/>
      <c r="EF128" s="173"/>
      <c r="EG128" s="374">
        <v>0</v>
      </c>
      <c r="EH128" s="475"/>
      <c r="EI128" s="19"/>
      <c r="EJ128" s="274"/>
      <c r="EK128" s="173"/>
      <c r="EL128" s="374">
        <f>SUM(CD128:EG128)</f>
        <v>0</v>
      </c>
      <c r="EM128" s="297"/>
      <c r="EO128" s="244"/>
      <c r="EP128" s="451"/>
      <c r="EQ128" s="451"/>
    </row>
    <row r="129" spans="4:147" hidden="1" x14ac:dyDescent="0.2">
      <c r="D129" s="244" t="s">
        <v>432</v>
      </c>
      <c r="E129" s="82"/>
      <c r="F129" s="82"/>
      <c r="G129" s="19">
        <v>0</v>
      </c>
      <c r="H129" s="18"/>
      <c r="I129" s="19"/>
      <c r="J129" s="274"/>
      <c r="K129" s="274"/>
      <c r="L129" s="19">
        <v>0</v>
      </c>
      <c r="M129" s="18"/>
      <c r="N129" s="19"/>
      <c r="O129" s="274"/>
      <c r="P129" s="274"/>
      <c r="Q129" s="19">
        <v>0</v>
      </c>
      <c r="R129" s="18"/>
      <c r="S129" s="19"/>
      <c r="T129" s="274"/>
      <c r="U129" s="274"/>
      <c r="V129" s="19">
        <v>0</v>
      </c>
      <c r="W129" s="18"/>
      <c r="X129" s="19"/>
      <c r="Y129" s="274"/>
      <c r="Z129" s="274"/>
      <c r="AA129" s="19">
        <v>0</v>
      </c>
      <c r="AB129" s="18"/>
      <c r="AC129" s="19"/>
      <c r="AD129" s="274"/>
      <c r="AE129" s="274"/>
      <c r="AF129" s="19">
        <v>0</v>
      </c>
      <c r="AG129" s="18"/>
      <c r="AH129" s="19"/>
      <c r="AI129" s="274"/>
      <c r="AJ129" s="274"/>
      <c r="AK129" s="19">
        <v>0</v>
      </c>
      <c r="AL129" s="18"/>
      <c r="AM129" s="19"/>
      <c r="AN129" s="274"/>
      <c r="AO129" s="274"/>
      <c r="AP129" s="19">
        <v>0</v>
      </c>
      <c r="AQ129" s="18"/>
      <c r="AR129" s="19"/>
      <c r="AS129" s="274"/>
      <c r="AT129" s="274"/>
      <c r="AU129" s="19">
        <v>0</v>
      </c>
      <c r="AV129" s="18"/>
      <c r="AW129" s="19"/>
      <c r="AX129" s="274"/>
      <c r="AY129" s="274"/>
      <c r="AZ129" s="19">
        <v>0</v>
      </c>
      <c r="BA129" s="18"/>
      <c r="BB129" s="19"/>
      <c r="BC129" s="274"/>
      <c r="BD129" s="274"/>
      <c r="BE129" s="19">
        <v>0</v>
      </c>
      <c r="BF129" s="18"/>
      <c r="BG129" s="19"/>
      <c r="BH129" s="274"/>
      <c r="BI129" s="274"/>
      <c r="BJ129" s="19">
        <v>0</v>
      </c>
      <c r="BK129" s="18"/>
      <c r="BL129" s="19"/>
      <c r="BM129" s="274"/>
      <c r="BN129" s="274"/>
      <c r="BO129" s="19">
        <v>0</v>
      </c>
      <c r="BP129" s="18"/>
      <c r="BQ129" s="19"/>
      <c r="BR129" s="274"/>
      <c r="BS129" s="274"/>
      <c r="BT129" s="19">
        <f>SUM(L129:BO129)</f>
        <v>0</v>
      </c>
      <c r="BU129" s="18"/>
      <c r="BV129" s="19"/>
      <c r="BW129" s="274"/>
      <c r="BX129" s="274"/>
      <c r="BY129" s="19">
        <v>0</v>
      </c>
      <c r="BZ129" s="18"/>
      <c r="CA129" s="19"/>
      <c r="CB129" s="274"/>
      <c r="CC129" s="274"/>
      <c r="CD129" s="19">
        <v>0</v>
      </c>
      <c r="CE129" s="18"/>
      <c r="CF129" s="19"/>
      <c r="CG129" s="274"/>
      <c r="CH129" s="274"/>
      <c r="CI129" s="19">
        <v>0</v>
      </c>
      <c r="CJ129" s="18"/>
      <c r="CK129" s="19"/>
      <c r="CL129" s="274"/>
      <c r="CM129" s="274"/>
      <c r="CN129" s="19">
        <v>0</v>
      </c>
      <c r="CO129" s="18"/>
      <c r="CP129" s="19"/>
      <c r="CQ129" s="274"/>
      <c r="CR129" s="274"/>
      <c r="CS129" s="19">
        <v>0</v>
      </c>
      <c r="CT129" s="18"/>
      <c r="CU129" s="19"/>
      <c r="CV129" s="274"/>
      <c r="CW129" s="274"/>
      <c r="CX129" s="19">
        <v>0</v>
      </c>
      <c r="CY129" s="18"/>
      <c r="CZ129" s="19"/>
      <c r="DA129" s="274"/>
      <c r="DB129" s="274"/>
      <c r="DC129" s="19">
        <v>0</v>
      </c>
      <c r="DD129" s="18"/>
      <c r="DE129" s="19"/>
      <c r="DF129" s="274"/>
      <c r="DG129" s="274"/>
      <c r="DH129" s="19">
        <v>0</v>
      </c>
      <c r="DI129" s="18"/>
      <c r="DJ129" s="19"/>
      <c r="DK129" s="274"/>
      <c r="DL129" s="274"/>
      <c r="DM129" s="19">
        <v>0</v>
      </c>
      <c r="DN129" s="18"/>
      <c r="DO129" s="19"/>
      <c r="DP129" s="274"/>
      <c r="DQ129" s="274"/>
      <c r="DR129" s="19">
        <v>0</v>
      </c>
      <c r="DS129" s="18"/>
      <c r="DT129" s="19"/>
      <c r="DU129" s="274"/>
      <c r="DV129" s="274"/>
      <c r="DW129" s="19">
        <v>0</v>
      </c>
      <c r="DX129" s="18"/>
      <c r="DY129" s="19"/>
      <c r="DZ129" s="274"/>
      <c r="EA129" s="274"/>
      <c r="EB129" s="19">
        <v>0</v>
      </c>
      <c r="EC129" s="18"/>
      <c r="ED129" s="19"/>
      <c r="EE129" s="274"/>
      <c r="EF129" s="274"/>
      <c r="EG129" s="19">
        <v>0</v>
      </c>
      <c r="EH129" s="18"/>
      <c r="EI129" s="19"/>
      <c r="EJ129" s="274"/>
      <c r="EK129" s="274"/>
      <c r="EL129" s="19">
        <f>SUM(CD129:EG129)</f>
        <v>0</v>
      </c>
      <c r="EM129" s="375"/>
      <c r="EO129" s="244"/>
      <c r="EP129" s="451"/>
      <c r="EQ129" s="451"/>
    </row>
    <row r="130" spans="4:147" hidden="1" x14ac:dyDescent="0.2">
      <c r="D130" s="244" t="s">
        <v>433</v>
      </c>
      <c r="E130" s="82"/>
      <c r="F130" s="276"/>
      <c r="G130" s="37">
        <v>0</v>
      </c>
      <c r="H130" s="36"/>
      <c r="I130" s="19"/>
      <c r="J130" s="274"/>
      <c r="K130" s="231"/>
      <c r="L130" s="37">
        <v>0</v>
      </c>
      <c r="M130" s="36"/>
      <c r="N130" s="19"/>
      <c r="O130" s="274"/>
      <c r="P130" s="231"/>
      <c r="Q130" s="37">
        <v>0</v>
      </c>
      <c r="R130" s="36"/>
      <c r="S130" s="19"/>
      <c r="T130" s="274"/>
      <c r="U130" s="231"/>
      <c r="V130" s="37">
        <v>0</v>
      </c>
      <c r="W130" s="36"/>
      <c r="X130" s="19"/>
      <c r="Y130" s="274"/>
      <c r="Z130" s="231"/>
      <c r="AA130" s="37">
        <v>0</v>
      </c>
      <c r="AB130" s="36"/>
      <c r="AC130" s="19"/>
      <c r="AD130" s="274"/>
      <c r="AE130" s="231"/>
      <c r="AF130" s="37">
        <v>0</v>
      </c>
      <c r="AG130" s="36"/>
      <c r="AH130" s="19"/>
      <c r="AI130" s="274"/>
      <c r="AJ130" s="231"/>
      <c r="AK130" s="37">
        <v>0</v>
      </c>
      <c r="AL130" s="36"/>
      <c r="AM130" s="19"/>
      <c r="AN130" s="274"/>
      <c r="AO130" s="231"/>
      <c r="AP130" s="37">
        <v>0</v>
      </c>
      <c r="AQ130" s="36"/>
      <c r="AR130" s="19"/>
      <c r="AS130" s="274"/>
      <c r="AT130" s="231"/>
      <c r="AU130" s="37">
        <v>0</v>
      </c>
      <c r="AV130" s="36"/>
      <c r="AW130" s="19"/>
      <c r="AX130" s="274"/>
      <c r="AY130" s="231"/>
      <c r="AZ130" s="37">
        <v>0</v>
      </c>
      <c r="BA130" s="36"/>
      <c r="BB130" s="19"/>
      <c r="BC130" s="274"/>
      <c r="BD130" s="231"/>
      <c r="BE130" s="37">
        <v>0</v>
      </c>
      <c r="BF130" s="36"/>
      <c r="BG130" s="19"/>
      <c r="BH130" s="274"/>
      <c r="BI130" s="231"/>
      <c r="BJ130" s="37">
        <v>0</v>
      </c>
      <c r="BK130" s="36"/>
      <c r="BL130" s="19"/>
      <c r="BM130" s="274"/>
      <c r="BN130" s="231"/>
      <c r="BO130" s="37">
        <v>0</v>
      </c>
      <c r="BP130" s="36"/>
      <c r="BQ130" s="19"/>
      <c r="BR130" s="274"/>
      <c r="BS130" s="231"/>
      <c r="BT130" s="37">
        <f>SUM(L130:BO130)</f>
        <v>0</v>
      </c>
      <c r="BU130" s="36"/>
      <c r="BV130" s="19"/>
      <c r="BW130" s="274"/>
      <c r="BX130" s="231"/>
      <c r="BY130" s="37">
        <v>0</v>
      </c>
      <c r="BZ130" s="36"/>
      <c r="CA130" s="19"/>
      <c r="CB130" s="274"/>
      <c r="CC130" s="231"/>
      <c r="CD130" s="37">
        <v>0</v>
      </c>
      <c r="CE130" s="36"/>
      <c r="CF130" s="19"/>
      <c r="CG130" s="274"/>
      <c r="CH130" s="231"/>
      <c r="CI130" s="37">
        <v>0</v>
      </c>
      <c r="CJ130" s="36"/>
      <c r="CK130" s="19"/>
      <c r="CL130" s="274"/>
      <c r="CM130" s="231"/>
      <c r="CN130" s="37">
        <v>0</v>
      </c>
      <c r="CO130" s="36"/>
      <c r="CP130" s="19"/>
      <c r="CQ130" s="274"/>
      <c r="CR130" s="231"/>
      <c r="CS130" s="37">
        <v>0</v>
      </c>
      <c r="CT130" s="36"/>
      <c r="CU130" s="19"/>
      <c r="CV130" s="274"/>
      <c r="CW130" s="231"/>
      <c r="CX130" s="37">
        <v>0</v>
      </c>
      <c r="CY130" s="36"/>
      <c r="CZ130" s="19"/>
      <c r="DA130" s="274"/>
      <c r="DB130" s="231"/>
      <c r="DC130" s="37">
        <v>0</v>
      </c>
      <c r="DD130" s="36"/>
      <c r="DE130" s="19"/>
      <c r="DF130" s="274"/>
      <c r="DG130" s="231"/>
      <c r="DH130" s="37">
        <v>0</v>
      </c>
      <c r="DI130" s="36"/>
      <c r="DJ130" s="19"/>
      <c r="DK130" s="274"/>
      <c r="DL130" s="231"/>
      <c r="DM130" s="37">
        <v>0</v>
      </c>
      <c r="DN130" s="36"/>
      <c r="DO130" s="19"/>
      <c r="DP130" s="274"/>
      <c r="DQ130" s="231"/>
      <c r="DR130" s="37">
        <v>0</v>
      </c>
      <c r="DS130" s="36"/>
      <c r="DT130" s="19"/>
      <c r="DU130" s="274"/>
      <c r="DV130" s="231"/>
      <c r="DW130" s="37">
        <v>0</v>
      </c>
      <c r="DX130" s="36"/>
      <c r="DY130" s="19"/>
      <c r="DZ130" s="274"/>
      <c r="EA130" s="231"/>
      <c r="EB130" s="37">
        <v>0</v>
      </c>
      <c r="EC130" s="36"/>
      <c r="ED130" s="19"/>
      <c r="EE130" s="274"/>
      <c r="EF130" s="231"/>
      <c r="EG130" s="37">
        <v>0</v>
      </c>
      <c r="EH130" s="36"/>
      <c r="EI130" s="19"/>
      <c r="EJ130" s="274"/>
      <c r="EK130" s="231"/>
      <c r="EL130" s="37">
        <f>SUM(CD130:EG130)</f>
        <v>0</v>
      </c>
      <c r="EM130" s="158"/>
      <c r="EO130" s="244"/>
      <c r="EP130" s="451"/>
      <c r="EQ130" s="451"/>
    </row>
    <row r="131" spans="4:147" hidden="1" x14ac:dyDescent="0.2">
      <c r="D131" s="244"/>
      <c r="E131" s="82"/>
      <c r="G131" s="19"/>
      <c r="H131" s="19"/>
      <c r="I131" s="19"/>
      <c r="J131" s="274"/>
      <c r="K131" s="19"/>
      <c r="L131" s="19"/>
      <c r="M131" s="19"/>
      <c r="N131" s="19"/>
      <c r="O131" s="274"/>
      <c r="P131" s="19"/>
      <c r="Q131" s="19"/>
      <c r="R131" s="19"/>
      <c r="S131" s="19"/>
      <c r="T131" s="274"/>
      <c r="U131" s="19"/>
      <c r="V131" s="19"/>
      <c r="W131" s="19"/>
      <c r="X131" s="19"/>
      <c r="Y131" s="274"/>
      <c r="Z131" s="19"/>
      <c r="AA131" s="19"/>
      <c r="AB131" s="19"/>
      <c r="AC131" s="19"/>
      <c r="AD131" s="274"/>
      <c r="AE131" s="19"/>
      <c r="AF131" s="19"/>
      <c r="AG131" s="19"/>
      <c r="AH131" s="19"/>
      <c r="AI131" s="274"/>
      <c r="AJ131" s="19"/>
      <c r="AK131" s="19"/>
      <c r="AL131" s="19"/>
      <c r="AM131" s="19"/>
      <c r="AN131" s="274"/>
      <c r="AO131" s="19"/>
      <c r="AP131" s="19"/>
      <c r="AQ131" s="19"/>
      <c r="AR131" s="19"/>
      <c r="AS131" s="274"/>
      <c r="AT131" s="19"/>
      <c r="AU131" s="19"/>
      <c r="AV131" s="19"/>
      <c r="AW131" s="19"/>
      <c r="AX131" s="274"/>
      <c r="AY131" s="19"/>
      <c r="AZ131" s="19"/>
      <c r="BA131" s="19"/>
      <c r="BB131" s="19"/>
      <c r="BC131" s="274"/>
      <c r="BD131" s="19"/>
      <c r="BE131" s="19"/>
      <c r="BF131" s="19"/>
      <c r="BG131" s="19"/>
      <c r="BH131" s="274"/>
      <c r="BI131" s="19"/>
      <c r="BJ131" s="19"/>
      <c r="BK131" s="19"/>
      <c r="BL131" s="19"/>
      <c r="BM131" s="274"/>
      <c r="BN131" s="19"/>
      <c r="BO131" s="19"/>
      <c r="BP131" s="19"/>
      <c r="BQ131" s="19"/>
      <c r="BR131" s="274"/>
      <c r="BS131" s="19"/>
      <c r="BT131" s="19"/>
      <c r="BU131" s="19"/>
      <c r="BV131" s="19"/>
      <c r="BW131" s="274"/>
      <c r="BX131" s="19"/>
      <c r="BY131" s="19"/>
      <c r="BZ131" s="19"/>
      <c r="CA131" s="19"/>
      <c r="CB131" s="274"/>
      <c r="CC131" s="19"/>
      <c r="CD131" s="19"/>
      <c r="CE131" s="19"/>
      <c r="CF131" s="19"/>
      <c r="CG131" s="274"/>
      <c r="CH131" s="19"/>
      <c r="CI131" s="19"/>
      <c r="CJ131" s="19"/>
      <c r="CK131" s="19"/>
      <c r="CL131" s="274"/>
      <c r="CM131" s="19"/>
      <c r="CN131" s="19"/>
      <c r="CO131" s="19"/>
      <c r="CP131" s="19"/>
      <c r="CQ131" s="274"/>
      <c r="CR131" s="19"/>
      <c r="CS131" s="19"/>
      <c r="CT131" s="19"/>
      <c r="CU131" s="19"/>
      <c r="CV131" s="274"/>
      <c r="CW131" s="19"/>
      <c r="CX131" s="19"/>
      <c r="CY131" s="19"/>
      <c r="CZ131" s="19"/>
      <c r="DA131" s="274"/>
      <c r="DB131" s="19"/>
      <c r="DC131" s="19"/>
      <c r="DD131" s="19"/>
      <c r="DE131" s="19"/>
      <c r="DF131" s="274"/>
      <c r="DG131" s="19"/>
      <c r="DH131" s="19"/>
      <c r="DI131" s="19"/>
      <c r="DJ131" s="19"/>
      <c r="DK131" s="274"/>
      <c r="DL131" s="19"/>
      <c r="DM131" s="19"/>
      <c r="DN131" s="19"/>
      <c r="DO131" s="19"/>
      <c r="DP131" s="274"/>
      <c r="DQ131" s="19"/>
      <c r="DR131" s="19"/>
      <c r="DS131" s="19"/>
      <c r="DT131" s="19"/>
      <c r="DU131" s="274"/>
      <c r="DV131" s="19"/>
      <c r="DW131" s="19"/>
      <c r="DX131" s="19"/>
      <c r="DY131" s="19"/>
      <c r="DZ131" s="274"/>
      <c r="EA131" s="19"/>
      <c r="EB131" s="19"/>
      <c r="EC131" s="19"/>
      <c r="ED131" s="19"/>
      <c r="EE131" s="274"/>
      <c r="EF131" s="19"/>
      <c r="EG131" s="19"/>
      <c r="EH131" s="19"/>
      <c r="EI131" s="19"/>
      <c r="EJ131" s="274"/>
      <c r="EK131" s="19"/>
      <c r="EL131" s="19"/>
      <c r="EO131" s="244"/>
      <c r="EP131" s="451"/>
      <c r="EQ131" s="451"/>
    </row>
    <row r="132" spans="4:147" hidden="1" x14ac:dyDescent="0.2">
      <c r="D132" s="244" t="s">
        <v>435</v>
      </c>
      <c r="E132" s="82"/>
      <c r="G132" s="19">
        <f>SUM(G133:G135)</f>
        <v>0</v>
      </c>
      <c r="H132" s="19"/>
      <c r="I132" s="19"/>
      <c r="J132" s="274"/>
      <c r="K132" s="19"/>
      <c r="L132" s="19">
        <f>SUM(L133:L135)</f>
        <v>0</v>
      </c>
      <c r="M132" s="19"/>
      <c r="N132" s="19"/>
      <c r="O132" s="274"/>
      <c r="P132" s="19"/>
      <c r="Q132" s="19">
        <f>SUM(Q133:Q135)</f>
        <v>0</v>
      </c>
      <c r="R132" s="19"/>
      <c r="S132" s="19"/>
      <c r="T132" s="274"/>
      <c r="U132" s="19"/>
      <c r="V132" s="19">
        <f>SUM(V133:V135)</f>
        <v>0</v>
      </c>
      <c r="W132" s="19"/>
      <c r="X132" s="19"/>
      <c r="Y132" s="274"/>
      <c r="Z132" s="19"/>
      <c r="AA132" s="19">
        <f>SUM(AA133:AA135)</f>
        <v>0</v>
      </c>
      <c r="AB132" s="19"/>
      <c r="AC132" s="19"/>
      <c r="AD132" s="274"/>
      <c r="AE132" s="19"/>
      <c r="AF132" s="19">
        <f>SUM(AF133:AF135)</f>
        <v>0</v>
      </c>
      <c r="AG132" s="19"/>
      <c r="AH132" s="19"/>
      <c r="AI132" s="274"/>
      <c r="AJ132" s="19"/>
      <c r="AK132" s="19">
        <f>SUM(AK133:AK135)</f>
        <v>0</v>
      </c>
      <c r="AL132" s="19"/>
      <c r="AM132" s="19"/>
      <c r="AN132" s="274"/>
      <c r="AO132" s="19"/>
      <c r="AP132" s="19">
        <f>SUM(AP133:AP135)</f>
        <v>0</v>
      </c>
      <c r="AQ132" s="19"/>
      <c r="AR132" s="19"/>
      <c r="AS132" s="274"/>
      <c r="AT132" s="19"/>
      <c r="AU132" s="19">
        <f>SUM(AU133:AU135)</f>
        <v>0</v>
      </c>
      <c r="AV132" s="19"/>
      <c r="AW132" s="19"/>
      <c r="AX132" s="274"/>
      <c r="AY132" s="19"/>
      <c r="AZ132" s="19">
        <f>SUM(AZ133:AZ135)</f>
        <v>0</v>
      </c>
      <c r="BA132" s="19"/>
      <c r="BB132" s="19"/>
      <c r="BC132" s="274"/>
      <c r="BD132" s="19"/>
      <c r="BE132" s="19">
        <f>SUM(BE133:BE135)</f>
        <v>0</v>
      </c>
      <c r="BF132" s="19"/>
      <c r="BG132" s="19"/>
      <c r="BH132" s="274"/>
      <c r="BI132" s="19"/>
      <c r="BJ132" s="19">
        <f>SUM(BJ133:BJ135)</f>
        <v>0</v>
      </c>
      <c r="BK132" s="19"/>
      <c r="BL132" s="19"/>
      <c r="BM132" s="274"/>
      <c r="BN132" s="19"/>
      <c r="BO132" s="19">
        <f>SUM(BO133:BO135)</f>
        <v>0</v>
      </c>
      <c r="BP132" s="19"/>
      <c r="BQ132" s="19"/>
      <c r="BR132" s="274"/>
      <c r="BS132" s="19"/>
      <c r="BT132" s="19">
        <f>SUM(BT133:BT135)</f>
        <v>0</v>
      </c>
      <c r="BU132" s="19"/>
      <c r="BV132" s="19"/>
      <c r="BW132" s="274"/>
      <c r="BX132" s="19"/>
      <c r="BY132" s="19">
        <f>SUM(BY133:BY135)</f>
        <v>0</v>
      </c>
      <c r="BZ132" s="19"/>
      <c r="CA132" s="19"/>
      <c r="CB132" s="274"/>
      <c r="CC132" s="19"/>
      <c r="CD132" s="19">
        <f>SUM(CD133:CD135)</f>
        <v>0</v>
      </c>
      <c r="CE132" s="19"/>
      <c r="CF132" s="19"/>
      <c r="CG132" s="274"/>
      <c r="CH132" s="19"/>
      <c r="CI132" s="19">
        <f>SUM(CI133:CI135)</f>
        <v>0</v>
      </c>
      <c r="CJ132" s="19"/>
      <c r="CK132" s="19"/>
      <c r="CL132" s="274"/>
      <c r="CM132" s="19"/>
      <c r="CN132" s="19">
        <f>SUM(CN133:CN135)</f>
        <v>0</v>
      </c>
      <c r="CO132" s="19"/>
      <c r="CP132" s="19"/>
      <c r="CQ132" s="274"/>
      <c r="CR132" s="19"/>
      <c r="CS132" s="19">
        <f>SUM(CS133:CS135)</f>
        <v>0</v>
      </c>
      <c r="CT132" s="19"/>
      <c r="CU132" s="19"/>
      <c r="CV132" s="274"/>
      <c r="CW132" s="19"/>
      <c r="CX132" s="19">
        <f>SUM(CX133:CX135)</f>
        <v>0</v>
      </c>
      <c r="CY132" s="19"/>
      <c r="CZ132" s="19"/>
      <c r="DA132" s="274"/>
      <c r="DB132" s="19"/>
      <c r="DC132" s="19">
        <f>SUM(DC133:DC135)</f>
        <v>0</v>
      </c>
      <c r="DD132" s="19"/>
      <c r="DE132" s="19"/>
      <c r="DF132" s="274"/>
      <c r="DG132" s="19"/>
      <c r="DH132" s="19">
        <f>SUM(DH133:DH135)</f>
        <v>0</v>
      </c>
      <c r="DI132" s="19"/>
      <c r="DJ132" s="19"/>
      <c r="DK132" s="274"/>
      <c r="DL132" s="19"/>
      <c r="DM132" s="19">
        <f>SUM(DM133:DM135)</f>
        <v>0</v>
      </c>
      <c r="DN132" s="19"/>
      <c r="DO132" s="19"/>
      <c r="DP132" s="274"/>
      <c r="DQ132" s="19"/>
      <c r="DR132" s="19">
        <f>SUM(DR133:DR135)</f>
        <v>0</v>
      </c>
      <c r="DS132" s="19"/>
      <c r="DT132" s="19"/>
      <c r="DU132" s="274"/>
      <c r="DV132" s="19"/>
      <c r="DW132" s="19">
        <f>SUM(DW133:DW135)</f>
        <v>0</v>
      </c>
      <c r="DX132" s="19"/>
      <c r="DY132" s="19"/>
      <c r="DZ132" s="274"/>
      <c r="EA132" s="19"/>
      <c r="EB132" s="19">
        <f>SUM(EB133:EB135)</f>
        <v>0</v>
      </c>
      <c r="EC132" s="19"/>
      <c r="ED132" s="19"/>
      <c r="EE132" s="274"/>
      <c r="EF132" s="19"/>
      <c r="EG132" s="19">
        <f>SUM(EG133:EG135)</f>
        <v>0</v>
      </c>
      <c r="EH132" s="19"/>
      <c r="EI132" s="19"/>
      <c r="EJ132" s="274"/>
      <c r="EK132" s="19"/>
      <c r="EL132" s="19">
        <f>SUM(EL133:EL135)</f>
        <v>0</v>
      </c>
      <c r="EO132" s="244"/>
      <c r="EP132" s="451"/>
      <c r="EQ132" s="451"/>
    </row>
    <row r="133" spans="4:147" hidden="1" x14ac:dyDescent="0.2">
      <c r="D133" s="244" t="s">
        <v>344</v>
      </c>
      <c r="E133" s="82"/>
      <c r="F133" s="112"/>
      <c r="G133" s="374">
        <v>0</v>
      </c>
      <c r="H133" s="475"/>
      <c r="I133" s="19"/>
      <c r="J133" s="274"/>
      <c r="K133" s="173"/>
      <c r="L133" s="374">
        <v>0</v>
      </c>
      <c r="M133" s="475"/>
      <c r="N133" s="19"/>
      <c r="O133" s="274"/>
      <c r="P133" s="173"/>
      <c r="Q133" s="374">
        <v>0</v>
      </c>
      <c r="R133" s="475"/>
      <c r="S133" s="19"/>
      <c r="T133" s="274"/>
      <c r="U133" s="173"/>
      <c r="V133" s="374">
        <v>0</v>
      </c>
      <c r="W133" s="475"/>
      <c r="X133" s="19"/>
      <c r="Y133" s="274"/>
      <c r="Z133" s="173"/>
      <c r="AA133" s="374">
        <v>0</v>
      </c>
      <c r="AB133" s="475"/>
      <c r="AC133" s="19"/>
      <c r="AD133" s="274"/>
      <c r="AE133" s="173"/>
      <c r="AF133" s="374">
        <v>0</v>
      </c>
      <c r="AG133" s="475"/>
      <c r="AH133" s="19"/>
      <c r="AI133" s="274"/>
      <c r="AJ133" s="173"/>
      <c r="AK133" s="374">
        <v>0</v>
      </c>
      <c r="AL133" s="475"/>
      <c r="AM133" s="19"/>
      <c r="AN133" s="274"/>
      <c r="AO133" s="173"/>
      <c r="AP133" s="374">
        <v>0</v>
      </c>
      <c r="AQ133" s="475"/>
      <c r="AR133" s="19"/>
      <c r="AS133" s="274"/>
      <c r="AT133" s="173"/>
      <c r="AU133" s="374">
        <v>0</v>
      </c>
      <c r="AV133" s="475"/>
      <c r="AW133" s="19"/>
      <c r="AX133" s="274"/>
      <c r="AY133" s="173"/>
      <c r="AZ133" s="374">
        <v>0</v>
      </c>
      <c r="BA133" s="475"/>
      <c r="BB133" s="19"/>
      <c r="BC133" s="274"/>
      <c r="BD133" s="173"/>
      <c r="BE133" s="374">
        <v>0</v>
      </c>
      <c r="BF133" s="475"/>
      <c r="BG133" s="19"/>
      <c r="BH133" s="274"/>
      <c r="BI133" s="173"/>
      <c r="BJ133" s="374">
        <v>0</v>
      </c>
      <c r="BK133" s="475"/>
      <c r="BL133" s="19"/>
      <c r="BM133" s="274"/>
      <c r="BN133" s="173"/>
      <c r="BO133" s="374">
        <v>0</v>
      </c>
      <c r="BP133" s="475"/>
      <c r="BQ133" s="19"/>
      <c r="BR133" s="274"/>
      <c r="BS133" s="173"/>
      <c r="BT133" s="374">
        <f>SUM(L133:BO133)</f>
        <v>0</v>
      </c>
      <c r="BU133" s="475"/>
      <c r="BV133" s="19"/>
      <c r="BW133" s="274"/>
      <c r="BX133" s="173"/>
      <c r="BY133" s="374">
        <v>0</v>
      </c>
      <c r="BZ133" s="475"/>
      <c r="CA133" s="19"/>
      <c r="CB133" s="274"/>
      <c r="CC133" s="173"/>
      <c r="CD133" s="374">
        <v>0</v>
      </c>
      <c r="CE133" s="475"/>
      <c r="CF133" s="19"/>
      <c r="CG133" s="274"/>
      <c r="CH133" s="173"/>
      <c r="CI133" s="374">
        <v>0</v>
      </c>
      <c r="CJ133" s="475"/>
      <c r="CK133" s="19"/>
      <c r="CL133" s="274"/>
      <c r="CM133" s="173"/>
      <c r="CN133" s="374">
        <v>0</v>
      </c>
      <c r="CO133" s="475"/>
      <c r="CP133" s="19"/>
      <c r="CQ133" s="274"/>
      <c r="CR133" s="173"/>
      <c r="CS133" s="374">
        <v>0</v>
      </c>
      <c r="CT133" s="475"/>
      <c r="CU133" s="19"/>
      <c r="CV133" s="274"/>
      <c r="CW133" s="173"/>
      <c r="CX133" s="374">
        <v>0</v>
      </c>
      <c r="CY133" s="475"/>
      <c r="CZ133" s="19"/>
      <c r="DA133" s="274"/>
      <c r="DB133" s="173"/>
      <c r="DC133" s="374">
        <v>0</v>
      </c>
      <c r="DD133" s="475"/>
      <c r="DE133" s="19"/>
      <c r="DF133" s="274"/>
      <c r="DG133" s="173"/>
      <c r="DH133" s="374">
        <v>0</v>
      </c>
      <c r="DI133" s="475"/>
      <c r="DJ133" s="19"/>
      <c r="DK133" s="274"/>
      <c r="DL133" s="173"/>
      <c r="DM133" s="374">
        <v>0</v>
      </c>
      <c r="DN133" s="475"/>
      <c r="DO133" s="19"/>
      <c r="DP133" s="274"/>
      <c r="DQ133" s="173"/>
      <c r="DR133" s="374">
        <v>0</v>
      </c>
      <c r="DS133" s="475"/>
      <c r="DT133" s="19"/>
      <c r="DU133" s="274"/>
      <c r="DV133" s="173"/>
      <c r="DW133" s="374">
        <v>0</v>
      </c>
      <c r="DX133" s="475"/>
      <c r="DY133" s="19"/>
      <c r="DZ133" s="274"/>
      <c r="EA133" s="173"/>
      <c r="EB133" s="374">
        <v>0</v>
      </c>
      <c r="EC133" s="475"/>
      <c r="ED133" s="19"/>
      <c r="EE133" s="274"/>
      <c r="EF133" s="173"/>
      <c r="EG133" s="374">
        <v>0</v>
      </c>
      <c r="EH133" s="475"/>
      <c r="EI133" s="19"/>
      <c r="EJ133" s="274"/>
      <c r="EK133" s="173"/>
      <c r="EL133" s="374">
        <f>SUM(CD133:EG133)</f>
        <v>0</v>
      </c>
      <c r="EM133" s="297"/>
      <c r="EO133" s="244"/>
      <c r="EP133" s="451"/>
      <c r="EQ133" s="451"/>
    </row>
    <row r="134" spans="4:147" hidden="1" x14ac:dyDescent="0.2">
      <c r="D134" s="244" t="s">
        <v>432</v>
      </c>
      <c r="E134" s="82"/>
      <c r="F134" s="82"/>
      <c r="G134" s="19">
        <v>0</v>
      </c>
      <c r="H134" s="18"/>
      <c r="I134" s="19"/>
      <c r="J134" s="274"/>
      <c r="K134" s="274"/>
      <c r="L134" s="19">
        <v>0</v>
      </c>
      <c r="M134" s="18"/>
      <c r="N134" s="19"/>
      <c r="O134" s="274"/>
      <c r="P134" s="274"/>
      <c r="Q134" s="19">
        <v>0</v>
      </c>
      <c r="R134" s="18"/>
      <c r="S134" s="19"/>
      <c r="T134" s="274"/>
      <c r="U134" s="274"/>
      <c r="V134" s="19">
        <v>0</v>
      </c>
      <c r="W134" s="18"/>
      <c r="X134" s="19"/>
      <c r="Y134" s="274"/>
      <c r="Z134" s="274"/>
      <c r="AA134" s="19">
        <v>0</v>
      </c>
      <c r="AB134" s="18"/>
      <c r="AC134" s="19"/>
      <c r="AD134" s="274"/>
      <c r="AE134" s="274"/>
      <c r="AF134" s="19">
        <v>0</v>
      </c>
      <c r="AG134" s="18"/>
      <c r="AH134" s="19"/>
      <c r="AI134" s="274"/>
      <c r="AJ134" s="274"/>
      <c r="AK134" s="19">
        <v>0</v>
      </c>
      <c r="AL134" s="18"/>
      <c r="AM134" s="19"/>
      <c r="AN134" s="274"/>
      <c r="AO134" s="274"/>
      <c r="AP134" s="19">
        <v>0</v>
      </c>
      <c r="AQ134" s="18"/>
      <c r="AR134" s="19"/>
      <c r="AS134" s="274"/>
      <c r="AT134" s="274"/>
      <c r="AU134" s="19">
        <v>0</v>
      </c>
      <c r="AV134" s="18"/>
      <c r="AW134" s="19"/>
      <c r="AX134" s="274"/>
      <c r="AY134" s="274"/>
      <c r="AZ134" s="19">
        <v>0</v>
      </c>
      <c r="BA134" s="18"/>
      <c r="BB134" s="19"/>
      <c r="BC134" s="274"/>
      <c r="BD134" s="274"/>
      <c r="BE134" s="19">
        <v>0</v>
      </c>
      <c r="BF134" s="18"/>
      <c r="BG134" s="19"/>
      <c r="BH134" s="274"/>
      <c r="BI134" s="274"/>
      <c r="BJ134" s="19">
        <v>0</v>
      </c>
      <c r="BK134" s="18"/>
      <c r="BL134" s="19"/>
      <c r="BM134" s="274"/>
      <c r="BN134" s="274"/>
      <c r="BO134" s="19">
        <v>0</v>
      </c>
      <c r="BP134" s="18"/>
      <c r="BQ134" s="19"/>
      <c r="BR134" s="274"/>
      <c r="BS134" s="274"/>
      <c r="BT134" s="19">
        <f>SUM(L134:BO134)</f>
        <v>0</v>
      </c>
      <c r="BU134" s="18"/>
      <c r="BV134" s="19"/>
      <c r="BW134" s="274"/>
      <c r="BX134" s="274"/>
      <c r="BY134" s="19">
        <v>0</v>
      </c>
      <c r="BZ134" s="18"/>
      <c r="CA134" s="19"/>
      <c r="CB134" s="274"/>
      <c r="CC134" s="274"/>
      <c r="CD134" s="19">
        <v>0</v>
      </c>
      <c r="CE134" s="18"/>
      <c r="CF134" s="19"/>
      <c r="CG134" s="274"/>
      <c r="CH134" s="274"/>
      <c r="CI134" s="19">
        <v>0</v>
      </c>
      <c r="CJ134" s="18"/>
      <c r="CK134" s="19"/>
      <c r="CL134" s="274"/>
      <c r="CM134" s="274"/>
      <c r="CN134" s="19">
        <v>0</v>
      </c>
      <c r="CO134" s="18"/>
      <c r="CP134" s="19"/>
      <c r="CQ134" s="274"/>
      <c r="CR134" s="274"/>
      <c r="CS134" s="19">
        <v>0</v>
      </c>
      <c r="CT134" s="18"/>
      <c r="CU134" s="19"/>
      <c r="CV134" s="274"/>
      <c r="CW134" s="274"/>
      <c r="CX134" s="19">
        <v>0</v>
      </c>
      <c r="CY134" s="18"/>
      <c r="CZ134" s="19"/>
      <c r="DA134" s="274"/>
      <c r="DB134" s="274"/>
      <c r="DC134" s="19">
        <v>0</v>
      </c>
      <c r="DD134" s="18"/>
      <c r="DE134" s="19"/>
      <c r="DF134" s="274"/>
      <c r="DG134" s="274"/>
      <c r="DH134" s="19">
        <v>0</v>
      </c>
      <c r="DI134" s="18"/>
      <c r="DJ134" s="19"/>
      <c r="DK134" s="274"/>
      <c r="DL134" s="274"/>
      <c r="DM134" s="19">
        <v>0</v>
      </c>
      <c r="DN134" s="18"/>
      <c r="DO134" s="19"/>
      <c r="DP134" s="274"/>
      <c r="DQ134" s="274"/>
      <c r="DR134" s="19">
        <v>0</v>
      </c>
      <c r="DS134" s="18"/>
      <c r="DT134" s="19"/>
      <c r="DU134" s="274"/>
      <c r="DV134" s="274"/>
      <c r="DW134" s="19">
        <v>0</v>
      </c>
      <c r="DX134" s="18"/>
      <c r="DY134" s="19"/>
      <c r="DZ134" s="274"/>
      <c r="EA134" s="274"/>
      <c r="EB134" s="19">
        <v>0</v>
      </c>
      <c r="EC134" s="18"/>
      <c r="ED134" s="19"/>
      <c r="EE134" s="274"/>
      <c r="EF134" s="274"/>
      <c r="EG134" s="19">
        <v>0</v>
      </c>
      <c r="EH134" s="18"/>
      <c r="EI134" s="19"/>
      <c r="EJ134" s="274"/>
      <c r="EK134" s="274"/>
      <c r="EL134" s="19">
        <f>SUM(CD134:EG134)</f>
        <v>0</v>
      </c>
      <c r="EM134" s="375"/>
      <c r="EO134" s="244"/>
      <c r="EP134" s="451"/>
      <c r="EQ134" s="451"/>
    </row>
    <row r="135" spans="4:147" hidden="1" x14ac:dyDescent="0.2">
      <c r="D135" s="244" t="s">
        <v>433</v>
      </c>
      <c r="E135" s="82"/>
      <c r="F135" s="276"/>
      <c r="G135" s="37">
        <v>0</v>
      </c>
      <c r="H135" s="36"/>
      <c r="I135" s="19"/>
      <c r="J135" s="274"/>
      <c r="K135" s="231"/>
      <c r="L135" s="37">
        <v>0</v>
      </c>
      <c r="M135" s="36"/>
      <c r="N135" s="19"/>
      <c r="O135" s="274"/>
      <c r="P135" s="231"/>
      <c r="Q135" s="37">
        <v>0</v>
      </c>
      <c r="R135" s="36"/>
      <c r="S135" s="19"/>
      <c r="T135" s="274"/>
      <c r="U135" s="231"/>
      <c r="V135" s="37">
        <v>0</v>
      </c>
      <c r="W135" s="36"/>
      <c r="X135" s="19"/>
      <c r="Y135" s="274"/>
      <c r="Z135" s="231"/>
      <c r="AA135" s="37">
        <v>0</v>
      </c>
      <c r="AB135" s="36"/>
      <c r="AC135" s="19"/>
      <c r="AD135" s="274"/>
      <c r="AE135" s="231"/>
      <c r="AF135" s="37">
        <v>0</v>
      </c>
      <c r="AG135" s="36"/>
      <c r="AH135" s="19"/>
      <c r="AI135" s="274"/>
      <c r="AJ135" s="231"/>
      <c r="AK135" s="37">
        <v>0</v>
      </c>
      <c r="AL135" s="36"/>
      <c r="AM135" s="19"/>
      <c r="AN135" s="274"/>
      <c r="AO135" s="231"/>
      <c r="AP135" s="37">
        <v>0</v>
      </c>
      <c r="AQ135" s="36"/>
      <c r="AR135" s="19"/>
      <c r="AS135" s="274"/>
      <c r="AT135" s="231"/>
      <c r="AU135" s="37">
        <v>0</v>
      </c>
      <c r="AV135" s="36"/>
      <c r="AW135" s="19"/>
      <c r="AX135" s="274"/>
      <c r="AY135" s="231"/>
      <c r="AZ135" s="37">
        <v>0</v>
      </c>
      <c r="BA135" s="36"/>
      <c r="BB135" s="19"/>
      <c r="BC135" s="274"/>
      <c r="BD135" s="231"/>
      <c r="BE135" s="37">
        <v>0</v>
      </c>
      <c r="BF135" s="36"/>
      <c r="BG135" s="19"/>
      <c r="BH135" s="274"/>
      <c r="BI135" s="231"/>
      <c r="BJ135" s="37">
        <v>0</v>
      </c>
      <c r="BK135" s="36"/>
      <c r="BL135" s="19"/>
      <c r="BM135" s="274"/>
      <c r="BN135" s="231"/>
      <c r="BO135" s="37">
        <v>0</v>
      </c>
      <c r="BP135" s="36"/>
      <c r="BQ135" s="19"/>
      <c r="BR135" s="274"/>
      <c r="BS135" s="231"/>
      <c r="BT135" s="37">
        <f>SUM(L135:BO135)</f>
        <v>0</v>
      </c>
      <c r="BU135" s="36"/>
      <c r="BV135" s="19"/>
      <c r="BW135" s="274"/>
      <c r="BX135" s="231"/>
      <c r="BY135" s="37">
        <v>0</v>
      </c>
      <c r="BZ135" s="36"/>
      <c r="CA135" s="19"/>
      <c r="CB135" s="274"/>
      <c r="CC135" s="231"/>
      <c r="CD135" s="37">
        <v>0</v>
      </c>
      <c r="CE135" s="36"/>
      <c r="CF135" s="19"/>
      <c r="CG135" s="274"/>
      <c r="CH135" s="231"/>
      <c r="CI135" s="37">
        <v>0</v>
      </c>
      <c r="CJ135" s="36"/>
      <c r="CK135" s="19"/>
      <c r="CL135" s="274"/>
      <c r="CM135" s="231"/>
      <c r="CN135" s="37">
        <v>0</v>
      </c>
      <c r="CO135" s="36"/>
      <c r="CP135" s="19"/>
      <c r="CQ135" s="274"/>
      <c r="CR135" s="231"/>
      <c r="CS135" s="37">
        <v>0</v>
      </c>
      <c r="CT135" s="36"/>
      <c r="CU135" s="19"/>
      <c r="CV135" s="274"/>
      <c r="CW135" s="231"/>
      <c r="CX135" s="37">
        <v>0</v>
      </c>
      <c r="CY135" s="36"/>
      <c r="CZ135" s="19"/>
      <c r="DA135" s="274"/>
      <c r="DB135" s="231"/>
      <c r="DC135" s="37">
        <v>0</v>
      </c>
      <c r="DD135" s="36"/>
      <c r="DE135" s="19"/>
      <c r="DF135" s="274"/>
      <c r="DG135" s="231"/>
      <c r="DH135" s="37">
        <v>0</v>
      </c>
      <c r="DI135" s="36"/>
      <c r="DJ135" s="19"/>
      <c r="DK135" s="274"/>
      <c r="DL135" s="231"/>
      <c r="DM135" s="37">
        <v>0</v>
      </c>
      <c r="DN135" s="36"/>
      <c r="DO135" s="19"/>
      <c r="DP135" s="274"/>
      <c r="DQ135" s="231"/>
      <c r="DR135" s="37">
        <v>0</v>
      </c>
      <c r="DS135" s="36"/>
      <c r="DT135" s="19"/>
      <c r="DU135" s="274"/>
      <c r="DV135" s="231"/>
      <c r="DW135" s="37">
        <v>0</v>
      </c>
      <c r="DX135" s="36"/>
      <c r="DY135" s="19"/>
      <c r="DZ135" s="274"/>
      <c r="EA135" s="231"/>
      <c r="EB135" s="37">
        <v>0</v>
      </c>
      <c r="EC135" s="36"/>
      <c r="ED135" s="19"/>
      <c r="EE135" s="274"/>
      <c r="EF135" s="231"/>
      <c r="EG135" s="37">
        <v>0</v>
      </c>
      <c r="EH135" s="36"/>
      <c r="EI135" s="19"/>
      <c r="EJ135" s="274"/>
      <c r="EK135" s="231"/>
      <c r="EL135" s="37">
        <f>SUM(CD135:EG135)</f>
        <v>0</v>
      </c>
      <c r="EM135" s="158"/>
      <c r="EO135" s="244"/>
      <c r="EP135" s="451"/>
      <c r="EQ135" s="451"/>
    </row>
    <row r="136" spans="4:147" hidden="1" x14ac:dyDescent="0.2">
      <c r="D136" s="244"/>
      <c r="E136" s="82"/>
      <c r="G136" s="19"/>
      <c r="H136" s="19"/>
      <c r="I136" s="19"/>
      <c r="J136" s="274"/>
      <c r="K136" s="19"/>
      <c r="L136" s="19"/>
      <c r="M136" s="19"/>
      <c r="N136" s="19"/>
      <c r="O136" s="274"/>
      <c r="P136" s="19"/>
      <c r="Q136" s="19"/>
      <c r="R136" s="19"/>
      <c r="S136" s="19"/>
      <c r="T136" s="274"/>
      <c r="U136" s="19"/>
      <c r="V136" s="19"/>
      <c r="W136" s="19"/>
      <c r="X136" s="19"/>
      <c r="Y136" s="274"/>
      <c r="Z136" s="19"/>
      <c r="AA136" s="19"/>
      <c r="AB136" s="19"/>
      <c r="AC136" s="19"/>
      <c r="AD136" s="274"/>
      <c r="AE136" s="19"/>
      <c r="AF136" s="19"/>
      <c r="AG136" s="19"/>
      <c r="AH136" s="19"/>
      <c r="AI136" s="274"/>
      <c r="AJ136" s="19"/>
      <c r="AK136" s="19"/>
      <c r="AL136" s="19"/>
      <c r="AM136" s="19"/>
      <c r="AN136" s="274"/>
      <c r="AO136" s="19"/>
      <c r="AP136" s="19"/>
      <c r="AQ136" s="19"/>
      <c r="AR136" s="19"/>
      <c r="AS136" s="274"/>
      <c r="AT136" s="19"/>
      <c r="AU136" s="19"/>
      <c r="AV136" s="19"/>
      <c r="AW136" s="19"/>
      <c r="AX136" s="274"/>
      <c r="AY136" s="19"/>
      <c r="AZ136" s="19"/>
      <c r="BA136" s="19"/>
      <c r="BB136" s="19"/>
      <c r="BC136" s="274"/>
      <c r="BD136" s="19"/>
      <c r="BE136" s="19"/>
      <c r="BF136" s="19"/>
      <c r="BG136" s="19"/>
      <c r="BH136" s="274"/>
      <c r="BI136" s="19"/>
      <c r="BJ136" s="19"/>
      <c r="BK136" s="19"/>
      <c r="BL136" s="19"/>
      <c r="BM136" s="274"/>
      <c r="BN136" s="19"/>
      <c r="BO136" s="19"/>
      <c r="BP136" s="19"/>
      <c r="BQ136" s="19"/>
      <c r="BR136" s="274"/>
      <c r="BS136" s="19"/>
      <c r="BT136" s="19"/>
      <c r="BU136" s="19"/>
      <c r="BV136" s="19"/>
      <c r="BW136" s="274"/>
      <c r="BX136" s="19"/>
      <c r="BY136" s="19"/>
      <c r="BZ136" s="19"/>
      <c r="CA136" s="19"/>
      <c r="CB136" s="274"/>
      <c r="CC136" s="19"/>
      <c r="CD136" s="19"/>
      <c r="CE136" s="19"/>
      <c r="CF136" s="19"/>
      <c r="CG136" s="274"/>
      <c r="CH136" s="19"/>
      <c r="CI136" s="19"/>
      <c r="CJ136" s="19"/>
      <c r="CK136" s="19"/>
      <c r="CL136" s="274"/>
      <c r="CM136" s="19"/>
      <c r="CN136" s="19"/>
      <c r="CO136" s="19"/>
      <c r="CP136" s="19"/>
      <c r="CQ136" s="274"/>
      <c r="CR136" s="19"/>
      <c r="CS136" s="19"/>
      <c r="CT136" s="19"/>
      <c r="CU136" s="19"/>
      <c r="CV136" s="274"/>
      <c r="CW136" s="19"/>
      <c r="CX136" s="19"/>
      <c r="CY136" s="19"/>
      <c r="CZ136" s="19"/>
      <c r="DA136" s="274"/>
      <c r="DB136" s="19"/>
      <c r="DC136" s="19"/>
      <c r="DD136" s="19"/>
      <c r="DE136" s="19"/>
      <c r="DF136" s="274"/>
      <c r="DG136" s="19"/>
      <c r="DH136" s="19"/>
      <c r="DI136" s="19"/>
      <c r="DJ136" s="19"/>
      <c r="DK136" s="274"/>
      <c r="DL136" s="19"/>
      <c r="DM136" s="19"/>
      <c r="DN136" s="19"/>
      <c r="DO136" s="19"/>
      <c r="DP136" s="274"/>
      <c r="DQ136" s="19"/>
      <c r="DR136" s="19"/>
      <c r="DS136" s="19"/>
      <c r="DT136" s="19"/>
      <c r="DU136" s="274"/>
      <c r="DV136" s="19"/>
      <c r="DW136" s="19"/>
      <c r="DX136" s="19"/>
      <c r="DY136" s="19"/>
      <c r="DZ136" s="274"/>
      <c r="EA136" s="19"/>
      <c r="EB136" s="19"/>
      <c r="EC136" s="19"/>
      <c r="ED136" s="19"/>
      <c r="EE136" s="274"/>
      <c r="EF136" s="19"/>
      <c r="EG136" s="19"/>
      <c r="EH136" s="19"/>
      <c r="EI136" s="19"/>
      <c r="EJ136" s="274"/>
      <c r="EK136" s="19"/>
      <c r="EL136" s="19"/>
      <c r="EO136" s="244"/>
      <c r="EP136" s="451"/>
      <c r="EQ136" s="451"/>
    </row>
    <row r="137" spans="4:147" hidden="1" x14ac:dyDescent="0.2">
      <c r="D137" s="244" t="s">
        <v>436</v>
      </c>
      <c r="E137" s="82"/>
      <c r="G137" s="19">
        <f>SUM(G138:G140)</f>
        <v>0</v>
      </c>
      <c r="H137" s="19"/>
      <c r="I137" s="19"/>
      <c r="J137" s="274"/>
      <c r="K137" s="19"/>
      <c r="L137" s="19">
        <f>SUM(L138:L140)</f>
        <v>0</v>
      </c>
      <c r="M137" s="19"/>
      <c r="N137" s="19"/>
      <c r="O137" s="274"/>
      <c r="P137" s="19"/>
      <c r="Q137" s="19">
        <f>SUM(Q138:Q140)</f>
        <v>0</v>
      </c>
      <c r="R137" s="19"/>
      <c r="S137" s="19"/>
      <c r="T137" s="274"/>
      <c r="U137" s="19"/>
      <c r="V137" s="19">
        <f>SUM(V138:V140)</f>
        <v>0</v>
      </c>
      <c r="W137" s="19"/>
      <c r="X137" s="19"/>
      <c r="Y137" s="274"/>
      <c r="Z137" s="19"/>
      <c r="AA137" s="19">
        <f>SUM(AA138:AA140)</f>
        <v>0</v>
      </c>
      <c r="AB137" s="19"/>
      <c r="AC137" s="19"/>
      <c r="AD137" s="274"/>
      <c r="AE137" s="19"/>
      <c r="AF137" s="19">
        <f>SUM(AF138:AF140)</f>
        <v>0</v>
      </c>
      <c r="AG137" s="19"/>
      <c r="AH137" s="19"/>
      <c r="AI137" s="274"/>
      <c r="AJ137" s="19"/>
      <c r="AK137" s="19">
        <f>SUM(AK138:AK140)</f>
        <v>0</v>
      </c>
      <c r="AL137" s="19"/>
      <c r="AM137" s="19"/>
      <c r="AN137" s="274"/>
      <c r="AO137" s="19"/>
      <c r="AP137" s="19">
        <f>SUM(AP138:AP140)</f>
        <v>0</v>
      </c>
      <c r="AQ137" s="19"/>
      <c r="AR137" s="19"/>
      <c r="AS137" s="274"/>
      <c r="AT137" s="19"/>
      <c r="AU137" s="19">
        <f>SUM(AU138:AU140)</f>
        <v>0</v>
      </c>
      <c r="AV137" s="19"/>
      <c r="AW137" s="19"/>
      <c r="AX137" s="274"/>
      <c r="AY137" s="19"/>
      <c r="AZ137" s="19">
        <f>SUM(AZ138:AZ140)</f>
        <v>0</v>
      </c>
      <c r="BA137" s="19"/>
      <c r="BB137" s="19"/>
      <c r="BC137" s="274"/>
      <c r="BD137" s="19"/>
      <c r="BE137" s="19">
        <f>SUM(BE138:BE140)</f>
        <v>0</v>
      </c>
      <c r="BF137" s="19"/>
      <c r="BG137" s="19"/>
      <c r="BH137" s="274"/>
      <c r="BI137" s="19"/>
      <c r="BJ137" s="19">
        <f>SUM(BJ138:BJ140)</f>
        <v>0</v>
      </c>
      <c r="BK137" s="19"/>
      <c r="BL137" s="19"/>
      <c r="BM137" s="274"/>
      <c r="BN137" s="19"/>
      <c r="BO137" s="19">
        <f>SUM(BO138:BO140)</f>
        <v>0</v>
      </c>
      <c r="BP137" s="19"/>
      <c r="BQ137" s="19"/>
      <c r="BR137" s="274"/>
      <c r="BS137" s="19"/>
      <c r="BT137" s="19">
        <f>SUM(BT138:BT140)</f>
        <v>0</v>
      </c>
      <c r="BU137" s="19"/>
      <c r="BV137" s="19"/>
      <c r="BW137" s="274"/>
      <c r="BX137" s="19"/>
      <c r="BY137" s="19">
        <f>SUM(BY138:BY140)</f>
        <v>0</v>
      </c>
      <c r="BZ137" s="19"/>
      <c r="CA137" s="19"/>
      <c r="CB137" s="274"/>
      <c r="CC137" s="19"/>
      <c r="CD137" s="19">
        <f>SUM(CD138:CD140)</f>
        <v>0</v>
      </c>
      <c r="CE137" s="19"/>
      <c r="CF137" s="19"/>
      <c r="CG137" s="274"/>
      <c r="CH137" s="19"/>
      <c r="CI137" s="19">
        <f>SUM(CI138:CI140)</f>
        <v>0</v>
      </c>
      <c r="CJ137" s="19"/>
      <c r="CK137" s="19"/>
      <c r="CL137" s="274"/>
      <c r="CM137" s="19"/>
      <c r="CN137" s="19">
        <f>SUM(CN138:CN140)</f>
        <v>0</v>
      </c>
      <c r="CO137" s="19"/>
      <c r="CP137" s="19"/>
      <c r="CQ137" s="274"/>
      <c r="CR137" s="19"/>
      <c r="CS137" s="19">
        <f>SUM(CS138:CS140)</f>
        <v>0</v>
      </c>
      <c r="CT137" s="19"/>
      <c r="CU137" s="19"/>
      <c r="CV137" s="274"/>
      <c r="CW137" s="19"/>
      <c r="CX137" s="19">
        <f>SUM(CX138:CX140)</f>
        <v>0</v>
      </c>
      <c r="CY137" s="19"/>
      <c r="CZ137" s="19"/>
      <c r="DA137" s="274"/>
      <c r="DB137" s="19"/>
      <c r="DC137" s="19">
        <f>SUM(DC138:DC140)</f>
        <v>0</v>
      </c>
      <c r="DD137" s="19"/>
      <c r="DE137" s="19"/>
      <c r="DF137" s="274"/>
      <c r="DG137" s="19"/>
      <c r="DH137" s="19">
        <f>SUM(DH138:DH140)</f>
        <v>0</v>
      </c>
      <c r="DI137" s="19"/>
      <c r="DJ137" s="19"/>
      <c r="DK137" s="274"/>
      <c r="DL137" s="19"/>
      <c r="DM137" s="19">
        <f>SUM(DM138:DM140)</f>
        <v>0</v>
      </c>
      <c r="DN137" s="19"/>
      <c r="DO137" s="19"/>
      <c r="DP137" s="274"/>
      <c r="DQ137" s="19"/>
      <c r="DR137" s="19">
        <f>SUM(DR138:DR140)</f>
        <v>0</v>
      </c>
      <c r="DS137" s="19"/>
      <c r="DT137" s="19"/>
      <c r="DU137" s="274"/>
      <c r="DV137" s="19"/>
      <c r="DW137" s="19">
        <f>SUM(DW138:DW140)</f>
        <v>0</v>
      </c>
      <c r="DX137" s="19"/>
      <c r="DY137" s="19"/>
      <c r="DZ137" s="274"/>
      <c r="EA137" s="19"/>
      <c r="EB137" s="19">
        <f>SUM(EB138:EB140)</f>
        <v>0</v>
      </c>
      <c r="EC137" s="19"/>
      <c r="ED137" s="19"/>
      <c r="EE137" s="274"/>
      <c r="EF137" s="19"/>
      <c r="EG137" s="19">
        <f>SUM(EG138:EG140)</f>
        <v>0</v>
      </c>
      <c r="EH137" s="19"/>
      <c r="EI137" s="19"/>
      <c r="EJ137" s="274"/>
      <c r="EK137" s="19"/>
      <c r="EL137" s="19">
        <f>SUM(EL138:EL140)</f>
        <v>0</v>
      </c>
      <c r="EO137" s="244"/>
      <c r="EP137" s="451"/>
      <c r="EQ137" s="451"/>
    </row>
    <row r="138" spans="4:147" hidden="1" x14ac:dyDescent="0.2">
      <c r="D138" s="244" t="s">
        <v>344</v>
      </c>
      <c r="E138" s="82"/>
      <c r="F138" s="112"/>
      <c r="G138" s="374">
        <v>0</v>
      </c>
      <c r="H138" s="475"/>
      <c r="I138" s="19"/>
      <c r="J138" s="274"/>
      <c r="K138" s="173"/>
      <c r="L138" s="374">
        <v>0</v>
      </c>
      <c r="M138" s="475"/>
      <c r="N138" s="19"/>
      <c r="O138" s="274"/>
      <c r="P138" s="173"/>
      <c r="Q138" s="374">
        <v>0</v>
      </c>
      <c r="R138" s="475"/>
      <c r="S138" s="19"/>
      <c r="T138" s="274"/>
      <c r="U138" s="173"/>
      <c r="V138" s="374">
        <v>0</v>
      </c>
      <c r="W138" s="475"/>
      <c r="X138" s="19"/>
      <c r="Y138" s="274"/>
      <c r="Z138" s="173"/>
      <c r="AA138" s="374">
        <v>0</v>
      </c>
      <c r="AB138" s="475"/>
      <c r="AC138" s="19"/>
      <c r="AD138" s="274"/>
      <c r="AE138" s="173"/>
      <c r="AF138" s="374">
        <v>0</v>
      </c>
      <c r="AG138" s="475"/>
      <c r="AH138" s="19"/>
      <c r="AI138" s="274"/>
      <c r="AJ138" s="173"/>
      <c r="AK138" s="374">
        <v>0</v>
      </c>
      <c r="AL138" s="475"/>
      <c r="AM138" s="19"/>
      <c r="AN138" s="274"/>
      <c r="AO138" s="173"/>
      <c r="AP138" s="374">
        <v>0</v>
      </c>
      <c r="AQ138" s="475"/>
      <c r="AR138" s="19"/>
      <c r="AS138" s="274"/>
      <c r="AT138" s="173"/>
      <c r="AU138" s="374">
        <v>0</v>
      </c>
      <c r="AV138" s="475"/>
      <c r="AW138" s="19"/>
      <c r="AX138" s="274"/>
      <c r="AY138" s="173"/>
      <c r="AZ138" s="374">
        <v>0</v>
      </c>
      <c r="BA138" s="475"/>
      <c r="BB138" s="19"/>
      <c r="BC138" s="274"/>
      <c r="BD138" s="173"/>
      <c r="BE138" s="374">
        <v>0</v>
      </c>
      <c r="BF138" s="475"/>
      <c r="BG138" s="19"/>
      <c r="BH138" s="274"/>
      <c r="BI138" s="173"/>
      <c r="BJ138" s="374">
        <v>0</v>
      </c>
      <c r="BK138" s="475"/>
      <c r="BL138" s="19"/>
      <c r="BM138" s="274"/>
      <c r="BN138" s="173"/>
      <c r="BO138" s="374">
        <v>0</v>
      </c>
      <c r="BP138" s="475"/>
      <c r="BQ138" s="19"/>
      <c r="BR138" s="274"/>
      <c r="BS138" s="173"/>
      <c r="BT138" s="374">
        <f>SUM(L138:BO138)</f>
        <v>0</v>
      </c>
      <c r="BU138" s="475"/>
      <c r="BV138" s="19"/>
      <c r="BW138" s="274"/>
      <c r="BX138" s="173"/>
      <c r="BY138" s="374">
        <v>0</v>
      </c>
      <c r="BZ138" s="475"/>
      <c r="CA138" s="19"/>
      <c r="CB138" s="274"/>
      <c r="CC138" s="173"/>
      <c r="CD138" s="374">
        <v>0</v>
      </c>
      <c r="CE138" s="475"/>
      <c r="CF138" s="19"/>
      <c r="CG138" s="274"/>
      <c r="CH138" s="173"/>
      <c r="CI138" s="374">
        <v>0</v>
      </c>
      <c r="CJ138" s="475"/>
      <c r="CK138" s="19"/>
      <c r="CL138" s="274"/>
      <c r="CM138" s="173"/>
      <c r="CN138" s="374">
        <v>0</v>
      </c>
      <c r="CO138" s="475"/>
      <c r="CP138" s="19"/>
      <c r="CQ138" s="274"/>
      <c r="CR138" s="173"/>
      <c r="CS138" s="374">
        <v>0</v>
      </c>
      <c r="CT138" s="475"/>
      <c r="CU138" s="19"/>
      <c r="CV138" s="274"/>
      <c r="CW138" s="173"/>
      <c r="CX138" s="374">
        <v>0</v>
      </c>
      <c r="CY138" s="475"/>
      <c r="CZ138" s="19"/>
      <c r="DA138" s="274"/>
      <c r="DB138" s="173"/>
      <c r="DC138" s="374">
        <v>0</v>
      </c>
      <c r="DD138" s="475"/>
      <c r="DE138" s="19"/>
      <c r="DF138" s="274"/>
      <c r="DG138" s="173"/>
      <c r="DH138" s="374">
        <v>0</v>
      </c>
      <c r="DI138" s="475"/>
      <c r="DJ138" s="19"/>
      <c r="DK138" s="274"/>
      <c r="DL138" s="173"/>
      <c r="DM138" s="374">
        <v>0</v>
      </c>
      <c r="DN138" s="475"/>
      <c r="DO138" s="19"/>
      <c r="DP138" s="274"/>
      <c r="DQ138" s="173"/>
      <c r="DR138" s="374">
        <v>0</v>
      </c>
      <c r="DS138" s="475"/>
      <c r="DT138" s="19"/>
      <c r="DU138" s="274"/>
      <c r="DV138" s="173"/>
      <c r="DW138" s="374">
        <v>0</v>
      </c>
      <c r="DX138" s="475"/>
      <c r="DY138" s="19"/>
      <c r="DZ138" s="274"/>
      <c r="EA138" s="173"/>
      <c r="EB138" s="374">
        <v>0</v>
      </c>
      <c r="EC138" s="475"/>
      <c r="ED138" s="19"/>
      <c r="EE138" s="274"/>
      <c r="EF138" s="173"/>
      <c r="EG138" s="374">
        <v>0</v>
      </c>
      <c r="EH138" s="475"/>
      <c r="EI138" s="19"/>
      <c r="EJ138" s="274"/>
      <c r="EK138" s="173"/>
      <c r="EL138" s="374">
        <f>SUM(CD138:EG138)</f>
        <v>0</v>
      </c>
      <c r="EM138" s="297"/>
      <c r="EO138" s="244"/>
      <c r="EP138" s="451"/>
      <c r="EQ138" s="451"/>
    </row>
    <row r="139" spans="4:147" hidden="1" x14ac:dyDescent="0.2">
      <c r="D139" s="244" t="s">
        <v>432</v>
      </c>
      <c r="E139" s="82"/>
      <c r="F139" s="82"/>
      <c r="G139" s="19">
        <v>0</v>
      </c>
      <c r="H139" s="18"/>
      <c r="I139" s="19"/>
      <c r="J139" s="274"/>
      <c r="K139" s="274"/>
      <c r="L139" s="19">
        <v>0</v>
      </c>
      <c r="M139" s="18"/>
      <c r="N139" s="19"/>
      <c r="O139" s="274"/>
      <c r="P139" s="274"/>
      <c r="Q139" s="19">
        <v>0</v>
      </c>
      <c r="R139" s="18"/>
      <c r="S139" s="19"/>
      <c r="T139" s="274"/>
      <c r="U139" s="274"/>
      <c r="V139" s="19">
        <v>0</v>
      </c>
      <c r="W139" s="18"/>
      <c r="X139" s="19"/>
      <c r="Y139" s="274"/>
      <c r="Z139" s="274"/>
      <c r="AA139" s="19">
        <v>0</v>
      </c>
      <c r="AB139" s="18"/>
      <c r="AC139" s="19"/>
      <c r="AD139" s="274"/>
      <c r="AE139" s="274"/>
      <c r="AF139" s="19">
        <v>0</v>
      </c>
      <c r="AG139" s="18"/>
      <c r="AH139" s="19"/>
      <c r="AI139" s="274"/>
      <c r="AJ139" s="274"/>
      <c r="AK139" s="19">
        <v>0</v>
      </c>
      <c r="AL139" s="18"/>
      <c r="AM139" s="19"/>
      <c r="AN139" s="274"/>
      <c r="AO139" s="274"/>
      <c r="AP139" s="19">
        <v>0</v>
      </c>
      <c r="AQ139" s="18"/>
      <c r="AR139" s="19"/>
      <c r="AS139" s="274"/>
      <c r="AT139" s="274"/>
      <c r="AU139" s="19">
        <v>0</v>
      </c>
      <c r="AV139" s="18"/>
      <c r="AW139" s="19"/>
      <c r="AX139" s="274"/>
      <c r="AY139" s="274"/>
      <c r="AZ139" s="19">
        <v>0</v>
      </c>
      <c r="BA139" s="18"/>
      <c r="BB139" s="19"/>
      <c r="BC139" s="274"/>
      <c r="BD139" s="274"/>
      <c r="BE139" s="19">
        <v>0</v>
      </c>
      <c r="BF139" s="18"/>
      <c r="BG139" s="19"/>
      <c r="BH139" s="274"/>
      <c r="BI139" s="274"/>
      <c r="BJ139" s="19">
        <v>0</v>
      </c>
      <c r="BK139" s="18"/>
      <c r="BL139" s="19"/>
      <c r="BM139" s="274"/>
      <c r="BN139" s="274"/>
      <c r="BO139" s="19">
        <v>0</v>
      </c>
      <c r="BP139" s="18"/>
      <c r="BQ139" s="19"/>
      <c r="BR139" s="274"/>
      <c r="BS139" s="274"/>
      <c r="BT139" s="19">
        <f>SUM(L139:BO139)</f>
        <v>0</v>
      </c>
      <c r="BU139" s="18"/>
      <c r="BV139" s="19"/>
      <c r="BW139" s="274"/>
      <c r="BX139" s="274"/>
      <c r="BY139" s="19">
        <v>0</v>
      </c>
      <c r="BZ139" s="18"/>
      <c r="CA139" s="19"/>
      <c r="CB139" s="274"/>
      <c r="CC139" s="274"/>
      <c r="CD139" s="19">
        <v>0</v>
      </c>
      <c r="CE139" s="18"/>
      <c r="CF139" s="19"/>
      <c r="CG139" s="274"/>
      <c r="CH139" s="274"/>
      <c r="CI139" s="19">
        <v>0</v>
      </c>
      <c r="CJ139" s="18"/>
      <c r="CK139" s="19"/>
      <c r="CL139" s="274"/>
      <c r="CM139" s="274"/>
      <c r="CN139" s="19">
        <v>0</v>
      </c>
      <c r="CO139" s="18"/>
      <c r="CP139" s="19"/>
      <c r="CQ139" s="274"/>
      <c r="CR139" s="274"/>
      <c r="CS139" s="19">
        <v>0</v>
      </c>
      <c r="CT139" s="18"/>
      <c r="CU139" s="19"/>
      <c r="CV139" s="274"/>
      <c r="CW139" s="274"/>
      <c r="CX139" s="19">
        <v>0</v>
      </c>
      <c r="CY139" s="18"/>
      <c r="CZ139" s="19"/>
      <c r="DA139" s="274"/>
      <c r="DB139" s="274"/>
      <c r="DC139" s="19">
        <v>0</v>
      </c>
      <c r="DD139" s="18"/>
      <c r="DE139" s="19"/>
      <c r="DF139" s="274"/>
      <c r="DG139" s="274"/>
      <c r="DH139" s="19">
        <v>0</v>
      </c>
      <c r="DI139" s="18"/>
      <c r="DJ139" s="19"/>
      <c r="DK139" s="274"/>
      <c r="DL139" s="274"/>
      <c r="DM139" s="19">
        <v>0</v>
      </c>
      <c r="DN139" s="18"/>
      <c r="DO139" s="19"/>
      <c r="DP139" s="274"/>
      <c r="DQ139" s="274"/>
      <c r="DR139" s="19">
        <v>0</v>
      </c>
      <c r="DS139" s="18"/>
      <c r="DT139" s="19"/>
      <c r="DU139" s="274"/>
      <c r="DV139" s="274"/>
      <c r="DW139" s="19">
        <v>0</v>
      </c>
      <c r="DX139" s="18"/>
      <c r="DY139" s="19"/>
      <c r="DZ139" s="274"/>
      <c r="EA139" s="274"/>
      <c r="EB139" s="19">
        <v>0</v>
      </c>
      <c r="EC139" s="18"/>
      <c r="ED139" s="19"/>
      <c r="EE139" s="274"/>
      <c r="EF139" s="274"/>
      <c r="EG139" s="19">
        <v>0</v>
      </c>
      <c r="EH139" s="18"/>
      <c r="EI139" s="19"/>
      <c r="EJ139" s="274"/>
      <c r="EK139" s="274"/>
      <c r="EL139" s="19">
        <f>SUM(CD139:EG139)</f>
        <v>0</v>
      </c>
      <c r="EM139" s="375"/>
      <c r="EO139" s="244"/>
      <c r="EP139" s="451"/>
      <c r="EQ139" s="451"/>
    </row>
    <row r="140" spans="4:147" hidden="1" x14ac:dyDescent="0.2">
      <c r="D140" s="244" t="s">
        <v>433</v>
      </c>
      <c r="E140" s="82"/>
      <c r="F140" s="276"/>
      <c r="G140" s="37">
        <v>0</v>
      </c>
      <c r="H140" s="36"/>
      <c r="I140" s="19"/>
      <c r="J140" s="274"/>
      <c r="K140" s="231"/>
      <c r="L140" s="37">
        <v>0</v>
      </c>
      <c r="M140" s="36"/>
      <c r="N140" s="19"/>
      <c r="O140" s="274"/>
      <c r="P140" s="231"/>
      <c r="Q140" s="37">
        <v>0</v>
      </c>
      <c r="R140" s="36"/>
      <c r="S140" s="19"/>
      <c r="T140" s="274"/>
      <c r="U140" s="231"/>
      <c r="V140" s="37">
        <v>0</v>
      </c>
      <c r="W140" s="36"/>
      <c r="X140" s="19"/>
      <c r="Y140" s="274"/>
      <c r="Z140" s="231"/>
      <c r="AA140" s="37">
        <v>0</v>
      </c>
      <c r="AB140" s="36"/>
      <c r="AC140" s="19"/>
      <c r="AD140" s="274"/>
      <c r="AE140" s="231"/>
      <c r="AF140" s="37">
        <v>0</v>
      </c>
      <c r="AG140" s="36"/>
      <c r="AH140" s="19"/>
      <c r="AI140" s="274"/>
      <c r="AJ140" s="231"/>
      <c r="AK140" s="37">
        <v>0</v>
      </c>
      <c r="AL140" s="36"/>
      <c r="AM140" s="19"/>
      <c r="AN140" s="274"/>
      <c r="AO140" s="231"/>
      <c r="AP140" s="37">
        <v>0</v>
      </c>
      <c r="AQ140" s="36"/>
      <c r="AR140" s="19"/>
      <c r="AS140" s="274"/>
      <c r="AT140" s="231"/>
      <c r="AU140" s="37">
        <v>0</v>
      </c>
      <c r="AV140" s="36"/>
      <c r="AW140" s="19"/>
      <c r="AX140" s="274"/>
      <c r="AY140" s="231"/>
      <c r="AZ140" s="37">
        <v>0</v>
      </c>
      <c r="BA140" s="36"/>
      <c r="BB140" s="19"/>
      <c r="BC140" s="274"/>
      <c r="BD140" s="231"/>
      <c r="BE140" s="37">
        <v>0</v>
      </c>
      <c r="BF140" s="36"/>
      <c r="BG140" s="19"/>
      <c r="BH140" s="274"/>
      <c r="BI140" s="231"/>
      <c r="BJ140" s="37">
        <v>0</v>
      </c>
      <c r="BK140" s="36"/>
      <c r="BL140" s="19"/>
      <c r="BM140" s="274"/>
      <c r="BN140" s="231"/>
      <c r="BO140" s="37">
        <v>0</v>
      </c>
      <c r="BP140" s="36"/>
      <c r="BQ140" s="19"/>
      <c r="BR140" s="274"/>
      <c r="BS140" s="231"/>
      <c r="BT140" s="37">
        <f>SUM(L140:BO140)</f>
        <v>0</v>
      </c>
      <c r="BU140" s="36"/>
      <c r="BV140" s="19"/>
      <c r="BW140" s="274"/>
      <c r="BX140" s="231"/>
      <c r="BY140" s="37">
        <v>0</v>
      </c>
      <c r="BZ140" s="36"/>
      <c r="CA140" s="19"/>
      <c r="CB140" s="274"/>
      <c r="CC140" s="231"/>
      <c r="CD140" s="37">
        <v>0</v>
      </c>
      <c r="CE140" s="36"/>
      <c r="CF140" s="19"/>
      <c r="CG140" s="274"/>
      <c r="CH140" s="231"/>
      <c r="CI140" s="37">
        <v>0</v>
      </c>
      <c r="CJ140" s="36"/>
      <c r="CK140" s="19"/>
      <c r="CL140" s="274"/>
      <c r="CM140" s="231"/>
      <c r="CN140" s="37">
        <v>0</v>
      </c>
      <c r="CO140" s="36"/>
      <c r="CP140" s="19"/>
      <c r="CQ140" s="274"/>
      <c r="CR140" s="231"/>
      <c r="CS140" s="37">
        <v>0</v>
      </c>
      <c r="CT140" s="36"/>
      <c r="CU140" s="19"/>
      <c r="CV140" s="274"/>
      <c r="CW140" s="231"/>
      <c r="CX140" s="37">
        <v>0</v>
      </c>
      <c r="CY140" s="36"/>
      <c r="CZ140" s="19"/>
      <c r="DA140" s="274"/>
      <c r="DB140" s="231"/>
      <c r="DC140" s="37">
        <v>0</v>
      </c>
      <c r="DD140" s="36"/>
      <c r="DE140" s="19"/>
      <c r="DF140" s="274"/>
      <c r="DG140" s="231"/>
      <c r="DH140" s="37">
        <v>0</v>
      </c>
      <c r="DI140" s="36"/>
      <c r="DJ140" s="19"/>
      <c r="DK140" s="274"/>
      <c r="DL140" s="231"/>
      <c r="DM140" s="37">
        <v>0</v>
      </c>
      <c r="DN140" s="36"/>
      <c r="DO140" s="19"/>
      <c r="DP140" s="274"/>
      <c r="DQ140" s="231"/>
      <c r="DR140" s="37">
        <v>0</v>
      </c>
      <c r="DS140" s="36"/>
      <c r="DT140" s="19"/>
      <c r="DU140" s="274"/>
      <c r="DV140" s="231"/>
      <c r="DW140" s="37">
        <v>0</v>
      </c>
      <c r="DX140" s="36"/>
      <c r="DY140" s="19"/>
      <c r="DZ140" s="274"/>
      <c r="EA140" s="231"/>
      <c r="EB140" s="37">
        <v>0</v>
      </c>
      <c r="EC140" s="36"/>
      <c r="ED140" s="19"/>
      <c r="EE140" s="274"/>
      <c r="EF140" s="231"/>
      <c r="EG140" s="37">
        <v>0</v>
      </c>
      <c r="EH140" s="36"/>
      <c r="EI140" s="19"/>
      <c r="EJ140" s="274"/>
      <c r="EK140" s="231"/>
      <c r="EL140" s="37">
        <f>SUM(CD140:EG140)</f>
        <v>0</v>
      </c>
      <c r="EM140" s="158"/>
      <c r="EO140" s="244"/>
      <c r="EP140" s="451"/>
      <c r="EQ140" s="451"/>
    </row>
    <row r="141" spans="4:147" hidden="1" x14ac:dyDescent="0.2">
      <c r="D141" s="244"/>
      <c r="E141" s="82"/>
      <c r="G141" s="19"/>
      <c r="H141" s="19"/>
      <c r="I141" s="19"/>
      <c r="J141" s="274"/>
      <c r="K141" s="19"/>
      <c r="L141" s="19"/>
      <c r="M141" s="19"/>
      <c r="N141" s="19"/>
      <c r="O141" s="274"/>
      <c r="P141" s="19"/>
      <c r="Q141" s="19"/>
      <c r="R141" s="19"/>
      <c r="S141" s="19"/>
      <c r="T141" s="274"/>
      <c r="U141" s="19"/>
      <c r="V141" s="19"/>
      <c r="W141" s="19"/>
      <c r="X141" s="19"/>
      <c r="Y141" s="274"/>
      <c r="Z141" s="19"/>
      <c r="AA141" s="19"/>
      <c r="AB141" s="19"/>
      <c r="AC141" s="19"/>
      <c r="AD141" s="274"/>
      <c r="AE141" s="19"/>
      <c r="AF141" s="19"/>
      <c r="AG141" s="19"/>
      <c r="AH141" s="19"/>
      <c r="AI141" s="274"/>
      <c r="AJ141" s="19"/>
      <c r="AK141" s="19"/>
      <c r="AL141" s="19"/>
      <c r="AM141" s="19"/>
      <c r="AN141" s="274"/>
      <c r="AO141" s="19"/>
      <c r="AP141" s="19"/>
      <c r="AQ141" s="19"/>
      <c r="AR141" s="19"/>
      <c r="AS141" s="274"/>
      <c r="AT141" s="19"/>
      <c r="AU141" s="19"/>
      <c r="AV141" s="19"/>
      <c r="AW141" s="19"/>
      <c r="AX141" s="274"/>
      <c r="AY141" s="19"/>
      <c r="AZ141" s="19"/>
      <c r="BA141" s="19"/>
      <c r="BB141" s="19"/>
      <c r="BC141" s="274"/>
      <c r="BD141" s="19"/>
      <c r="BE141" s="19"/>
      <c r="BF141" s="19"/>
      <c r="BG141" s="19"/>
      <c r="BH141" s="274"/>
      <c r="BI141" s="19"/>
      <c r="BJ141" s="19"/>
      <c r="BK141" s="19"/>
      <c r="BL141" s="19"/>
      <c r="BM141" s="274"/>
      <c r="BN141" s="19"/>
      <c r="BO141" s="19"/>
      <c r="BP141" s="19"/>
      <c r="BQ141" s="19"/>
      <c r="BR141" s="274"/>
      <c r="BS141" s="19"/>
      <c r="BT141" s="19"/>
      <c r="BU141" s="19"/>
      <c r="BV141" s="19"/>
      <c r="BW141" s="274"/>
      <c r="BX141" s="19"/>
      <c r="BY141" s="19"/>
      <c r="BZ141" s="19"/>
      <c r="CA141" s="19"/>
      <c r="CB141" s="274"/>
      <c r="CC141" s="19"/>
      <c r="CD141" s="19"/>
      <c r="CE141" s="19"/>
      <c r="CF141" s="19"/>
      <c r="CG141" s="274"/>
      <c r="CH141" s="19"/>
      <c r="CI141" s="19"/>
      <c r="CJ141" s="19"/>
      <c r="CK141" s="19"/>
      <c r="CL141" s="274"/>
      <c r="CM141" s="19"/>
      <c r="CN141" s="19"/>
      <c r="CO141" s="19"/>
      <c r="CP141" s="19"/>
      <c r="CQ141" s="274"/>
      <c r="CR141" s="19"/>
      <c r="CS141" s="19"/>
      <c r="CT141" s="19"/>
      <c r="CU141" s="19"/>
      <c r="CV141" s="274"/>
      <c r="CW141" s="19"/>
      <c r="CX141" s="19"/>
      <c r="CY141" s="19"/>
      <c r="CZ141" s="19"/>
      <c r="DA141" s="274"/>
      <c r="DB141" s="19"/>
      <c r="DC141" s="19"/>
      <c r="DD141" s="19"/>
      <c r="DE141" s="19"/>
      <c r="DF141" s="274"/>
      <c r="DG141" s="19"/>
      <c r="DH141" s="19"/>
      <c r="DI141" s="19"/>
      <c r="DJ141" s="19"/>
      <c r="DK141" s="274"/>
      <c r="DL141" s="19"/>
      <c r="DM141" s="19"/>
      <c r="DN141" s="19"/>
      <c r="DO141" s="19"/>
      <c r="DP141" s="274"/>
      <c r="DQ141" s="19"/>
      <c r="DR141" s="19"/>
      <c r="DS141" s="19"/>
      <c r="DT141" s="19"/>
      <c r="DU141" s="274"/>
      <c r="DV141" s="19"/>
      <c r="DW141" s="19"/>
      <c r="DX141" s="19"/>
      <c r="DY141" s="19"/>
      <c r="DZ141" s="274"/>
      <c r="EA141" s="19"/>
      <c r="EB141" s="19"/>
      <c r="EC141" s="19"/>
      <c r="ED141" s="19"/>
      <c r="EE141" s="274"/>
      <c r="EF141" s="19"/>
      <c r="EG141" s="19"/>
      <c r="EH141" s="19"/>
      <c r="EI141" s="19"/>
      <c r="EJ141" s="274"/>
      <c r="EK141" s="19"/>
      <c r="EL141" s="19"/>
      <c r="EO141" s="244"/>
      <c r="EP141" s="451"/>
      <c r="EQ141" s="451"/>
    </row>
    <row r="142" spans="4:147" hidden="1" x14ac:dyDescent="0.2">
      <c r="D142" s="244" t="s">
        <v>437</v>
      </c>
      <c r="E142" s="82"/>
      <c r="G142" s="19">
        <f>SUM(G143:G145)</f>
        <v>0</v>
      </c>
      <c r="H142" s="19"/>
      <c r="I142" s="19"/>
      <c r="J142" s="274"/>
      <c r="K142" s="19"/>
      <c r="L142" s="19">
        <f>SUM(L143:L145)</f>
        <v>0</v>
      </c>
      <c r="M142" s="19"/>
      <c r="N142" s="19"/>
      <c r="O142" s="274"/>
      <c r="P142" s="19"/>
      <c r="Q142" s="19">
        <f>SUM(Q143:Q145)</f>
        <v>0</v>
      </c>
      <c r="R142" s="19"/>
      <c r="S142" s="19"/>
      <c r="T142" s="274"/>
      <c r="U142" s="19"/>
      <c r="V142" s="19">
        <f>SUM(V143:V145)</f>
        <v>0</v>
      </c>
      <c r="W142" s="19"/>
      <c r="X142" s="19"/>
      <c r="Y142" s="274"/>
      <c r="Z142" s="19"/>
      <c r="AA142" s="19">
        <f>SUM(AA143:AA145)</f>
        <v>0</v>
      </c>
      <c r="AB142" s="19"/>
      <c r="AC142" s="19"/>
      <c r="AD142" s="274"/>
      <c r="AE142" s="19"/>
      <c r="AF142" s="19">
        <f>SUM(AF143:AF145)</f>
        <v>0</v>
      </c>
      <c r="AG142" s="19"/>
      <c r="AH142" s="19"/>
      <c r="AI142" s="274"/>
      <c r="AJ142" s="19"/>
      <c r="AK142" s="19">
        <f>SUM(AK143:AK145)</f>
        <v>0</v>
      </c>
      <c r="AL142" s="19"/>
      <c r="AM142" s="19"/>
      <c r="AN142" s="274"/>
      <c r="AO142" s="19"/>
      <c r="AP142" s="19">
        <f>SUM(AP143:AP145)</f>
        <v>0</v>
      </c>
      <c r="AQ142" s="19"/>
      <c r="AR142" s="19"/>
      <c r="AS142" s="274"/>
      <c r="AT142" s="19"/>
      <c r="AU142" s="19">
        <f>SUM(AU143:AU145)</f>
        <v>0</v>
      </c>
      <c r="AV142" s="19"/>
      <c r="AW142" s="19"/>
      <c r="AX142" s="274"/>
      <c r="AY142" s="19"/>
      <c r="AZ142" s="19">
        <f>SUM(AZ143:AZ145)</f>
        <v>0</v>
      </c>
      <c r="BA142" s="19"/>
      <c r="BB142" s="19"/>
      <c r="BC142" s="274"/>
      <c r="BD142" s="19"/>
      <c r="BE142" s="19">
        <f>SUM(BE143:BE145)</f>
        <v>0</v>
      </c>
      <c r="BF142" s="19"/>
      <c r="BG142" s="19"/>
      <c r="BH142" s="274"/>
      <c r="BI142" s="19"/>
      <c r="BJ142" s="19">
        <f>SUM(BJ143:BJ145)</f>
        <v>0</v>
      </c>
      <c r="BK142" s="19"/>
      <c r="BL142" s="19"/>
      <c r="BM142" s="274"/>
      <c r="BN142" s="19"/>
      <c r="BO142" s="19">
        <f>SUM(BO143:BO145)</f>
        <v>0</v>
      </c>
      <c r="BP142" s="19"/>
      <c r="BQ142" s="19"/>
      <c r="BR142" s="274"/>
      <c r="BS142" s="19"/>
      <c r="BT142" s="19">
        <f>SUM(BT143:BT145)</f>
        <v>0</v>
      </c>
      <c r="BU142" s="19"/>
      <c r="BV142" s="19"/>
      <c r="BW142" s="274"/>
      <c r="BX142" s="19"/>
      <c r="BY142" s="19">
        <f>SUM(BY143:BY145)</f>
        <v>0</v>
      </c>
      <c r="BZ142" s="19"/>
      <c r="CA142" s="19"/>
      <c r="CB142" s="274"/>
      <c r="CC142" s="19"/>
      <c r="CD142" s="19">
        <f>SUM(CD143:CD145)</f>
        <v>0</v>
      </c>
      <c r="CE142" s="19"/>
      <c r="CF142" s="19"/>
      <c r="CG142" s="274"/>
      <c r="CH142" s="19"/>
      <c r="CI142" s="19">
        <f>SUM(CI143:CI145)</f>
        <v>0</v>
      </c>
      <c r="CJ142" s="19"/>
      <c r="CK142" s="19"/>
      <c r="CL142" s="274"/>
      <c r="CM142" s="19"/>
      <c r="CN142" s="19">
        <f>SUM(CN143:CN145)</f>
        <v>0</v>
      </c>
      <c r="CO142" s="19"/>
      <c r="CP142" s="19"/>
      <c r="CQ142" s="274"/>
      <c r="CR142" s="19"/>
      <c r="CS142" s="19">
        <f>SUM(CS143:CS145)</f>
        <v>0</v>
      </c>
      <c r="CT142" s="19"/>
      <c r="CU142" s="19"/>
      <c r="CV142" s="274"/>
      <c r="CW142" s="19"/>
      <c r="CX142" s="19">
        <f>SUM(CX143:CX145)</f>
        <v>0</v>
      </c>
      <c r="CY142" s="19"/>
      <c r="CZ142" s="19"/>
      <c r="DA142" s="274"/>
      <c r="DB142" s="19"/>
      <c r="DC142" s="19">
        <f>SUM(DC143:DC145)</f>
        <v>0</v>
      </c>
      <c r="DD142" s="19"/>
      <c r="DE142" s="19"/>
      <c r="DF142" s="274"/>
      <c r="DG142" s="19"/>
      <c r="DH142" s="19">
        <f>SUM(DH143:DH145)</f>
        <v>0</v>
      </c>
      <c r="DI142" s="19"/>
      <c r="DJ142" s="19"/>
      <c r="DK142" s="274"/>
      <c r="DL142" s="19"/>
      <c r="DM142" s="19">
        <f>SUM(DM143:DM145)</f>
        <v>0</v>
      </c>
      <c r="DN142" s="19"/>
      <c r="DO142" s="19"/>
      <c r="DP142" s="274"/>
      <c r="DQ142" s="19"/>
      <c r="DR142" s="19">
        <f>SUM(DR143:DR145)</f>
        <v>0</v>
      </c>
      <c r="DS142" s="19"/>
      <c r="DT142" s="19"/>
      <c r="DU142" s="274"/>
      <c r="DV142" s="19"/>
      <c r="DW142" s="19">
        <f>SUM(DW143:DW145)</f>
        <v>0</v>
      </c>
      <c r="DX142" s="19"/>
      <c r="DY142" s="19"/>
      <c r="DZ142" s="274"/>
      <c r="EA142" s="19"/>
      <c r="EB142" s="19">
        <f>SUM(EB143:EB145)</f>
        <v>0</v>
      </c>
      <c r="EC142" s="19"/>
      <c r="ED142" s="19"/>
      <c r="EE142" s="274"/>
      <c r="EF142" s="19"/>
      <c r="EG142" s="19">
        <f>SUM(EG143:EG145)</f>
        <v>0</v>
      </c>
      <c r="EH142" s="19"/>
      <c r="EI142" s="19"/>
      <c r="EJ142" s="274"/>
      <c r="EK142" s="19"/>
      <c r="EL142" s="19">
        <f>SUM(EL143:EL145)</f>
        <v>0</v>
      </c>
      <c r="EO142" s="244"/>
      <c r="EP142" s="451"/>
      <c r="EQ142" s="451"/>
    </row>
    <row r="143" spans="4:147" hidden="1" x14ac:dyDescent="0.2">
      <c r="D143" s="244" t="s">
        <v>344</v>
      </c>
      <c r="E143" s="82"/>
      <c r="F143" s="112"/>
      <c r="G143" s="374">
        <v>0</v>
      </c>
      <c r="H143" s="475"/>
      <c r="I143" s="19"/>
      <c r="J143" s="274"/>
      <c r="K143" s="173"/>
      <c r="L143" s="374">
        <v>0</v>
      </c>
      <c r="M143" s="475"/>
      <c r="N143" s="19"/>
      <c r="O143" s="274"/>
      <c r="P143" s="173"/>
      <c r="Q143" s="374">
        <v>0</v>
      </c>
      <c r="R143" s="475"/>
      <c r="S143" s="19"/>
      <c r="T143" s="274"/>
      <c r="U143" s="173"/>
      <c r="V143" s="374">
        <v>0</v>
      </c>
      <c r="W143" s="475"/>
      <c r="X143" s="19"/>
      <c r="Y143" s="274"/>
      <c r="Z143" s="173"/>
      <c r="AA143" s="374">
        <v>0</v>
      </c>
      <c r="AB143" s="475"/>
      <c r="AC143" s="19"/>
      <c r="AD143" s="274"/>
      <c r="AE143" s="173"/>
      <c r="AF143" s="374">
        <v>0</v>
      </c>
      <c r="AG143" s="475"/>
      <c r="AH143" s="19"/>
      <c r="AI143" s="274"/>
      <c r="AJ143" s="173"/>
      <c r="AK143" s="374">
        <v>0</v>
      </c>
      <c r="AL143" s="475"/>
      <c r="AM143" s="19"/>
      <c r="AN143" s="274"/>
      <c r="AO143" s="173"/>
      <c r="AP143" s="374">
        <v>0</v>
      </c>
      <c r="AQ143" s="475"/>
      <c r="AR143" s="19"/>
      <c r="AS143" s="274"/>
      <c r="AT143" s="173"/>
      <c r="AU143" s="374">
        <v>0</v>
      </c>
      <c r="AV143" s="475"/>
      <c r="AW143" s="19"/>
      <c r="AX143" s="274"/>
      <c r="AY143" s="173"/>
      <c r="AZ143" s="374">
        <v>0</v>
      </c>
      <c r="BA143" s="475"/>
      <c r="BB143" s="19"/>
      <c r="BC143" s="274"/>
      <c r="BD143" s="173"/>
      <c r="BE143" s="374">
        <v>0</v>
      </c>
      <c r="BF143" s="475"/>
      <c r="BG143" s="19"/>
      <c r="BH143" s="274"/>
      <c r="BI143" s="173"/>
      <c r="BJ143" s="374">
        <v>0</v>
      </c>
      <c r="BK143" s="475"/>
      <c r="BL143" s="19"/>
      <c r="BM143" s="274"/>
      <c r="BN143" s="173"/>
      <c r="BO143" s="374">
        <v>0</v>
      </c>
      <c r="BP143" s="475"/>
      <c r="BQ143" s="19"/>
      <c r="BR143" s="274"/>
      <c r="BS143" s="173"/>
      <c r="BT143" s="374">
        <f>SUM(L143:BO143)</f>
        <v>0</v>
      </c>
      <c r="BU143" s="475"/>
      <c r="BV143" s="19"/>
      <c r="BW143" s="274"/>
      <c r="BX143" s="173"/>
      <c r="BY143" s="374">
        <v>0</v>
      </c>
      <c r="BZ143" s="475"/>
      <c r="CA143" s="19"/>
      <c r="CB143" s="274"/>
      <c r="CC143" s="173"/>
      <c r="CD143" s="374">
        <v>0</v>
      </c>
      <c r="CE143" s="475"/>
      <c r="CF143" s="19"/>
      <c r="CG143" s="274"/>
      <c r="CH143" s="173"/>
      <c r="CI143" s="374">
        <v>0</v>
      </c>
      <c r="CJ143" s="475"/>
      <c r="CK143" s="19"/>
      <c r="CL143" s="274"/>
      <c r="CM143" s="173"/>
      <c r="CN143" s="374">
        <v>0</v>
      </c>
      <c r="CO143" s="475"/>
      <c r="CP143" s="19"/>
      <c r="CQ143" s="274"/>
      <c r="CR143" s="173"/>
      <c r="CS143" s="374">
        <v>0</v>
      </c>
      <c r="CT143" s="475"/>
      <c r="CU143" s="19"/>
      <c r="CV143" s="274"/>
      <c r="CW143" s="173"/>
      <c r="CX143" s="374">
        <v>0</v>
      </c>
      <c r="CY143" s="475"/>
      <c r="CZ143" s="19"/>
      <c r="DA143" s="274"/>
      <c r="DB143" s="173"/>
      <c r="DC143" s="374">
        <v>0</v>
      </c>
      <c r="DD143" s="475"/>
      <c r="DE143" s="19"/>
      <c r="DF143" s="274"/>
      <c r="DG143" s="173"/>
      <c r="DH143" s="374">
        <v>0</v>
      </c>
      <c r="DI143" s="475"/>
      <c r="DJ143" s="19"/>
      <c r="DK143" s="274"/>
      <c r="DL143" s="173"/>
      <c r="DM143" s="374">
        <v>0</v>
      </c>
      <c r="DN143" s="475"/>
      <c r="DO143" s="19"/>
      <c r="DP143" s="274"/>
      <c r="DQ143" s="173"/>
      <c r="DR143" s="374">
        <v>0</v>
      </c>
      <c r="DS143" s="475"/>
      <c r="DT143" s="19"/>
      <c r="DU143" s="274"/>
      <c r="DV143" s="173"/>
      <c r="DW143" s="374">
        <v>0</v>
      </c>
      <c r="DX143" s="475"/>
      <c r="DY143" s="19"/>
      <c r="DZ143" s="274"/>
      <c r="EA143" s="173"/>
      <c r="EB143" s="374">
        <v>0</v>
      </c>
      <c r="EC143" s="475"/>
      <c r="ED143" s="19"/>
      <c r="EE143" s="274"/>
      <c r="EF143" s="173"/>
      <c r="EG143" s="374">
        <v>0</v>
      </c>
      <c r="EH143" s="475"/>
      <c r="EI143" s="19"/>
      <c r="EJ143" s="274"/>
      <c r="EK143" s="173"/>
      <c r="EL143" s="374">
        <f>SUM(CD143:EG143)</f>
        <v>0</v>
      </c>
      <c r="EM143" s="297"/>
      <c r="EO143" s="244"/>
      <c r="EP143" s="451"/>
      <c r="EQ143" s="451"/>
    </row>
    <row r="144" spans="4:147" hidden="1" x14ac:dyDescent="0.2">
      <c r="D144" s="244" t="s">
        <v>432</v>
      </c>
      <c r="E144" s="82"/>
      <c r="F144" s="82"/>
      <c r="G144" s="19">
        <v>0</v>
      </c>
      <c r="H144" s="18"/>
      <c r="I144" s="19"/>
      <c r="J144" s="274"/>
      <c r="K144" s="274"/>
      <c r="L144" s="19">
        <v>0</v>
      </c>
      <c r="M144" s="18"/>
      <c r="N144" s="19"/>
      <c r="O144" s="274"/>
      <c r="P144" s="274"/>
      <c r="Q144" s="19">
        <v>0</v>
      </c>
      <c r="R144" s="18"/>
      <c r="S144" s="19"/>
      <c r="T144" s="274"/>
      <c r="U144" s="274"/>
      <c r="V144" s="19">
        <v>0</v>
      </c>
      <c r="W144" s="18"/>
      <c r="X144" s="19"/>
      <c r="Y144" s="274"/>
      <c r="Z144" s="274"/>
      <c r="AA144" s="19">
        <v>0</v>
      </c>
      <c r="AB144" s="18"/>
      <c r="AC144" s="19"/>
      <c r="AD144" s="274"/>
      <c r="AE144" s="274"/>
      <c r="AF144" s="19">
        <v>0</v>
      </c>
      <c r="AG144" s="18"/>
      <c r="AH144" s="19"/>
      <c r="AI144" s="274"/>
      <c r="AJ144" s="274"/>
      <c r="AK144" s="19">
        <v>0</v>
      </c>
      <c r="AL144" s="18"/>
      <c r="AM144" s="19"/>
      <c r="AN144" s="274"/>
      <c r="AO144" s="274"/>
      <c r="AP144" s="19">
        <v>0</v>
      </c>
      <c r="AQ144" s="18"/>
      <c r="AR144" s="19"/>
      <c r="AS144" s="274"/>
      <c r="AT144" s="274"/>
      <c r="AU144" s="19">
        <v>0</v>
      </c>
      <c r="AV144" s="18"/>
      <c r="AW144" s="19"/>
      <c r="AX144" s="274"/>
      <c r="AY144" s="274"/>
      <c r="AZ144" s="19">
        <v>0</v>
      </c>
      <c r="BA144" s="18"/>
      <c r="BB144" s="19"/>
      <c r="BC144" s="274"/>
      <c r="BD144" s="274"/>
      <c r="BE144" s="19">
        <v>0</v>
      </c>
      <c r="BF144" s="18"/>
      <c r="BG144" s="19"/>
      <c r="BH144" s="274"/>
      <c r="BI144" s="274"/>
      <c r="BJ144" s="19">
        <v>0</v>
      </c>
      <c r="BK144" s="18"/>
      <c r="BL144" s="19"/>
      <c r="BM144" s="274"/>
      <c r="BN144" s="274"/>
      <c r="BO144" s="19">
        <v>0</v>
      </c>
      <c r="BP144" s="18"/>
      <c r="BQ144" s="19"/>
      <c r="BR144" s="274"/>
      <c r="BS144" s="274"/>
      <c r="BT144" s="19">
        <f>SUM(L144:BO144)</f>
        <v>0</v>
      </c>
      <c r="BU144" s="18"/>
      <c r="BV144" s="19"/>
      <c r="BW144" s="274"/>
      <c r="BX144" s="274"/>
      <c r="BY144" s="19">
        <v>0</v>
      </c>
      <c r="BZ144" s="18"/>
      <c r="CA144" s="19"/>
      <c r="CB144" s="274"/>
      <c r="CC144" s="274"/>
      <c r="CD144" s="19">
        <v>0</v>
      </c>
      <c r="CE144" s="18"/>
      <c r="CF144" s="19"/>
      <c r="CG144" s="274"/>
      <c r="CH144" s="274"/>
      <c r="CI144" s="19">
        <v>0</v>
      </c>
      <c r="CJ144" s="18"/>
      <c r="CK144" s="19"/>
      <c r="CL144" s="274"/>
      <c r="CM144" s="274"/>
      <c r="CN144" s="19">
        <v>0</v>
      </c>
      <c r="CO144" s="18"/>
      <c r="CP144" s="19"/>
      <c r="CQ144" s="274"/>
      <c r="CR144" s="274"/>
      <c r="CS144" s="19">
        <v>0</v>
      </c>
      <c r="CT144" s="18"/>
      <c r="CU144" s="19"/>
      <c r="CV144" s="274"/>
      <c r="CW144" s="274"/>
      <c r="CX144" s="19">
        <v>0</v>
      </c>
      <c r="CY144" s="18"/>
      <c r="CZ144" s="19"/>
      <c r="DA144" s="274"/>
      <c r="DB144" s="274"/>
      <c r="DC144" s="19">
        <v>0</v>
      </c>
      <c r="DD144" s="18"/>
      <c r="DE144" s="19"/>
      <c r="DF144" s="274"/>
      <c r="DG144" s="274"/>
      <c r="DH144" s="19">
        <v>0</v>
      </c>
      <c r="DI144" s="18"/>
      <c r="DJ144" s="19"/>
      <c r="DK144" s="274"/>
      <c r="DL144" s="274"/>
      <c r="DM144" s="19">
        <v>0</v>
      </c>
      <c r="DN144" s="18"/>
      <c r="DO144" s="19"/>
      <c r="DP144" s="274"/>
      <c r="DQ144" s="274"/>
      <c r="DR144" s="19">
        <v>0</v>
      </c>
      <c r="DS144" s="18"/>
      <c r="DT144" s="19"/>
      <c r="DU144" s="274"/>
      <c r="DV144" s="274"/>
      <c r="DW144" s="19">
        <v>0</v>
      </c>
      <c r="DX144" s="18"/>
      <c r="DY144" s="19"/>
      <c r="DZ144" s="274"/>
      <c r="EA144" s="274"/>
      <c r="EB144" s="19">
        <v>0</v>
      </c>
      <c r="EC144" s="18"/>
      <c r="ED144" s="19"/>
      <c r="EE144" s="274"/>
      <c r="EF144" s="274"/>
      <c r="EG144" s="19">
        <v>0</v>
      </c>
      <c r="EH144" s="18"/>
      <c r="EI144" s="19"/>
      <c r="EJ144" s="274"/>
      <c r="EK144" s="274"/>
      <c r="EL144" s="19">
        <f>SUM(CD144:EG144)</f>
        <v>0</v>
      </c>
      <c r="EM144" s="375"/>
      <c r="EO144" s="244"/>
      <c r="EP144" s="451"/>
      <c r="EQ144" s="451"/>
    </row>
    <row r="145" spans="4:147" hidden="1" x14ac:dyDescent="0.2">
      <c r="D145" s="244" t="s">
        <v>433</v>
      </c>
      <c r="E145" s="82"/>
      <c r="F145" s="276"/>
      <c r="G145" s="37">
        <v>0</v>
      </c>
      <c r="H145" s="36"/>
      <c r="I145" s="19"/>
      <c r="J145" s="274"/>
      <c r="K145" s="231"/>
      <c r="L145" s="37">
        <v>0</v>
      </c>
      <c r="M145" s="36"/>
      <c r="N145" s="19"/>
      <c r="O145" s="274"/>
      <c r="P145" s="231"/>
      <c r="Q145" s="37">
        <v>0</v>
      </c>
      <c r="R145" s="36"/>
      <c r="S145" s="19"/>
      <c r="T145" s="274"/>
      <c r="U145" s="231"/>
      <c r="V145" s="37">
        <v>0</v>
      </c>
      <c r="W145" s="36"/>
      <c r="X145" s="19"/>
      <c r="Y145" s="274"/>
      <c r="Z145" s="231"/>
      <c r="AA145" s="37">
        <v>0</v>
      </c>
      <c r="AB145" s="36"/>
      <c r="AC145" s="19"/>
      <c r="AD145" s="274"/>
      <c r="AE145" s="231"/>
      <c r="AF145" s="37">
        <v>0</v>
      </c>
      <c r="AG145" s="36"/>
      <c r="AH145" s="19"/>
      <c r="AI145" s="274"/>
      <c r="AJ145" s="231"/>
      <c r="AK145" s="37">
        <v>0</v>
      </c>
      <c r="AL145" s="36"/>
      <c r="AM145" s="19"/>
      <c r="AN145" s="274"/>
      <c r="AO145" s="231"/>
      <c r="AP145" s="37">
        <v>0</v>
      </c>
      <c r="AQ145" s="36"/>
      <c r="AR145" s="19"/>
      <c r="AS145" s="274"/>
      <c r="AT145" s="231"/>
      <c r="AU145" s="37">
        <v>0</v>
      </c>
      <c r="AV145" s="36"/>
      <c r="AW145" s="19"/>
      <c r="AX145" s="274"/>
      <c r="AY145" s="231"/>
      <c r="AZ145" s="37">
        <v>0</v>
      </c>
      <c r="BA145" s="36"/>
      <c r="BB145" s="19"/>
      <c r="BC145" s="274"/>
      <c r="BD145" s="231"/>
      <c r="BE145" s="37">
        <v>0</v>
      </c>
      <c r="BF145" s="36"/>
      <c r="BG145" s="19"/>
      <c r="BH145" s="274"/>
      <c r="BI145" s="231"/>
      <c r="BJ145" s="37">
        <v>0</v>
      </c>
      <c r="BK145" s="36"/>
      <c r="BL145" s="19"/>
      <c r="BM145" s="274"/>
      <c r="BN145" s="231"/>
      <c r="BO145" s="37">
        <v>0</v>
      </c>
      <c r="BP145" s="36"/>
      <c r="BQ145" s="19"/>
      <c r="BR145" s="274"/>
      <c r="BS145" s="231"/>
      <c r="BT145" s="37">
        <f>SUM(L145:BO145)</f>
        <v>0</v>
      </c>
      <c r="BU145" s="36"/>
      <c r="BV145" s="19"/>
      <c r="BW145" s="274"/>
      <c r="BX145" s="231"/>
      <c r="BY145" s="37">
        <v>0</v>
      </c>
      <c r="BZ145" s="36"/>
      <c r="CA145" s="19"/>
      <c r="CB145" s="274"/>
      <c r="CC145" s="231"/>
      <c r="CD145" s="37">
        <v>0</v>
      </c>
      <c r="CE145" s="36"/>
      <c r="CF145" s="19"/>
      <c r="CG145" s="274"/>
      <c r="CH145" s="231"/>
      <c r="CI145" s="37">
        <v>0</v>
      </c>
      <c r="CJ145" s="36"/>
      <c r="CK145" s="19"/>
      <c r="CL145" s="274"/>
      <c r="CM145" s="231"/>
      <c r="CN145" s="37">
        <v>0</v>
      </c>
      <c r="CO145" s="36"/>
      <c r="CP145" s="19"/>
      <c r="CQ145" s="274"/>
      <c r="CR145" s="231"/>
      <c r="CS145" s="37">
        <v>0</v>
      </c>
      <c r="CT145" s="36"/>
      <c r="CU145" s="19"/>
      <c r="CV145" s="274"/>
      <c r="CW145" s="231"/>
      <c r="CX145" s="37">
        <v>0</v>
      </c>
      <c r="CY145" s="36"/>
      <c r="CZ145" s="19"/>
      <c r="DA145" s="274"/>
      <c r="DB145" s="231"/>
      <c r="DC145" s="37">
        <v>0</v>
      </c>
      <c r="DD145" s="36"/>
      <c r="DE145" s="19"/>
      <c r="DF145" s="274"/>
      <c r="DG145" s="231"/>
      <c r="DH145" s="37">
        <v>0</v>
      </c>
      <c r="DI145" s="36"/>
      <c r="DJ145" s="19"/>
      <c r="DK145" s="274"/>
      <c r="DL145" s="231"/>
      <c r="DM145" s="37">
        <v>0</v>
      </c>
      <c r="DN145" s="36"/>
      <c r="DO145" s="19"/>
      <c r="DP145" s="274"/>
      <c r="DQ145" s="231"/>
      <c r="DR145" s="37">
        <v>0</v>
      </c>
      <c r="DS145" s="36"/>
      <c r="DT145" s="19"/>
      <c r="DU145" s="274"/>
      <c r="DV145" s="231"/>
      <c r="DW145" s="37">
        <v>0</v>
      </c>
      <c r="DX145" s="36"/>
      <c r="DY145" s="19"/>
      <c r="DZ145" s="274"/>
      <c r="EA145" s="231"/>
      <c r="EB145" s="37">
        <v>0</v>
      </c>
      <c r="EC145" s="36"/>
      <c r="ED145" s="19"/>
      <c r="EE145" s="274"/>
      <c r="EF145" s="231"/>
      <c r="EG145" s="37">
        <v>0</v>
      </c>
      <c r="EH145" s="36"/>
      <c r="EI145" s="19"/>
      <c r="EJ145" s="274"/>
      <c r="EK145" s="231"/>
      <c r="EL145" s="37">
        <f>SUM(CD145:EG145)</f>
        <v>0</v>
      </c>
      <c r="EM145" s="158"/>
      <c r="EO145" s="244"/>
      <c r="EP145" s="451"/>
      <c r="EQ145" s="451"/>
    </row>
    <row r="146" spans="4:147" hidden="1" x14ac:dyDescent="0.2">
      <c r="D146" s="244"/>
      <c r="E146" s="82"/>
      <c r="G146" s="19"/>
      <c r="H146" s="19"/>
      <c r="I146" s="19"/>
      <c r="J146" s="274"/>
      <c r="K146" s="19"/>
      <c r="L146" s="19"/>
      <c r="M146" s="19"/>
      <c r="N146" s="19"/>
      <c r="O146" s="274"/>
      <c r="P146" s="19"/>
      <c r="Q146" s="19"/>
      <c r="R146" s="19"/>
      <c r="S146" s="19"/>
      <c r="T146" s="274"/>
      <c r="U146" s="19"/>
      <c r="V146" s="19"/>
      <c r="W146" s="19"/>
      <c r="X146" s="19"/>
      <c r="Y146" s="274"/>
      <c r="Z146" s="19"/>
      <c r="AA146" s="19"/>
      <c r="AB146" s="19"/>
      <c r="AC146" s="19"/>
      <c r="AD146" s="274"/>
      <c r="AE146" s="19"/>
      <c r="AF146" s="19"/>
      <c r="AG146" s="19"/>
      <c r="AH146" s="19"/>
      <c r="AI146" s="274"/>
      <c r="AJ146" s="19"/>
      <c r="AK146" s="19"/>
      <c r="AL146" s="19"/>
      <c r="AM146" s="19"/>
      <c r="AN146" s="274"/>
      <c r="AO146" s="19"/>
      <c r="AP146" s="19"/>
      <c r="AQ146" s="19"/>
      <c r="AR146" s="19"/>
      <c r="AS146" s="274"/>
      <c r="AT146" s="19"/>
      <c r="AU146" s="19"/>
      <c r="AV146" s="19"/>
      <c r="AW146" s="19"/>
      <c r="AX146" s="274"/>
      <c r="AY146" s="19"/>
      <c r="AZ146" s="19"/>
      <c r="BA146" s="19"/>
      <c r="BB146" s="19"/>
      <c r="BC146" s="274"/>
      <c r="BD146" s="19"/>
      <c r="BE146" s="19"/>
      <c r="BF146" s="19"/>
      <c r="BG146" s="19"/>
      <c r="BH146" s="274"/>
      <c r="BI146" s="19"/>
      <c r="BJ146" s="19"/>
      <c r="BK146" s="19"/>
      <c r="BL146" s="19"/>
      <c r="BM146" s="274"/>
      <c r="BN146" s="19"/>
      <c r="BO146" s="19"/>
      <c r="BP146" s="19"/>
      <c r="BQ146" s="19"/>
      <c r="BR146" s="274"/>
      <c r="BS146" s="19"/>
      <c r="BT146" s="19"/>
      <c r="BU146" s="19"/>
      <c r="BV146" s="19"/>
      <c r="BW146" s="274"/>
      <c r="BX146" s="19"/>
      <c r="BY146" s="19"/>
      <c r="BZ146" s="19"/>
      <c r="CA146" s="19"/>
      <c r="CB146" s="274"/>
      <c r="CC146" s="19"/>
      <c r="CD146" s="19"/>
      <c r="CE146" s="19"/>
      <c r="CF146" s="19"/>
      <c r="CG146" s="274"/>
      <c r="CH146" s="19"/>
      <c r="CI146" s="19"/>
      <c r="CJ146" s="19"/>
      <c r="CK146" s="19"/>
      <c r="CL146" s="274"/>
      <c r="CM146" s="19"/>
      <c r="CN146" s="19"/>
      <c r="CO146" s="19"/>
      <c r="CP146" s="19"/>
      <c r="CQ146" s="274"/>
      <c r="CR146" s="19"/>
      <c r="CS146" s="19"/>
      <c r="CT146" s="19"/>
      <c r="CU146" s="19"/>
      <c r="CV146" s="274"/>
      <c r="CW146" s="19"/>
      <c r="CX146" s="19"/>
      <c r="CY146" s="19"/>
      <c r="CZ146" s="19"/>
      <c r="DA146" s="274"/>
      <c r="DB146" s="19"/>
      <c r="DC146" s="19"/>
      <c r="DD146" s="19"/>
      <c r="DE146" s="19"/>
      <c r="DF146" s="274"/>
      <c r="DG146" s="19"/>
      <c r="DH146" s="19"/>
      <c r="DI146" s="19"/>
      <c r="DJ146" s="19"/>
      <c r="DK146" s="274"/>
      <c r="DL146" s="19"/>
      <c r="DM146" s="19"/>
      <c r="DN146" s="19"/>
      <c r="DO146" s="19"/>
      <c r="DP146" s="274"/>
      <c r="DQ146" s="19"/>
      <c r="DR146" s="19"/>
      <c r="DS146" s="19"/>
      <c r="DT146" s="19"/>
      <c r="DU146" s="274"/>
      <c r="DV146" s="19"/>
      <c r="DW146" s="19"/>
      <c r="DX146" s="19"/>
      <c r="DY146" s="19"/>
      <c r="DZ146" s="274"/>
      <c r="EA146" s="19"/>
      <c r="EB146" s="19"/>
      <c r="EC146" s="19"/>
      <c r="ED146" s="19"/>
      <c r="EE146" s="274"/>
      <c r="EF146" s="19"/>
      <c r="EG146" s="19"/>
      <c r="EH146" s="19"/>
      <c r="EI146" s="19"/>
      <c r="EJ146" s="274"/>
      <c r="EK146" s="19"/>
      <c r="EL146" s="19"/>
      <c r="EO146" s="244"/>
      <c r="EP146" s="451"/>
      <c r="EQ146" s="451"/>
    </row>
    <row r="147" spans="4:147" hidden="1" x14ac:dyDescent="0.2">
      <c r="D147" s="244" t="s">
        <v>438</v>
      </c>
      <c r="E147" s="82"/>
      <c r="G147" s="19">
        <f>SUM(G148:G150)</f>
        <v>0</v>
      </c>
      <c r="H147" s="19"/>
      <c r="I147" s="19"/>
      <c r="J147" s="274"/>
      <c r="K147" s="19"/>
      <c r="L147" s="19">
        <f>SUM(L148:L150)</f>
        <v>0</v>
      </c>
      <c r="M147" s="19"/>
      <c r="N147" s="19"/>
      <c r="O147" s="274"/>
      <c r="P147" s="19"/>
      <c r="Q147" s="19">
        <f>SUM(Q148:Q150)</f>
        <v>0</v>
      </c>
      <c r="R147" s="19"/>
      <c r="S147" s="19"/>
      <c r="T147" s="274"/>
      <c r="U147" s="19"/>
      <c r="V147" s="19">
        <f>SUM(V148:V150)</f>
        <v>0</v>
      </c>
      <c r="W147" s="19"/>
      <c r="X147" s="19"/>
      <c r="Y147" s="274"/>
      <c r="Z147" s="19"/>
      <c r="AA147" s="19">
        <f>SUM(AA148:AA150)</f>
        <v>0</v>
      </c>
      <c r="AB147" s="19"/>
      <c r="AC147" s="19"/>
      <c r="AD147" s="274"/>
      <c r="AE147" s="19"/>
      <c r="AF147" s="19">
        <f>SUM(AF148:AF150)</f>
        <v>0</v>
      </c>
      <c r="AG147" s="19"/>
      <c r="AH147" s="19"/>
      <c r="AI147" s="274"/>
      <c r="AJ147" s="19"/>
      <c r="AK147" s="19">
        <f>SUM(AK148:AK150)</f>
        <v>0</v>
      </c>
      <c r="AL147" s="19"/>
      <c r="AM147" s="19"/>
      <c r="AN147" s="274"/>
      <c r="AO147" s="19"/>
      <c r="AP147" s="19">
        <f>SUM(AP148:AP150)</f>
        <v>0</v>
      </c>
      <c r="AQ147" s="19"/>
      <c r="AR147" s="19"/>
      <c r="AS147" s="274"/>
      <c r="AT147" s="19"/>
      <c r="AU147" s="19">
        <f>SUM(AU148:AU150)</f>
        <v>0</v>
      </c>
      <c r="AV147" s="19"/>
      <c r="AW147" s="19"/>
      <c r="AX147" s="274"/>
      <c r="AY147" s="19"/>
      <c r="AZ147" s="19">
        <f>SUM(AZ148:AZ150)</f>
        <v>0</v>
      </c>
      <c r="BA147" s="19"/>
      <c r="BB147" s="19"/>
      <c r="BC147" s="274"/>
      <c r="BD147" s="19"/>
      <c r="BE147" s="19">
        <f>SUM(BE148:BE150)</f>
        <v>0</v>
      </c>
      <c r="BF147" s="19"/>
      <c r="BG147" s="19"/>
      <c r="BH147" s="274"/>
      <c r="BI147" s="19"/>
      <c r="BJ147" s="19">
        <f>SUM(BJ148:BJ150)</f>
        <v>0</v>
      </c>
      <c r="BK147" s="19"/>
      <c r="BL147" s="19"/>
      <c r="BM147" s="274"/>
      <c r="BN147" s="19"/>
      <c r="BO147" s="19">
        <f>SUM(BO148:BO150)</f>
        <v>0</v>
      </c>
      <c r="BP147" s="19"/>
      <c r="BQ147" s="19"/>
      <c r="BR147" s="274"/>
      <c r="BS147" s="19"/>
      <c r="BT147" s="19">
        <f>SUM(BT148:BT150)</f>
        <v>0</v>
      </c>
      <c r="BU147" s="19"/>
      <c r="BV147" s="19"/>
      <c r="BW147" s="274"/>
      <c r="BX147" s="19"/>
      <c r="BY147" s="19">
        <f>SUM(BY148:BY150)</f>
        <v>0</v>
      </c>
      <c r="BZ147" s="19"/>
      <c r="CA147" s="19"/>
      <c r="CB147" s="274"/>
      <c r="CC147" s="19"/>
      <c r="CD147" s="19">
        <f>SUM(CD148:CD150)</f>
        <v>0</v>
      </c>
      <c r="CE147" s="19"/>
      <c r="CF147" s="19"/>
      <c r="CG147" s="274"/>
      <c r="CH147" s="19"/>
      <c r="CI147" s="19">
        <f>SUM(CI148:CI150)</f>
        <v>0</v>
      </c>
      <c r="CJ147" s="19"/>
      <c r="CK147" s="19"/>
      <c r="CL147" s="274"/>
      <c r="CM147" s="19"/>
      <c r="CN147" s="19">
        <f>SUM(CN148:CN150)</f>
        <v>0</v>
      </c>
      <c r="CO147" s="19"/>
      <c r="CP147" s="19"/>
      <c r="CQ147" s="274"/>
      <c r="CR147" s="19"/>
      <c r="CS147" s="19">
        <f>SUM(CS148:CS150)</f>
        <v>0</v>
      </c>
      <c r="CT147" s="19"/>
      <c r="CU147" s="19"/>
      <c r="CV147" s="274"/>
      <c r="CW147" s="19"/>
      <c r="CX147" s="19">
        <f>SUM(CX148:CX150)</f>
        <v>0</v>
      </c>
      <c r="CY147" s="19"/>
      <c r="CZ147" s="19"/>
      <c r="DA147" s="274"/>
      <c r="DB147" s="19"/>
      <c r="DC147" s="19">
        <f>SUM(DC148:DC150)</f>
        <v>0</v>
      </c>
      <c r="DD147" s="19"/>
      <c r="DE147" s="19"/>
      <c r="DF147" s="274"/>
      <c r="DG147" s="19"/>
      <c r="DH147" s="19">
        <f>SUM(DH148:DH150)</f>
        <v>0</v>
      </c>
      <c r="DI147" s="19"/>
      <c r="DJ147" s="19"/>
      <c r="DK147" s="274"/>
      <c r="DL147" s="19"/>
      <c r="DM147" s="19">
        <f>SUM(DM148:DM150)</f>
        <v>0</v>
      </c>
      <c r="DN147" s="19"/>
      <c r="DO147" s="19"/>
      <c r="DP147" s="274"/>
      <c r="DQ147" s="19"/>
      <c r="DR147" s="19">
        <f>SUM(DR148:DR150)</f>
        <v>0</v>
      </c>
      <c r="DS147" s="19"/>
      <c r="DT147" s="19"/>
      <c r="DU147" s="274"/>
      <c r="DV147" s="19"/>
      <c r="DW147" s="19">
        <f>SUM(DW148:DW150)</f>
        <v>0</v>
      </c>
      <c r="DX147" s="19"/>
      <c r="DY147" s="19"/>
      <c r="DZ147" s="274"/>
      <c r="EA147" s="19"/>
      <c r="EB147" s="19">
        <f>SUM(EB148:EB150)</f>
        <v>0</v>
      </c>
      <c r="EC147" s="19"/>
      <c r="ED147" s="19"/>
      <c r="EE147" s="274"/>
      <c r="EF147" s="19"/>
      <c r="EG147" s="19">
        <f>SUM(EG148:EG150)</f>
        <v>0</v>
      </c>
      <c r="EH147" s="19"/>
      <c r="EI147" s="19"/>
      <c r="EJ147" s="274"/>
      <c r="EK147" s="19"/>
      <c r="EL147" s="19">
        <f>SUM(EL148:EL150)</f>
        <v>0</v>
      </c>
      <c r="EO147" s="244"/>
      <c r="EP147" s="451"/>
      <c r="EQ147" s="451"/>
    </row>
    <row r="148" spans="4:147" hidden="1" x14ac:dyDescent="0.2">
      <c r="D148" s="244" t="s">
        <v>344</v>
      </c>
      <c r="E148" s="82"/>
      <c r="F148" s="112"/>
      <c r="G148" s="374">
        <v>0</v>
      </c>
      <c r="H148" s="475"/>
      <c r="I148" s="19"/>
      <c r="J148" s="274"/>
      <c r="K148" s="173"/>
      <c r="L148" s="374">
        <v>0</v>
      </c>
      <c r="M148" s="475"/>
      <c r="N148" s="19"/>
      <c r="O148" s="274"/>
      <c r="P148" s="173"/>
      <c r="Q148" s="374">
        <v>0</v>
      </c>
      <c r="R148" s="475"/>
      <c r="S148" s="19"/>
      <c r="T148" s="274"/>
      <c r="U148" s="173"/>
      <c r="V148" s="374">
        <v>0</v>
      </c>
      <c r="W148" s="475"/>
      <c r="X148" s="19"/>
      <c r="Y148" s="274"/>
      <c r="Z148" s="173"/>
      <c r="AA148" s="374">
        <v>0</v>
      </c>
      <c r="AB148" s="475"/>
      <c r="AC148" s="19"/>
      <c r="AD148" s="274"/>
      <c r="AE148" s="173"/>
      <c r="AF148" s="374">
        <v>0</v>
      </c>
      <c r="AG148" s="475"/>
      <c r="AH148" s="19"/>
      <c r="AI148" s="274"/>
      <c r="AJ148" s="173"/>
      <c r="AK148" s="374">
        <v>0</v>
      </c>
      <c r="AL148" s="475"/>
      <c r="AM148" s="19"/>
      <c r="AN148" s="274"/>
      <c r="AO148" s="173"/>
      <c r="AP148" s="374">
        <v>0</v>
      </c>
      <c r="AQ148" s="475"/>
      <c r="AR148" s="19"/>
      <c r="AS148" s="274"/>
      <c r="AT148" s="173"/>
      <c r="AU148" s="374">
        <v>0</v>
      </c>
      <c r="AV148" s="475"/>
      <c r="AW148" s="19"/>
      <c r="AX148" s="274"/>
      <c r="AY148" s="173"/>
      <c r="AZ148" s="374">
        <v>0</v>
      </c>
      <c r="BA148" s="475"/>
      <c r="BB148" s="19"/>
      <c r="BC148" s="274"/>
      <c r="BD148" s="173"/>
      <c r="BE148" s="374">
        <v>0</v>
      </c>
      <c r="BF148" s="475"/>
      <c r="BG148" s="19"/>
      <c r="BH148" s="274"/>
      <c r="BI148" s="173"/>
      <c r="BJ148" s="374">
        <v>0</v>
      </c>
      <c r="BK148" s="475"/>
      <c r="BL148" s="19"/>
      <c r="BM148" s="274"/>
      <c r="BN148" s="173"/>
      <c r="BO148" s="374">
        <v>0</v>
      </c>
      <c r="BP148" s="475"/>
      <c r="BQ148" s="19"/>
      <c r="BR148" s="274"/>
      <c r="BS148" s="173"/>
      <c r="BT148" s="374">
        <f>SUM(L148:BO148)</f>
        <v>0</v>
      </c>
      <c r="BU148" s="475"/>
      <c r="BV148" s="19"/>
      <c r="BW148" s="274"/>
      <c r="BX148" s="173"/>
      <c r="BY148" s="374">
        <v>0</v>
      </c>
      <c r="BZ148" s="475"/>
      <c r="CA148" s="19"/>
      <c r="CB148" s="274"/>
      <c r="CC148" s="173"/>
      <c r="CD148" s="374">
        <v>0</v>
      </c>
      <c r="CE148" s="475"/>
      <c r="CF148" s="19"/>
      <c r="CG148" s="274"/>
      <c r="CH148" s="173"/>
      <c r="CI148" s="374">
        <v>0</v>
      </c>
      <c r="CJ148" s="475"/>
      <c r="CK148" s="19"/>
      <c r="CL148" s="274"/>
      <c r="CM148" s="173"/>
      <c r="CN148" s="374">
        <v>0</v>
      </c>
      <c r="CO148" s="475"/>
      <c r="CP148" s="19"/>
      <c r="CQ148" s="274"/>
      <c r="CR148" s="173"/>
      <c r="CS148" s="374">
        <v>0</v>
      </c>
      <c r="CT148" s="475"/>
      <c r="CU148" s="19"/>
      <c r="CV148" s="274"/>
      <c r="CW148" s="173"/>
      <c r="CX148" s="374">
        <v>0</v>
      </c>
      <c r="CY148" s="475"/>
      <c r="CZ148" s="19"/>
      <c r="DA148" s="274"/>
      <c r="DB148" s="173"/>
      <c r="DC148" s="374">
        <v>0</v>
      </c>
      <c r="DD148" s="475"/>
      <c r="DE148" s="19"/>
      <c r="DF148" s="274"/>
      <c r="DG148" s="173"/>
      <c r="DH148" s="374">
        <v>0</v>
      </c>
      <c r="DI148" s="475"/>
      <c r="DJ148" s="19"/>
      <c r="DK148" s="274"/>
      <c r="DL148" s="173"/>
      <c r="DM148" s="374">
        <v>0</v>
      </c>
      <c r="DN148" s="475"/>
      <c r="DO148" s="19"/>
      <c r="DP148" s="274"/>
      <c r="DQ148" s="173"/>
      <c r="DR148" s="374">
        <v>0</v>
      </c>
      <c r="DS148" s="475"/>
      <c r="DT148" s="19"/>
      <c r="DU148" s="274"/>
      <c r="DV148" s="173"/>
      <c r="DW148" s="374">
        <v>0</v>
      </c>
      <c r="DX148" s="475"/>
      <c r="DY148" s="19"/>
      <c r="DZ148" s="274"/>
      <c r="EA148" s="173"/>
      <c r="EB148" s="374">
        <v>0</v>
      </c>
      <c r="EC148" s="475"/>
      <c r="ED148" s="19"/>
      <c r="EE148" s="274"/>
      <c r="EF148" s="173"/>
      <c r="EG148" s="374">
        <v>0</v>
      </c>
      <c r="EH148" s="475"/>
      <c r="EI148" s="19"/>
      <c r="EJ148" s="274"/>
      <c r="EK148" s="173"/>
      <c r="EL148" s="374">
        <f>SUM(CD148:EG148)</f>
        <v>0</v>
      </c>
      <c r="EM148" s="297"/>
      <c r="EO148" s="244"/>
      <c r="EP148" s="451"/>
      <c r="EQ148" s="451"/>
    </row>
    <row r="149" spans="4:147" hidden="1" x14ac:dyDescent="0.2">
      <c r="D149" s="244" t="s">
        <v>432</v>
      </c>
      <c r="E149" s="82"/>
      <c r="F149" s="82"/>
      <c r="G149" s="19">
        <v>0</v>
      </c>
      <c r="H149" s="18"/>
      <c r="I149" s="19"/>
      <c r="J149" s="274"/>
      <c r="K149" s="274"/>
      <c r="L149" s="19">
        <v>0</v>
      </c>
      <c r="M149" s="18"/>
      <c r="N149" s="19"/>
      <c r="O149" s="274"/>
      <c r="P149" s="274"/>
      <c r="Q149" s="19">
        <v>0</v>
      </c>
      <c r="R149" s="18"/>
      <c r="S149" s="19"/>
      <c r="T149" s="274"/>
      <c r="U149" s="274"/>
      <c r="V149" s="19">
        <v>0</v>
      </c>
      <c r="W149" s="18"/>
      <c r="X149" s="19"/>
      <c r="Y149" s="274"/>
      <c r="Z149" s="274"/>
      <c r="AA149" s="19">
        <v>0</v>
      </c>
      <c r="AB149" s="18"/>
      <c r="AC149" s="19"/>
      <c r="AD149" s="274"/>
      <c r="AE149" s="274"/>
      <c r="AF149" s="19">
        <v>0</v>
      </c>
      <c r="AG149" s="18"/>
      <c r="AH149" s="19"/>
      <c r="AI149" s="274"/>
      <c r="AJ149" s="274"/>
      <c r="AK149" s="19">
        <v>0</v>
      </c>
      <c r="AL149" s="18"/>
      <c r="AM149" s="19"/>
      <c r="AN149" s="274"/>
      <c r="AO149" s="274"/>
      <c r="AP149" s="19">
        <v>0</v>
      </c>
      <c r="AQ149" s="18"/>
      <c r="AR149" s="19"/>
      <c r="AS149" s="274"/>
      <c r="AT149" s="274"/>
      <c r="AU149" s="19">
        <v>0</v>
      </c>
      <c r="AV149" s="18"/>
      <c r="AW149" s="19"/>
      <c r="AX149" s="274"/>
      <c r="AY149" s="274"/>
      <c r="AZ149" s="19">
        <v>0</v>
      </c>
      <c r="BA149" s="18"/>
      <c r="BB149" s="19"/>
      <c r="BC149" s="274"/>
      <c r="BD149" s="274"/>
      <c r="BE149" s="19">
        <v>0</v>
      </c>
      <c r="BF149" s="18"/>
      <c r="BG149" s="19"/>
      <c r="BH149" s="274"/>
      <c r="BI149" s="274"/>
      <c r="BJ149" s="19">
        <v>0</v>
      </c>
      <c r="BK149" s="18"/>
      <c r="BL149" s="19"/>
      <c r="BM149" s="274"/>
      <c r="BN149" s="274"/>
      <c r="BO149" s="19">
        <v>0</v>
      </c>
      <c r="BP149" s="18"/>
      <c r="BQ149" s="19"/>
      <c r="BR149" s="274"/>
      <c r="BS149" s="274"/>
      <c r="BT149" s="19">
        <f>SUM(L149:BO149)</f>
        <v>0</v>
      </c>
      <c r="BU149" s="18"/>
      <c r="BV149" s="19"/>
      <c r="BW149" s="274"/>
      <c r="BX149" s="274"/>
      <c r="BY149" s="19">
        <v>0</v>
      </c>
      <c r="BZ149" s="18"/>
      <c r="CA149" s="19"/>
      <c r="CB149" s="274"/>
      <c r="CC149" s="274"/>
      <c r="CD149" s="19">
        <v>0</v>
      </c>
      <c r="CE149" s="18"/>
      <c r="CF149" s="19"/>
      <c r="CG149" s="274"/>
      <c r="CH149" s="274"/>
      <c r="CI149" s="19">
        <v>0</v>
      </c>
      <c r="CJ149" s="18"/>
      <c r="CK149" s="19"/>
      <c r="CL149" s="274"/>
      <c r="CM149" s="274"/>
      <c r="CN149" s="19">
        <v>0</v>
      </c>
      <c r="CO149" s="18"/>
      <c r="CP149" s="19"/>
      <c r="CQ149" s="274"/>
      <c r="CR149" s="274"/>
      <c r="CS149" s="19">
        <v>0</v>
      </c>
      <c r="CT149" s="18"/>
      <c r="CU149" s="19"/>
      <c r="CV149" s="274"/>
      <c r="CW149" s="274"/>
      <c r="CX149" s="19">
        <v>0</v>
      </c>
      <c r="CY149" s="18"/>
      <c r="CZ149" s="19"/>
      <c r="DA149" s="274"/>
      <c r="DB149" s="274"/>
      <c r="DC149" s="19">
        <v>0</v>
      </c>
      <c r="DD149" s="18"/>
      <c r="DE149" s="19"/>
      <c r="DF149" s="274"/>
      <c r="DG149" s="274"/>
      <c r="DH149" s="19">
        <v>0</v>
      </c>
      <c r="DI149" s="18"/>
      <c r="DJ149" s="19"/>
      <c r="DK149" s="274"/>
      <c r="DL149" s="274"/>
      <c r="DM149" s="19">
        <v>0</v>
      </c>
      <c r="DN149" s="18"/>
      <c r="DO149" s="19"/>
      <c r="DP149" s="274"/>
      <c r="DQ149" s="274"/>
      <c r="DR149" s="19">
        <v>0</v>
      </c>
      <c r="DS149" s="18"/>
      <c r="DT149" s="19"/>
      <c r="DU149" s="274"/>
      <c r="DV149" s="274"/>
      <c r="DW149" s="19">
        <v>0</v>
      </c>
      <c r="DX149" s="18"/>
      <c r="DY149" s="19"/>
      <c r="DZ149" s="274"/>
      <c r="EA149" s="274"/>
      <c r="EB149" s="19">
        <v>0</v>
      </c>
      <c r="EC149" s="18"/>
      <c r="ED149" s="19"/>
      <c r="EE149" s="274"/>
      <c r="EF149" s="274"/>
      <c r="EG149" s="19">
        <v>0</v>
      </c>
      <c r="EH149" s="18"/>
      <c r="EI149" s="19"/>
      <c r="EJ149" s="274"/>
      <c r="EK149" s="274"/>
      <c r="EL149" s="19">
        <f>SUM(CD149:EG149)</f>
        <v>0</v>
      </c>
      <c r="EM149" s="375"/>
      <c r="EO149" s="244"/>
      <c r="EP149" s="451"/>
      <c r="EQ149" s="451"/>
    </row>
    <row r="150" spans="4:147" hidden="1" x14ac:dyDescent="0.2">
      <c r="D150" s="244" t="s">
        <v>433</v>
      </c>
      <c r="E150" s="82"/>
      <c r="F150" s="276"/>
      <c r="G150" s="37">
        <v>0</v>
      </c>
      <c r="H150" s="36"/>
      <c r="I150" s="19"/>
      <c r="J150" s="274"/>
      <c r="K150" s="231"/>
      <c r="L150" s="37">
        <v>0</v>
      </c>
      <c r="M150" s="36"/>
      <c r="N150" s="19"/>
      <c r="O150" s="274"/>
      <c r="P150" s="231"/>
      <c r="Q150" s="37">
        <v>0</v>
      </c>
      <c r="R150" s="36"/>
      <c r="S150" s="19"/>
      <c r="T150" s="274"/>
      <c r="U150" s="231"/>
      <c r="V150" s="37">
        <v>0</v>
      </c>
      <c r="W150" s="36"/>
      <c r="X150" s="19"/>
      <c r="Y150" s="274"/>
      <c r="Z150" s="231"/>
      <c r="AA150" s="37">
        <v>0</v>
      </c>
      <c r="AB150" s="36"/>
      <c r="AC150" s="19"/>
      <c r="AD150" s="274"/>
      <c r="AE150" s="231"/>
      <c r="AF150" s="37">
        <v>0</v>
      </c>
      <c r="AG150" s="36"/>
      <c r="AH150" s="19"/>
      <c r="AI150" s="274"/>
      <c r="AJ150" s="231"/>
      <c r="AK150" s="37">
        <v>0</v>
      </c>
      <c r="AL150" s="36"/>
      <c r="AM150" s="19"/>
      <c r="AN150" s="274"/>
      <c r="AO150" s="231"/>
      <c r="AP150" s="37">
        <v>0</v>
      </c>
      <c r="AQ150" s="36"/>
      <c r="AR150" s="19"/>
      <c r="AS150" s="274"/>
      <c r="AT150" s="231"/>
      <c r="AU150" s="37">
        <v>0</v>
      </c>
      <c r="AV150" s="36"/>
      <c r="AW150" s="19"/>
      <c r="AX150" s="274"/>
      <c r="AY150" s="231"/>
      <c r="AZ150" s="37">
        <v>0</v>
      </c>
      <c r="BA150" s="36"/>
      <c r="BB150" s="19"/>
      <c r="BC150" s="274"/>
      <c r="BD150" s="231"/>
      <c r="BE150" s="37">
        <v>0</v>
      </c>
      <c r="BF150" s="36"/>
      <c r="BG150" s="19"/>
      <c r="BH150" s="274"/>
      <c r="BI150" s="231"/>
      <c r="BJ150" s="37">
        <v>0</v>
      </c>
      <c r="BK150" s="36"/>
      <c r="BL150" s="19"/>
      <c r="BM150" s="274"/>
      <c r="BN150" s="231"/>
      <c r="BO150" s="37">
        <v>0</v>
      </c>
      <c r="BP150" s="36"/>
      <c r="BQ150" s="19"/>
      <c r="BR150" s="274"/>
      <c r="BS150" s="231"/>
      <c r="BT150" s="37">
        <f>SUM(L150:BO150)</f>
        <v>0</v>
      </c>
      <c r="BU150" s="36"/>
      <c r="BV150" s="19"/>
      <c r="BW150" s="274"/>
      <c r="BX150" s="231"/>
      <c r="BY150" s="37">
        <v>0</v>
      </c>
      <c r="BZ150" s="36"/>
      <c r="CA150" s="19"/>
      <c r="CB150" s="274"/>
      <c r="CC150" s="231"/>
      <c r="CD150" s="37">
        <v>0</v>
      </c>
      <c r="CE150" s="36"/>
      <c r="CF150" s="19"/>
      <c r="CG150" s="274"/>
      <c r="CH150" s="231"/>
      <c r="CI150" s="37">
        <v>0</v>
      </c>
      <c r="CJ150" s="36"/>
      <c r="CK150" s="19"/>
      <c r="CL150" s="274"/>
      <c r="CM150" s="231"/>
      <c r="CN150" s="37">
        <v>0</v>
      </c>
      <c r="CO150" s="36"/>
      <c r="CP150" s="19"/>
      <c r="CQ150" s="274"/>
      <c r="CR150" s="231"/>
      <c r="CS150" s="37">
        <v>0</v>
      </c>
      <c r="CT150" s="36"/>
      <c r="CU150" s="19"/>
      <c r="CV150" s="274"/>
      <c r="CW150" s="231"/>
      <c r="CX150" s="37">
        <v>0</v>
      </c>
      <c r="CY150" s="36"/>
      <c r="CZ150" s="19"/>
      <c r="DA150" s="274"/>
      <c r="DB150" s="231"/>
      <c r="DC150" s="37">
        <v>0</v>
      </c>
      <c r="DD150" s="36"/>
      <c r="DE150" s="19"/>
      <c r="DF150" s="274"/>
      <c r="DG150" s="231"/>
      <c r="DH150" s="37">
        <v>0</v>
      </c>
      <c r="DI150" s="36"/>
      <c r="DJ150" s="19"/>
      <c r="DK150" s="274"/>
      <c r="DL150" s="231"/>
      <c r="DM150" s="37">
        <v>0</v>
      </c>
      <c r="DN150" s="36"/>
      <c r="DO150" s="19"/>
      <c r="DP150" s="274"/>
      <c r="DQ150" s="231"/>
      <c r="DR150" s="37">
        <v>0</v>
      </c>
      <c r="DS150" s="36"/>
      <c r="DT150" s="19"/>
      <c r="DU150" s="274"/>
      <c r="DV150" s="231"/>
      <c r="DW150" s="37">
        <v>0</v>
      </c>
      <c r="DX150" s="36"/>
      <c r="DY150" s="19"/>
      <c r="DZ150" s="274"/>
      <c r="EA150" s="231"/>
      <c r="EB150" s="37">
        <v>0</v>
      </c>
      <c r="EC150" s="36"/>
      <c r="ED150" s="19"/>
      <c r="EE150" s="274"/>
      <c r="EF150" s="231"/>
      <c r="EG150" s="37">
        <v>0</v>
      </c>
      <c r="EH150" s="36"/>
      <c r="EI150" s="19"/>
      <c r="EJ150" s="274"/>
      <c r="EK150" s="231"/>
      <c r="EL150" s="37">
        <f>SUM(CD150:EG150)</f>
        <v>0</v>
      </c>
      <c r="EM150" s="158"/>
      <c r="EO150" s="244"/>
      <c r="EP150" s="451"/>
      <c r="EQ150" s="451"/>
    </row>
    <row r="151" spans="4:147" hidden="1" x14ac:dyDescent="0.2">
      <c r="D151" s="244"/>
      <c r="E151" s="82"/>
      <c r="G151" s="299"/>
      <c r="H151" s="299"/>
      <c r="I151" s="299"/>
      <c r="J151" s="403"/>
      <c r="K151" s="299"/>
      <c r="L151" s="299"/>
      <c r="M151" s="299"/>
      <c r="N151" s="299"/>
      <c r="O151" s="403"/>
      <c r="P151" s="299"/>
      <c r="Q151" s="299"/>
      <c r="R151" s="299"/>
      <c r="S151" s="299"/>
      <c r="T151" s="403"/>
      <c r="U151" s="299"/>
      <c r="V151" s="299"/>
      <c r="W151" s="299"/>
      <c r="X151" s="299"/>
      <c r="Y151" s="403"/>
      <c r="Z151" s="299"/>
      <c r="AA151" s="299"/>
      <c r="AB151" s="299"/>
      <c r="AC151" s="299"/>
      <c r="AD151" s="403"/>
      <c r="AE151" s="299"/>
      <c r="AF151" s="299"/>
      <c r="AG151" s="299"/>
      <c r="AH151" s="299"/>
      <c r="AI151" s="403"/>
      <c r="AJ151" s="299"/>
      <c r="AK151" s="299"/>
      <c r="AL151" s="299"/>
      <c r="AM151" s="299"/>
      <c r="AN151" s="403"/>
      <c r="AO151" s="299"/>
      <c r="AP151" s="299"/>
      <c r="AQ151" s="299"/>
      <c r="AR151" s="299"/>
      <c r="AS151" s="403"/>
      <c r="AT151" s="299"/>
      <c r="AU151" s="299"/>
      <c r="AV151" s="299"/>
      <c r="AW151" s="299"/>
      <c r="AX151" s="403"/>
      <c r="AY151" s="299"/>
      <c r="AZ151" s="299"/>
      <c r="BA151" s="299"/>
      <c r="BB151" s="299"/>
      <c r="BC151" s="403"/>
      <c r="BD151" s="299"/>
      <c r="BE151" s="299"/>
      <c r="BF151" s="299"/>
      <c r="BG151" s="299"/>
      <c r="BH151" s="403"/>
      <c r="BI151" s="299"/>
      <c r="BJ151" s="299"/>
      <c r="BK151" s="299"/>
      <c r="BL151" s="299"/>
      <c r="BM151" s="403"/>
      <c r="BN151" s="299"/>
      <c r="BO151" s="299"/>
      <c r="BP151" s="299"/>
      <c r="BQ151" s="299"/>
      <c r="BR151" s="403"/>
      <c r="BS151" s="299"/>
      <c r="BT151" s="19"/>
      <c r="BU151" s="19"/>
      <c r="BV151" s="19"/>
      <c r="BW151" s="274"/>
      <c r="BX151" s="19"/>
      <c r="BY151" s="299"/>
      <c r="BZ151" s="299"/>
      <c r="CA151" s="299"/>
      <c r="CB151" s="403"/>
      <c r="CC151" s="299"/>
      <c r="CD151" s="299"/>
      <c r="CE151" s="299"/>
      <c r="CF151" s="299"/>
      <c r="CG151" s="403"/>
      <c r="CH151" s="299"/>
      <c r="CI151" s="299"/>
      <c r="CJ151" s="299"/>
      <c r="CK151" s="299"/>
      <c r="CL151" s="403"/>
      <c r="CM151" s="299"/>
      <c r="CN151" s="299"/>
      <c r="CO151" s="299"/>
      <c r="CP151" s="299"/>
      <c r="CQ151" s="403"/>
      <c r="CR151" s="299"/>
      <c r="CS151" s="299"/>
      <c r="CT151" s="299"/>
      <c r="CU151" s="299"/>
      <c r="CV151" s="403"/>
      <c r="CW151" s="299"/>
      <c r="CX151" s="299"/>
      <c r="CY151" s="299"/>
      <c r="CZ151" s="299"/>
      <c r="DA151" s="403"/>
      <c r="DB151" s="299"/>
      <c r="DC151" s="299"/>
      <c r="DD151" s="299"/>
      <c r="DE151" s="299"/>
      <c r="DF151" s="403"/>
      <c r="DG151" s="299"/>
      <c r="DH151" s="299"/>
      <c r="DI151" s="299"/>
      <c r="DJ151" s="299"/>
      <c r="DK151" s="403"/>
      <c r="DL151" s="299"/>
      <c r="DM151" s="299"/>
      <c r="DN151" s="299"/>
      <c r="DO151" s="299"/>
      <c r="DP151" s="403"/>
      <c r="DQ151" s="299"/>
      <c r="DR151" s="299"/>
      <c r="DS151" s="299"/>
      <c r="DT151" s="299"/>
      <c r="DU151" s="403"/>
      <c r="DV151" s="299"/>
      <c r="DW151" s="299"/>
      <c r="DX151" s="299"/>
      <c r="DY151" s="299"/>
      <c r="DZ151" s="403"/>
      <c r="EA151" s="299"/>
      <c r="EB151" s="299"/>
      <c r="EC151" s="299"/>
      <c r="ED151" s="299"/>
      <c r="EE151" s="403"/>
      <c r="EF151" s="299"/>
      <c r="EG151" s="299"/>
      <c r="EH151" s="299"/>
      <c r="EI151" s="299"/>
      <c r="EJ151" s="403"/>
      <c r="EK151" s="299"/>
      <c r="EL151" s="19"/>
      <c r="EO151" s="244"/>
      <c r="EP151" s="451"/>
      <c r="EQ151" s="451"/>
    </row>
    <row r="152" spans="4:147" hidden="1" x14ac:dyDescent="0.2">
      <c r="D152" s="244" t="s">
        <v>439</v>
      </c>
      <c r="E152" s="82"/>
      <c r="G152" s="19">
        <f>SUM(G153:G155)</f>
        <v>0</v>
      </c>
      <c r="H152" s="19"/>
      <c r="I152" s="19"/>
      <c r="J152" s="274"/>
      <c r="K152" s="19"/>
      <c r="L152" s="19">
        <f>SUM(L153:L155)</f>
        <v>0</v>
      </c>
      <c r="M152" s="19"/>
      <c r="N152" s="19"/>
      <c r="O152" s="274"/>
      <c r="P152" s="19"/>
      <c r="Q152" s="19">
        <f>SUM(Q153:Q155)</f>
        <v>0</v>
      </c>
      <c r="R152" s="19"/>
      <c r="S152" s="19"/>
      <c r="T152" s="274"/>
      <c r="U152" s="19"/>
      <c r="V152" s="19">
        <f>SUM(V153:V155)</f>
        <v>0</v>
      </c>
      <c r="W152" s="19"/>
      <c r="X152" s="19"/>
      <c r="Y152" s="274"/>
      <c r="Z152" s="19"/>
      <c r="AA152" s="19">
        <f>SUM(AA153:AA155)</f>
        <v>0</v>
      </c>
      <c r="AB152" s="19"/>
      <c r="AC152" s="19"/>
      <c r="AD152" s="274"/>
      <c r="AE152" s="19"/>
      <c r="AF152" s="19">
        <f>SUM(AF153:AF155)</f>
        <v>0</v>
      </c>
      <c r="AG152" s="19"/>
      <c r="AH152" s="19"/>
      <c r="AI152" s="274"/>
      <c r="AJ152" s="19"/>
      <c r="AK152" s="19">
        <f>SUM(AK153:AK155)</f>
        <v>0</v>
      </c>
      <c r="AL152" s="19"/>
      <c r="AM152" s="19"/>
      <c r="AN152" s="274"/>
      <c r="AO152" s="19"/>
      <c r="AP152" s="19">
        <f>SUM(AP153:AP155)</f>
        <v>0</v>
      </c>
      <c r="AQ152" s="19"/>
      <c r="AR152" s="19"/>
      <c r="AS152" s="274"/>
      <c r="AT152" s="19"/>
      <c r="AU152" s="19">
        <f>SUM(AU153:AU155)</f>
        <v>0</v>
      </c>
      <c r="AV152" s="19"/>
      <c r="AW152" s="19"/>
      <c r="AX152" s="274"/>
      <c r="AY152" s="19"/>
      <c r="AZ152" s="19">
        <f>SUM(AZ153:AZ155)</f>
        <v>0</v>
      </c>
      <c r="BA152" s="19"/>
      <c r="BB152" s="19"/>
      <c r="BC152" s="274"/>
      <c r="BD152" s="19"/>
      <c r="BE152" s="19">
        <f>SUM(BE153:BE155)</f>
        <v>0</v>
      </c>
      <c r="BF152" s="19"/>
      <c r="BG152" s="19"/>
      <c r="BH152" s="274"/>
      <c r="BI152" s="19"/>
      <c r="BJ152" s="19">
        <f>SUM(BJ153:BJ155)</f>
        <v>0</v>
      </c>
      <c r="BK152" s="19"/>
      <c r="BL152" s="19"/>
      <c r="BM152" s="274"/>
      <c r="BN152" s="19"/>
      <c r="BO152" s="19">
        <f>SUM(BO153:BO155)</f>
        <v>0</v>
      </c>
      <c r="BP152" s="19"/>
      <c r="BQ152" s="19"/>
      <c r="BR152" s="274"/>
      <c r="BS152" s="19"/>
      <c r="BT152" s="19">
        <f>SUM(BT153:BT155)</f>
        <v>0</v>
      </c>
      <c r="BU152" s="19"/>
      <c r="BV152" s="19"/>
      <c r="BW152" s="274"/>
      <c r="BX152" s="19"/>
      <c r="BY152" s="19">
        <f>SUM(BY153:BY155)</f>
        <v>0</v>
      </c>
      <c r="BZ152" s="19"/>
      <c r="CA152" s="19"/>
      <c r="CB152" s="274"/>
      <c r="CC152" s="19"/>
      <c r="CD152" s="19">
        <f>SUM(CD153:CD155)</f>
        <v>0</v>
      </c>
      <c r="CE152" s="19"/>
      <c r="CF152" s="19"/>
      <c r="CG152" s="274"/>
      <c r="CH152" s="19"/>
      <c r="CI152" s="19">
        <f>SUM(CI153:CI155)</f>
        <v>0</v>
      </c>
      <c r="CJ152" s="19"/>
      <c r="CK152" s="19"/>
      <c r="CL152" s="274"/>
      <c r="CM152" s="19"/>
      <c r="CN152" s="19">
        <f>SUM(CN153:CN155)</f>
        <v>0</v>
      </c>
      <c r="CO152" s="19"/>
      <c r="CP152" s="19"/>
      <c r="CQ152" s="274"/>
      <c r="CR152" s="19"/>
      <c r="CS152" s="19">
        <f>SUM(CS153:CS155)</f>
        <v>0</v>
      </c>
      <c r="CT152" s="19"/>
      <c r="CU152" s="19"/>
      <c r="CV152" s="274"/>
      <c r="CW152" s="19"/>
      <c r="CX152" s="19">
        <f>SUM(CX153:CX155)</f>
        <v>0</v>
      </c>
      <c r="CY152" s="19"/>
      <c r="CZ152" s="19"/>
      <c r="DA152" s="274"/>
      <c r="DB152" s="19"/>
      <c r="DC152" s="19">
        <f>SUM(DC153:DC155)</f>
        <v>0</v>
      </c>
      <c r="DD152" s="19"/>
      <c r="DE152" s="19"/>
      <c r="DF152" s="274"/>
      <c r="DG152" s="19"/>
      <c r="DH152" s="19">
        <f>SUM(DH153:DH155)</f>
        <v>0</v>
      </c>
      <c r="DI152" s="19"/>
      <c r="DJ152" s="19"/>
      <c r="DK152" s="274"/>
      <c r="DL152" s="19"/>
      <c r="DM152" s="19">
        <f>SUM(DM153:DM155)</f>
        <v>0</v>
      </c>
      <c r="DN152" s="19"/>
      <c r="DO152" s="19"/>
      <c r="DP152" s="274"/>
      <c r="DQ152" s="19"/>
      <c r="DR152" s="19">
        <f>SUM(DR153:DR155)</f>
        <v>0</v>
      </c>
      <c r="DS152" s="19"/>
      <c r="DT152" s="19"/>
      <c r="DU152" s="274"/>
      <c r="DV152" s="19"/>
      <c r="DW152" s="19">
        <f>SUM(DW153:DW155)</f>
        <v>0</v>
      </c>
      <c r="DX152" s="19"/>
      <c r="DY152" s="19"/>
      <c r="DZ152" s="274"/>
      <c r="EA152" s="19"/>
      <c r="EB152" s="19">
        <f>SUM(EB153:EB155)</f>
        <v>0</v>
      </c>
      <c r="EC152" s="19"/>
      <c r="ED152" s="19"/>
      <c r="EE152" s="274"/>
      <c r="EF152" s="19"/>
      <c r="EG152" s="19">
        <f>SUM(EG153:EG155)</f>
        <v>0</v>
      </c>
      <c r="EH152" s="19"/>
      <c r="EI152" s="19"/>
      <c r="EJ152" s="274"/>
      <c r="EK152" s="19"/>
      <c r="EL152" s="19">
        <f>SUM(EL153:EL155)</f>
        <v>0</v>
      </c>
      <c r="EO152" s="244"/>
      <c r="EP152" s="451"/>
      <c r="EQ152" s="451"/>
    </row>
    <row r="153" spans="4:147" hidden="1" x14ac:dyDescent="0.2">
      <c r="D153" s="244" t="s">
        <v>344</v>
      </c>
      <c r="E153" s="82"/>
      <c r="F153" s="112"/>
      <c r="G153" s="374">
        <v>0</v>
      </c>
      <c r="H153" s="475"/>
      <c r="I153" s="19"/>
      <c r="J153" s="274"/>
      <c r="K153" s="173"/>
      <c r="L153" s="374">
        <v>0</v>
      </c>
      <c r="M153" s="475"/>
      <c r="N153" s="19"/>
      <c r="O153" s="274"/>
      <c r="P153" s="173"/>
      <c r="Q153" s="374">
        <v>0</v>
      </c>
      <c r="R153" s="475"/>
      <c r="S153" s="19"/>
      <c r="T153" s="274"/>
      <c r="U153" s="173"/>
      <c r="V153" s="374">
        <v>0</v>
      </c>
      <c r="W153" s="475"/>
      <c r="X153" s="19"/>
      <c r="Y153" s="274"/>
      <c r="Z153" s="173"/>
      <c r="AA153" s="374">
        <v>0</v>
      </c>
      <c r="AB153" s="475"/>
      <c r="AC153" s="19"/>
      <c r="AD153" s="274"/>
      <c r="AE153" s="173"/>
      <c r="AF153" s="374">
        <v>0</v>
      </c>
      <c r="AG153" s="475"/>
      <c r="AH153" s="19"/>
      <c r="AI153" s="274"/>
      <c r="AJ153" s="173"/>
      <c r="AK153" s="374">
        <v>0</v>
      </c>
      <c r="AL153" s="475"/>
      <c r="AM153" s="19"/>
      <c r="AN153" s="274"/>
      <c r="AO153" s="173"/>
      <c r="AP153" s="374">
        <v>0</v>
      </c>
      <c r="AQ153" s="475"/>
      <c r="AR153" s="19"/>
      <c r="AS153" s="274"/>
      <c r="AT153" s="173"/>
      <c r="AU153" s="374">
        <v>0</v>
      </c>
      <c r="AV153" s="475"/>
      <c r="AW153" s="19"/>
      <c r="AX153" s="274"/>
      <c r="AY153" s="173"/>
      <c r="AZ153" s="374">
        <v>0</v>
      </c>
      <c r="BA153" s="475"/>
      <c r="BB153" s="19"/>
      <c r="BC153" s="274"/>
      <c r="BD153" s="173"/>
      <c r="BE153" s="374">
        <v>0</v>
      </c>
      <c r="BF153" s="475"/>
      <c r="BG153" s="19"/>
      <c r="BH153" s="274"/>
      <c r="BI153" s="173"/>
      <c r="BJ153" s="374">
        <v>0</v>
      </c>
      <c r="BK153" s="475"/>
      <c r="BL153" s="19"/>
      <c r="BM153" s="274"/>
      <c r="BN153" s="173"/>
      <c r="BO153" s="374">
        <v>0</v>
      </c>
      <c r="BP153" s="475"/>
      <c r="BQ153" s="19"/>
      <c r="BR153" s="274"/>
      <c r="BS153" s="173"/>
      <c r="BT153" s="374">
        <f>SUM(L153:BO153)</f>
        <v>0</v>
      </c>
      <c r="BU153" s="475"/>
      <c r="BV153" s="19"/>
      <c r="BW153" s="274"/>
      <c r="BX153" s="173"/>
      <c r="BY153" s="374">
        <v>0</v>
      </c>
      <c r="BZ153" s="475"/>
      <c r="CA153" s="19"/>
      <c r="CB153" s="274"/>
      <c r="CC153" s="173"/>
      <c r="CD153" s="374">
        <v>0</v>
      </c>
      <c r="CE153" s="475"/>
      <c r="CF153" s="19"/>
      <c r="CG153" s="274"/>
      <c r="CH153" s="173"/>
      <c r="CI153" s="374">
        <v>0</v>
      </c>
      <c r="CJ153" s="475"/>
      <c r="CK153" s="19"/>
      <c r="CL153" s="274"/>
      <c r="CM153" s="173"/>
      <c r="CN153" s="374">
        <v>0</v>
      </c>
      <c r="CO153" s="475"/>
      <c r="CP153" s="19"/>
      <c r="CQ153" s="274"/>
      <c r="CR153" s="173"/>
      <c r="CS153" s="374">
        <v>0</v>
      </c>
      <c r="CT153" s="475"/>
      <c r="CU153" s="19"/>
      <c r="CV153" s="274"/>
      <c r="CW153" s="173"/>
      <c r="CX153" s="374">
        <v>0</v>
      </c>
      <c r="CY153" s="475"/>
      <c r="CZ153" s="19"/>
      <c r="DA153" s="274"/>
      <c r="DB153" s="173"/>
      <c r="DC153" s="374">
        <v>0</v>
      </c>
      <c r="DD153" s="475"/>
      <c r="DE153" s="19"/>
      <c r="DF153" s="274"/>
      <c r="DG153" s="173"/>
      <c r="DH153" s="374">
        <v>0</v>
      </c>
      <c r="DI153" s="475"/>
      <c r="DJ153" s="19"/>
      <c r="DK153" s="274"/>
      <c r="DL153" s="173"/>
      <c r="DM153" s="374">
        <v>0</v>
      </c>
      <c r="DN153" s="475"/>
      <c r="DO153" s="19"/>
      <c r="DP153" s="274"/>
      <c r="DQ153" s="173"/>
      <c r="DR153" s="374">
        <v>0</v>
      </c>
      <c r="DS153" s="475"/>
      <c r="DT153" s="19"/>
      <c r="DU153" s="274"/>
      <c r="DV153" s="173"/>
      <c r="DW153" s="374">
        <v>0</v>
      </c>
      <c r="DX153" s="475"/>
      <c r="DY153" s="19"/>
      <c r="DZ153" s="274"/>
      <c r="EA153" s="173"/>
      <c r="EB153" s="374">
        <v>0</v>
      </c>
      <c r="EC153" s="475"/>
      <c r="ED153" s="19"/>
      <c r="EE153" s="274"/>
      <c r="EF153" s="173"/>
      <c r="EG153" s="374">
        <v>0</v>
      </c>
      <c r="EH153" s="475"/>
      <c r="EI153" s="19"/>
      <c r="EJ153" s="274"/>
      <c r="EK153" s="173"/>
      <c r="EL153" s="374">
        <f>SUM(CD153:EG153)</f>
        <v>0</v>
      </c>
      <c r="EM153" s="297"/>
      <c r="EO153" s="244"/>
      <c r="EP153" s="451"/>
      <c r="EQ153" s="451"/>
    </row>
    <row r="154" spans="4:147" hidden="1" x14ac:dyDescent="0.2">
      <c r="D154" s="244" t="s">
        <v>432</v>
      </c>
      <c r="E154" s="82"/>
      <c r="F154" s="82"/>
      <c r="G154" s="19">
        <v>0</v>
      </c>
      <c r="H154" s="18"/>
      <c r="I154" s="19"/>
      <c r="J154" s="274"/>
      <c r="K154" s="274"/>
      <c r="L154" s="19">
        <v>0</v>
      </c>
      <c r="M154" s="18"/>
      <c r="N154" s="19"/>
      <c r="O154" s="274"/>
      <c r="P154" s="274"/>
      <c r="Q154" s="19">
        <v>0</v>
      </c>
      <c r="R154" s="18"/>
      <c r="S154" s="19"/>
      <c r="T154" s="274"/>
      <c r="U154" s="274"/>
      <c r="V154" s="19">
        <v>0</v>
      </c>
      <c r="W154" s="18"/>
      <c r="X154" s="19"/>
      <c r="Y154" s="274"/>
      <c r="Z154" s="274"/>
      <c r="AA154" s="19">
        <v>0</v>
      </c>
      <c r="AB154" s="18"/>
      <c r="AC154" s="19"/>
      <c r="AD154" s="274"/>
      <c r="AE154" s="274"/>
      <c r="AF154" s="19">
        <v>0</v>
      </c>
      <c r="AG154" s="18"/>
      <c r="AH154" s="19"/>
      <c r="AI154" s="274"/>
      <c r="AJ154" s="274"/>
      <c r="AK154" s="19">
        <v>0</v>
      </c>
      <c r="AL154" s="18"/>
      <c r="AM154" s="19"/>
      <c r="AN154" s="274"/>
      <c r="AO154" s="274"/>
      <c r="AP154" s="19">
        <v>0</v>
      </c>
      <c r="AQ154" s="18"/>
      <c r="AR154" s="19"/>
      <c r="AS154" s="274"/>
      <c r="AT154" s="274"/>
      <c r="AU154" s="19">
        <v>0</v>
      </c>
      <c r="AV154" s="18"/>
      <c r="AW154" s="19"/>
      <c r="AX154" s="274"/>
      <c r="AY154" s="274"/>
      <c r="AZ154" s="19">
        <v>0</v>
      </c>
      <c r="BA154" s="18"/>
      <c r="BB154" s="19"/>
      <c r="BC154" s="274"/>
      <c r="BD154" s="274"/>
      <c r="BE154" s="19">
        <v>0</v>
      </c>
      <c r="BF154" s="18"/>
      <c r="BG154" s="19"/>
      <c r="BH154" s="274"/>
      <c r="BI154" s="274"/>
      <c r="BJ154" s="19">
        <v>0</v>
      </c>
      <c r="BK154" s="18"/>
      <c r="BL154" s="19"/>
      <c r="BM154" s="274"/>
      <c r="BN154" s="274"/>
      <c r="BO154" s="19">
        <v>0</v>
      </c>
      <c r="BP154" s="18"/>
      <c r="BQ154" s="19"/>
      <c r="BR154" s="274"/>
      <c r="BS154" s="274"/>
      <c r="BT154" s="19">
        <f>SUM(L154:BO154)</f>
        <v>0</v>
      </c>
      <c r="BU154" s="18"/>
      <c r="BV154" s="19"/>
      <c r="BW154" s="274"/>
      <c r="BX154" s="274"/>
      <c r="BY154" s="19">
        <v>0</v>
      </c>
      <c r="BZ154" s="18"/>
      <c r="CA154" s="19"/>
      <c r="CB154" s="274"/>
      <c r="CC154" s="274"/>
      <c r="CD154" s="19">
        <v>0</v>
      </c>
      <c r="CE154" s="18"/>
      <c r="CF154" s="19"/>
      <c r="CG154" s="274"/>
      <c r="CH154" s="274"/>
      <c r="CI154" s="19">
        <v>0</v>
      </c>
      <c r="CJ154" s="18"/>
      <c r="CK154" s="19"/>
      <c r="CL154" s="274"/>
      <c r="CM154" s="274"/>
      <c r="CN154" s="19">
        <v>0</v>
      </c>
      <c r="CO154" s="18"/>
      <c r="CP154" s="19"/>
      <c r="CQ154" s="274"/>
      <c r="CR154" s="274"/>
      <c r="CS154" s="19">
        <v>0</v>
      </c>
      <c r="CT154" s="18"/>
      <c r="CU154" s="19"/>
      <c r="CV154" s="274"/>
      <c r="CW154" s="274"/>
      <c r="CX154" s="19">
        <v>0</v>
      </c>
      <c r="CY154" s="18"/>
      <c r="CZ154" s="19"/>
      <c r="DA154" s="274"/>
      <c r="DB154" s="274"/>
      <c r="DC154" s="19">
        <v>0</v>
      </c>
      <c r="DD154" s="18"/>
      <c r="DE154" s="19"/>
      <c r="DF154" s="274"/>
      <c r="DG154" s="274"/>
      <c r="DH154" s="19">
        <v>0</v>
      </c>
      <c r="DI154" s="18"/>
      <c r="DJ154" s="19"/>
      <c r="DK154" s="274"/>
      <c r="DL154" s="274"/>
      <c r="DM154" s="19">
        <v>0</v>
      </c>
      <c r="DN154" s="18"/>
      <c r="DO154" s="19"/>
      <c r="DP154" s="274"/>
      <c r="DQ154" s="274"/>
      <c r="DR154" s="19">
        <v>0</v>
      </c>
      <c r="DS154" s="18"/>
      <c r="DT154" s="19"/>
      <c r="DU154" s="274"/>
      <c r="DV154" s="274"/>
      <c r="DW154" s="19">
        <v>0</v>
      </c>
      <c r="DX154" s="18"/>
      <c r="DY154" s="19"/>
      <c r="DZ154" s="274"/>
      <c r="EA154" s="274"/>
      <c r="EB154" s="19">
        <v>0</v>
      </c>
      <c r="EC154" s="18"/>
      <c r="ED154" s="19"/>
      <c r="EE154" s="274"/>
      <c r="EF154" s="274"/>
      <c r="EG154" s="19">
        <v>0</v>
      </c>
      <c r="EH154" s="18"/>
      <c r="EI154" s="19"/>
      <c r="EJ154" s="274"/>
      <c r="EK154" s="274"/>
      <c r="EL154" s="19">
        <f>SUM(CD154:EG154)</f>
        <v>0</v>
      </c>
      <c r="EM154" s="375"/>
      <c r="EO154" s="244"/>
      <c r="EP154" s="451"/>
      <c r="EQ154" s="451"/>
    </row>
    <row r="155" spans="4:147" hidden="1" x14ac:dyDescent="0.2">
      <c r="D155" s="244" t="s">
        <v>433</v>
      </c>
      <c r="E155" s="82"/>
      <c r="F155" s="276"/>
      <c r="G155" s="37">
        <v>0</v>
      </c>
      <c r="H155" s="36"/>
      <c r="I155" s="19"/>
      <c r="J155" s="274"/>
      <c r="K155" s="231"/>
      <c r="L155" s="37">
        <v>0</v>
      </c>
      <c r="M155" s="36"/>
      <c r="N155" s="19"/>
      <c r="O155" s="274"/>
      <c r="P155" s="231"/>
      <c r="Q155" s="37">
        <v>0</v>
      </c>
      <c r="R155" s="36"/>
      <c r="S155" s="19"/>
      <c r="T155" s="274"/>
      <c r="U155" s="231"/>
      <c r="V155" s="37">
        <v>0</v>
      </c>
      <c r="W155" s="36"/>
      <c r="X155" s="19"/>
      <c r="Y155" s="274"/>
      <c r="Z155" s="231"/>
      <c r="AA155" s="37">
        <v>0</v>
      </c>
      <c r="AB155" s="36"/>
      <c r="AC155" s="19"/>
      <c r="AD155" s="274"/>
      <c r="AE155" s="231"/>
      <c r="AF155" s="37">
        <v>0</v>
      </c>
      <c r="AG155" s="36"/>
      <c r="AH155" s="19"/>
      <c r="AI155" s="274"/>
      <c r="AJ155" s="231"/>
      <c r="AK155" s="37">
        <v>0</v>
      </c>
      <c r="AL155" s="36"/>
      <c r="AM155" s="19"/>
      <c r="AN155" s="274"/>
      <c r="AO155" s="231"/>
      <c r="AP155" s="37">
        <v>0</v>
      </c>
      <c r="AQ155" s="36"/>
      <c r="AR155" s="19"/>
      <c r="AS155" s="274"/>
      <c r="AT155" s="231"/>
      <c r="AU155" s="37">
        <v>0</v>
      </c>
      <c r="AV155" s="36"/>
      <c r="AW155" s="19"/>
      <c r="AX155" s="274"/>
      <c r="AY155" s="231"/>
      <c r="AZ155" s="37">
        <v>0</v>
      </c>
      <c r="BA155" s="36"/>
      <c r="BB155" s="19"/>
      <c r="BC155" s="274"/>
      <c r="BD155" s="231"/>
      <c r="BE155" s="37">
        <v>0</v>
      </c>
      <c r="BF155" s="36"/>
      <c r="BG155" s="19"/>
      <c r="BH155" s="274"/>
      <c r="BI155" s="231"/>
      <c r="BJ155" s="37">
        <v>0</v>
      </c>
      <c r="BK155" s="36"/>
      <c r="BL155" s="19"/>
      <c r="BM155" s="274"/>
      <c r="BN155" s="231"/>
      <c r="BO155" s="37">
        <v>0</v>
      </c>
      <c r="BP155" s="36"/>
      <c r="BQ155" s="19"/>
      <c r="BR155" s="274"/>
      <c r="BS155" s="231"/>
      <c r="BT155" s="37">
        <f>SUM(L155:BO155)</f>
        <v>0</v>
      </c>
      <c r="BU155" s="36"/>
      <c r="BV155" s="19"/>
      <c r="BW155" s="274"/>
      <c r="BX155" s="231"/>
      <c r="BY155" s="37">
        <v>0</v>
      </c>
      <c r="BZ155" s="36"/>
      <c r="CA155" s="19"/>
      <c r="CB155" s="274"/>
      <c r="CC155" s="231"/>
      <c r="CD155" s="37">
        <v>0</v>
      </c>
      <c r="CE155" s="36"/>
      <c r="CF155" s="19"/>
      <c r="CG155" s="274"/>
      <c r="CH155" s="231"/>
      <c r="CI155" s="37">
        <v>0</v>
      </c>
      <c r="CJ155" s="36"/>
      <c r="CK155" s="19"/>
      <c r="CL155" s="274"/>
      <c r="CM155" s="231"/>
      <c r="CN155" s="37">
        <v>0</v>
      </c>
      <c r="CO155" s="36"/>
      <c r="CP155" s="19"/>
      <c r="CQ155" s="274"/>
      <c r="CR155" s="231"/>
      <c r="CS155" s="37">
        <v>0</v>
      </c>
      <c r="CT155" s="36"/>
      <c r="CU155" s="19"/>
      <c r="CV155" s="274"/>
      <c r="CW155" s="231"/>
      <c r="CX155" s="37">
        <v>0</v>
      </c>
      <c r="CY155" s="36"/>
      <c r="CZ155" s="19"/>
      <c r="DA155" s="274"/>
      <c r="DB155" s="231"/>
      <c r="DC155" s="37">
        <v>0</v>
      </c>
      <c r="DD155" s="36"/>
      <c r="DE155" s="19"/>
      <c r="DF155" s="274"/>
      <c r="DG155" s="231"/>
      <c r="DH155" s="37">
        <v>0</v>
      </c>
      <c r="DI155" s="36"/>
      <c r="DJ155" s="19"/>
      <c r="DK155" s="274"/>
      <c r="DL155" s="231"/>
      <c r="DM155" s="37">
        <v>0</v>
      </c>
      <c r="DN155" s="36"/>
      <c r="DO155" s="19"/>
      <c r="DP155" s="274"/>
      <c r="DQ155" s="231"/>
      <c r="DR155" s="37">
        <v>0</v>
      </c>
      <c r="DS155" s="36"/>
      <c r="DT155" s="19"/>
      <c r="DU155" s="274"/>
      <c r="DV155" s="231"/>
      <c r="DW155" s="37">
        <v>0</v>
      </c>
      <c r="DX155" s="36"/>
      <c r="DY155" s="19"/>
      <c r="DZ155" s="274"/>
      <c r="EA155" s="231"/>
      <c r="EB155" s="37">
        <v>0</v>
      </c>
      <c r="EC155" s="36"/>
      <c r="ED155" s="19"/>
      <c r="EE155" s="274"/>
      <c r="EF155" s="231"/>
      <c r="EG155" s="37">
        <v>0</v>
      </c>
      <c r="EH155" s="36"/>
      <c r="EI155" s="19"/>
      <c r="EJ155" s="274"/>
      <c r="EK155" s="231"/>
      <c r="EL155" s="37">
        <f>SUM(CD155:EG155)</f>
        <v>0</v>
      </c>
      <c r="EM155" s="158"/>
      <c r="EO155" s="244"/>
      <c r="EP155" s="451"/>
      <c r="EQ155" s="451"/>
    </row>
    <row r="156" spans="4:147" hidden="1" x14ac:dyDescent="0.2">
      <c r="D156" s="244"/>
      <c r="E156" s="82"/>
      <c r="G156" s="299"/>
      <c r="H156" s="299"/>
      <c r="I156" s="299"/>
      <c r="J156" s="403"/>
      <c r="K156" s="299"/>
      <c r="L156" s="299"/>
      <c r="M156" s="299"/>
      <c r="N156" s="299"/>
      <c r="O156" s="403"/>
      <c r="P156" s="299"/>
      <c r="Q156" s="299"/>
      <c r="R156" s="299"/>
      <c r="S156" s="299"/>
      <c r="T156" s="403"/>
      <c r="U156" s="299"/>
      <c r="V156" s="299"/>
      <c r="W156" s="299"/>
      <c r="X156" s="299"/>
      <c r="Y156" s="403"/>
      <c r="Z156" s="299"/>
      <c r="AA156" s="299"/>
      <c r="AB156" s="299"/>
      <c r="AC156" s="299"/>
      <c r="AD156" s="403"/>
      <c r="AE156" s="299"/>
      <c r="AF156" s="299"/>
      <c r="AG156" s="299"/>
      <c r="AH156" s="299"/>
      <c r="AI156" s="403"/>
      <c r="AJ156" s="299"/>
      <c r="AK156" s="299"/>
      <c r="AL156" s="299"/>
      <c r="AM156" s="299"/>
      <c r="AN156" s="403"/>
      <c r="AO156" s="299"/>
      <c r="AP156" s="299"/>
      <c r="AQ156" s="299"/>
      <c r="AR156" s="299"/>
      <c r="AS156" s="403"/>
      <c r="AT156" s="299"/>
      <c r="AU156" s="299"/>
      <c r="AV156" s="299"/>
      <c r="AW156" s="299"/>
      <c r="AX156" s="403"/>
      <c r="AY156" s="299"/>
      <c r="AZ156" s="299"/>
      <c r="BA156" s="299"/>
      <c r="BB156" s="299"/>
      <c r="BC156" s="403"/>
      <c r="BD156" s="299"/>
      <c r="BE156" s="299"/>
      <c r="BF156" s="299"/>
      <c r="BG156" s="299"/>
      <c r="BH156" s="403"/>
      <c r="BI156" s="299"/>
      <c r="BJ156" s="299"/>
      <c r="BK156" s="299"/>
      <c r="BL156" s="299"/>
      <c r="BM156" s="403"/>
      <c r="BN156" s="299"/>
      <c r="BO156" s="299"/>
      <c r="BP156" s="299"/>
      <c r="BQ156" s="299"/>
      <c r="BR156" s="403"/>
      <c r="BS156" s="299"/>
      <c r="BT156" s="19"/>
      <c r="BU156" s="19"/>
      <c r="BV156" s="19"/>
      <c r="BW156" s="274"/>
      <c r="BX156" s="19"/>
      <c r="BY156" s="299"/>
      <c r="BZ156" s="299"/>
      <c r="CA156" s="299"/>
      <c r="CB156" s="403"/>
      <c r="CC156" s="299"/>
      <c r="CD156" s="299"/>
      <c r="CE156" s="299"/>
      <c r="CF156" s="299"/>
      <c r="CG156" s="403"/>
      <c r="CH156" s="299"/>
      <c r="CI156" s="299"/>
      <c r="CJ156" s="299"/>
      <c r="CK156" s="299"/>
      <c r="CL156" s="403"/>
      <c r="CM156" s="299"/>
      <c r="CN156" s="299"/>
      <c r="CO156" s="299"/>
      <c r="CP156" s="299"/>
      <c r="CQ156" s="403"/>
      <c r="CR156" s="299"/>
      <c r="CS156" s="299"/>
      <c r="CT156" s="299"/>
      <c r="CU156" s="299"/>
      <c r="CV156" s="403"/>
      <c r="CW156" s="299"/>
      <c r="CX156" s="299"/>
      <c r="CY156" s="299"/>
      <c r="CZ156" s="299"/>
      <c r="DA156" s="403"/>
      <c r="DB156" s="299"/>
      <c r="DC156" s="299"/>
      <c r="DD156" s="299"/>
      <c r="DE156" s="299"/>
      <c r="DF156" s="403"/>
      <c r="DG156" s="299"/>
      <c r="DH156" s="299"/>
      <c r="DI156" s="299"/>
      <c r="DJ156" s="299"/>
      <c r="DK156" s="403"/>
      <c r="DL156" s="299"/>
      <c r="DM156" s="299"/>
      <c r="DN156" s="299"/>
      <c r="DO156" s="299"/>
      <c r="DP156" s="403"/>
      <c r="DQ156" s="299"/>
      <c r="DR156" s="299"/>
      <c r="DS156" s="299"/>
      <c r="DT156" s="299"/>
      <c r="DU156" s="403"/>
      <c r="DV156" s="299"/>
      <c r="DW156" s="299"/>
      <c r="DX156" s="299"/>
      <c r="DY156" s="299"/>
      <c r="DZ156" s="403"/>
      <c r="EA156" s="299"/>
      <c r="EB156" s="299"/>
      <c r="EC156" s="299"/>
      <c r="ED156" s="299"/>
      <c r="EE156" s="403"/>
      <c r="EF156" s="299"/>
      <c r="EG156" s="299"/>
      <c r="EH156" s="299"/>
      <c r="EI156" s="299"/>
      <c r="EJ156" s="403"/>
      <c r="EK156" s="299"/>
      <c r="EL156" s="19"/>
      <c r="EO156" s="244"/>
      <c r="EP156" s="451"/>
      <c r="EQ156" s="451"/>
    </row>
    <row r="157" spans="4:147" x14ac:dyDescent="0.2">
      <c r="D157" s="77"/>
      <c r="E157" s="361"/>
      <c r="F157" s="90"/>
      <c r="G157" s="197"/>
      <c r="H157" s="197"/>
      <c r="I157" s="197"/>
      <c r="J157" s="354"/>
      <c r="K157" s="197"/>
      <c r="L157" s="197"/>
      <c r="M157" s="197"/>
      <c r="N157" s="197"/>
      <c r="O157" s="354"/>
      <c r="P157" s="197"/>
      <c r="Q157" s="197"/>
      <c r="R157" s="197"/>
      <c r="S157" s="197"/>
      <c r="T157" s="354"/>
      <c r="U157" s="197"/>
      <c r="V157" s="197"/>
      <c r="W157" s="197"/>
      <c r="X157" s="197"/>
      <c r="Y157" s="354"/>
      <c r="Z157" s="197"/>
      <c r="AA157" s="197"/>
      <c r="AB157" s="197"/>
      <c r="AC157" s="197"/>
      <c r="AD157" s="354"/>
      <c r="AE157" s="197"/>
      <c r="AF157" s="197"/>
      <c r="AG157" s="197"/>
      <c r="AH157" s="197"/>
      <c r="AI157" s="354"/>
      <c r="AJ157" s="197"/>
      <c r="AK157" s="197"/>
      <c r="AL157" s="197"/>
      <c r="AM157" s="197"/>
      <c r="AN157" s="354"/>
      <c r="AO157" s="197"/>
      <c r="AP157" s="197"/>
      <c r="AQ157" s="197"/>
      <c r="AR157" s="197"/>
      <c r="AS157" s="354"/>
      <c r="AT157" s="197"/>
      <c r="AU157" s="197"/>
      <c r="AV157" s="197"/>
      <c r="AW157" s="197"/>
      <c r="AX157" s="354"/>
      <c r="AY157" s="197"/>
      <c r="AZ157" s="197"/>
      <c r="BA157" s="197"/>
      <c r="BB157" s="197"/>
      <c r="BC157" s="354"/>
      <c r="BD157" s="197"/>
      <c r="BE157" s="197"/>
      <c r="BF157" s="197"/>
      <c r="BG157" s="197"/>
      <c r="BH157" s="354"/>
      <c r="BI157" s="197"/>
      <c r="BJ157" s="197"/>
      <c r="BK157" s="197"/>
      <c r="BL157" s="197"/>
      <c r="BM157" s="354"/>
      <c r="BN157" s="197"/>
      <c r="BO157" s="197"/>
      <c r="BP157" s="197"/>
      <c r="BQ157" s="197"/>
      <c r="BR157" s="354"/>
      <c r="BS157" s="197"/>
      <c r="BT157" s="40"/>
      <c r="BU157" s="40"/>
      <c r="BV157" s="40"/>
      <c r="BW157" s="461"/>
      <c r="BX157" s="40"/>
      <c r="BY157" s="197"/>
      <c r="BZ157" s="197"/>
      <c r="CA157" s="197"/>
      <c r="CB157" s="354"/>
      <c r="CC157" s="197"/>
      <c r="CD157" s="197"/>
      <c r="CE157" s="197"/>
      <c r="CF157" s="197"/>
      <c r="CG157" s="354"/>
      <c r="CH157" s="197"/>
      <c r="CI157" s="197"/>
      <c r="CJ157" s="197"/>
      <c r="CK157" s="197"/>
      <c r="CL157" s="354"/>
      <c r="CM157" s="197"/>
      <c r="CN157" s="197"/>
      <c r="CO157" s="197"/>
      <c r="CP157" s="197"/>
      <c r="CQ157" s="354"/>
      <c r="CR157" s="197"/>
      <c r="CS157" s="197"/>
      <c r="CT157" s="197"/>
      <c r="CU157" s="197"/>
      <c r="CV157" s="354"/>
      <c r="CW157" s="197"/>
      <c r="CX157" s="197"/>
      <c r="CY157" s="197"/>
      <c r="CZ157" s="197"/>
      <c r="DA157" s="354"/>
      <c r="DB157" s="197"/>
      <c r="DC157" s="197"/>
      <c r="DD157" s="197"/>
      <c r="DE157" s="197"/>
      <c r="DF157" s="354"/>
      <c r="DG157" s="197"/>
      <c r="DH157" s="197"/>
      <c r="DI157" s="197"/>
      <c r="DJ157" s="197"/>
      <c r="DK157" s="354"/>
      <c r="DL157" s="197"/>
      <c r="DM157" s="197"/>
      <c r="DN157" s="197"/>
      <c r="DO157" s="197"/>
      <c r="DP157" s="354"/>
      <c r="DQ157" s="197"/>
      <c r="DR157" s="197"/>
      <c r="DS157" s="197"/>
      <c r="DT157" s="197"/>
      <c r="DU157" s="354"/>
      <c r="DV157" s="197"/>
      <c r="DW157" s="197"/>
      <c r="DX157" s="197"/>
      <c r="DY157" s="197"/>
      <c r="DZ157" s="354"/>
      <c r="EA157" s="197"/>
      <c r="EB157" s="197"/>
      <c r="EC157" s="197"/>
      <c r="ED157" s="197"/>
      <c r="EE157" s="354"/>
      <c r="EF157" s="197"/>
      <c r="EG157" s="197"/>
      <c r="EH157" s="197"/>
      <c r="EI157" s="197"/>
      <c r="EJ157" s="354"/>
      <c r="EK157" s="197"/>
      <c r="EL157" s="40"/>
      <c r="EM157" s="90"/>
      <c r="EN157" s="90"/>
      <c r="EO157" s="244"/>
      <c r="EP157" s="451"/>
      <c r="EQ157" s="451"/>
    </row>
    <row r="158" spans="4:147" x14ac:dyDescent="0.2">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455"/>
      <c r="AE158" s="455"/>
      <c r="AF158" s="455"/>
      <c r="AG158" s="455"/>
      <c r="AH158" s="455"/>
      <c r="AI158" s="455"/>
      <c r="AJ158" s="455"/>
      <c r="AK158" s="455"/>
      <c r="AL158" s="455"/>
      <c r="AM158" s="455"/>
      <c r="AN158" s="455"/>
      <c r="AO158" s="455"/>
      <c r="AP158" s="455"/>
      <c r="AQ158" s="455"/>
      <c r="AR158" s="455"/>
      <c r="AS158" s="455"/>
      <c r="AT158" s="455"/>
      <c r="AU158" s="455"/>
      <c r="AV158" s="455"/>
      <c r="AW158" s="455"/>
      <c r="AX158" s="455"/>
      <c r="AY158" s="455"/>
      <c r="AZ158" s="455"/>
      <c r="BA158" s="455"/>
      <c r="BB158" s="455"/>
      <c r="BC158" s="455"/>
      <c r="BD158" s="455"/>
      <c r="BE158" s="455"/>
      <c r="BF158" s="455"/>
      <c r="BG158" s="455"/>
      <c r="BH158" s="455"/>
      <c r="BI158" s="455"/>
      <c r="BJ158" s="455"/>
      <c r="BK158" s="455"/>
      <c r="BL158" s="455"/>
      <c r="BM158" s="455"/>
      <c r="BN158" s="455"/>
      <c r="BO158" s="455"/>
      <c r="BP158" s="455"/>
      <c r="BQ158" s="455"/>
      <c r="BR158" s="455"/>
      <c r="BS158" s="455"/>
      <c r="BT158" s="249"/>
      <c r="BU158" s="249"/>
      <c r="BV158" s="249"/>
      <c r="BW158" s="249"/>
      <c r="BX158" s="249"/>
      <c r="BY158" s="249"/>
      <c r="BZ158" s="249"/>
      <c r="CA158" s="249"/>
      <c r="CB158" s="249"/>
      <c r="CC158" s="249"/>
      <c r="CD158" s="455"/>
      <c r="CE158" s="455"/>
      <c r="CF158" s="455"/>
      <c r="CG158" s="455"/>
      <c r="CH158" s="455"/>
      <c r="CI158" s="455"/>
      <c r="CJ158" s="455"/>
      <c r="CK158" s="455"/>
      <c r="CL158" s="455"/>
      <c r="CM158" s="455"/>
      <c r="CN158" s="455"/>
      <c r="CO158" s="455"/>
      <c r="CP158" s="455"/>
      <c r="CQ158" s="455"/>
      <c r="CR158" s="455"/>
      <c r="CS158" s="455"/>
      <c r="CT158" s="455"/>
      <c r="CU158" s="455"/>
      <c r="CV158" s="455"/>
      <c r="CW158" s="299"/>
      <c r="CX158" s="299"/>
      <c r="CY158" s="299"/>
      <c r="CZ158" s="299"/>
      <c r="DA158" s="299"/>
      <c r="DB158" s="299"/>
      <c r="DC158" s="299"/>
      <c r="DD158" s="299"/>
      <c r="DE158" s="299"/>
      <c r="DF158" s="299"/>
      <c r="DG158" s="299"/>
      <c r="DH158" s="299"/>
      <c r="DI158" s="299"/>
      <c r="DJ158" s="299"/>
      <c r="DK158" s="299"/>
      <c r="DL158" s="299"/>
      <c r="DM158" s="299"/>
      <c r="DN158" s="299"/>
      <c r="DO158" s="299"/>
      <c r="DP158" s="299"/>
      <c r="DQ158" s="299"/>
      <c r="DR158" s="299"/>
      <c r="DS158" s="299"/>
      <c r="DT158" s="299"/>
      <c r="DU158" s="299"/>
      <c r="DV158" s="299"/>
      <c r="DW158" s="299"/>
      <c r="DX158" s="299"/>
      <c r="DY158" s="299"/>
      <c r="DZ158" s="299"/>
      <c r="EA158" s="299"/>
      <c r="EB158" s="299"/>
      <c r="EC158" s="299"/>
      <c r="ED158" s="299"/>
      <c r="EE158" s="299"/>
      <c r="EF158" s="299"/>
      <c r="EG158" s="299"/>
      <c r="EH158" s="299"/>
      <c r="EI158" s="299"/>
      <c r="EJ158" s="299"/>
      <c r="EK158" s="299"/>
      <c r="EL158" s="19"/>
    </row>
    <row r="159" spans="4:147" x14ac:dyDescent="0.2">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19"/>
      <c r="BU159" s="19"/>
      <c r="BV159" s="19"/>
      <c r="BW159" s="19"/>
      <c r="BX159" s="19"/>
      <c r="BY159" s="19"/>
      <c r="BZ159" s="19"/>
      <c r="CA159" s="19"/>
      <c r="CB159" s="19"/>
      <c r="CC159" s="1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19"/>
    </row>
    <row r="160" spans="4:147" x14ac:dyDescent="0.2">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19"/>
      <c r="BU160" s="19"/>
      <c r="BV160" s="19"/>
      <c r="BW160" s="19"/>
      <c r="BX160" s="19"/>
      <c r="BY160" s="19"/>
      <c r="BZ160" s="19"/>
      <c r="CA160" s="19"/>
      <c r="CB160" s="19"/>
      <c r="CC160" s="19"/>
      <c r="CD160" s="299"/>
      <c r="CE160" s="299"/>
      <c r="CF160" s="299"/>
      <c r="CG160" s="299"/>
      <c r="CH160" s="299"/>
      <c r="CI160" s="299"/>
      <c r="CJ160" s="299"/>
      <c r="CK160" s="299"/>
      <c r="CL160" s="299"/>
      <c r="CM160" s="299"/>
      <c r="CN160" s="299"/>
      <c r="CO160" s="299"/>
      <c r="CP160" s="299"/>
      <c r="CQ160" s="299"/>
      <c r="CR160" s="299"/>
      <c r="CS160" s="299"/>
      <c r="CT160" s="299"/>
      <c r="CU160" s="299"/>
      <c r="CV160" s="299"/>
      <c r="CW160" s="299"/>
      <c r="CX160" s="299"/>
      <c r="CY160" s="299"/>
      <c r="CZ160" s="299"/>
      <c r="DA160" s="299"/>
      <c r="DB160" s="299"/>
      <c r="DC160" s="299"/>
      <c r="DD160" s="299"/>
      <c r="DE160" s="299"/>
      <c r="DF160" s="299"/>
      <c r="DG160" s="299"/>
      <c r="DH160" s="299"/>
      <c r="DI160" s="299"/>
      <c r="DJ160" s="299"/>
      <c r="DK160" s="299"/>
      <c r="DL160" s="299"/>
      <c r="DM160" s="299"/>
      <c r="DN160" s="299"/>
      <c r="DO160" s="299"/>
      <c r="DP160" s="299"/>
      <c r="DQ160" s="299"/>
      <c r="DR160" s="299"/>
      <c r="DS160" s="299"/>
      <c r="DT160" s="299"/>
      <c r="DU160" s="299"/>
      <c r="DV160" s="299"/>
      <c r="DW160" s="299"/>
      <c r="DX160" s="299"/>
      <c r="DY160" s="299"/>
      <c r="DZ160" s="299"/>
      <c r="EA160" s="299"/>
      <c r="EB160" s="299"/>
      <c r="EC160" s="299"/>
      <c r="ED160" s="299"/>
      <c r="EE160" s="299"/>
      <c r="EF160" s="299"/>
      <c r="EG160" s="299"/>
      <c r="EH160" s="299"/>
      <c r="EI160" s="299"/>
      <c r="EJ160" s="299"/>
      <c r="EK160" s="299"/>
      <c r="EL160" s="19"/>
    </row>
    <row r="166" spans="142:142" x14ac:dyDescent="0.2">
      <c r="EL166" s="19"/>
    </row>
  </sheetData>
  <mergeCells count="2">
    <mergeCell ref="G8:BT8"/>
    <mergeCell ref="BY8:EL8"/>
  </mergeCells>
  <pageMargins left="0.7" right="0.7" top="0.75" bottom="0.75" header="0.3" footer="0.3"/>
  <pageSetup paperSize="9" scale="4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R191"/>
  <sheetViews>
    <sheetView view="pageBreakPreview" topLeftCell="A130" zoomScale="110" zoomScaleNormal="100" zoomScaleSheetLayoutView="110" workbookViewId="0">
      <selection activeCell="BZ77" sqref="BZ77"/>
    </sheetView>
  </sheetViews>
  <sheetFormatPr defaultColWidth="10" defaultRowHeight="12.75" x14ac:dyDescent="0.2"/>
  <cols>
    <col min="1" max="1" width="1.85546875" style="12" customWidth="1"/>
    <col min="2" max="2" width="1" style="12" customWidth="1"/>
    <col min="3" max="3" width="0.85546875" style="12" customWidth="1"/>
    <col min="4" max="4" width="58.28515625" style="12" customWidth="1"/>
    <col min="5" max="6" width="1" style="12" customWidth="1"/>
    <col min="7" max="7" width="16.85546875" style="12" customWidth="1"/>
    <col min="8" max="9" width="1" style="12" customWidth="1"/>
    <col min="10" max="11" width="1" style="12" hidden="1" customWidth="1"/>
    <col min="12" max="12" width="17.85546875" style="12" hidden="1" customWidth="1"/>
    <col min="13" max="16" width="1" style="12" hidden="1" customWidth="1"/>
    <col min="17" max="17" width="17.85546875" style="12" hidden="1" customWidth="1"/>
    <col min="18" max="21" width="1" style="12" hidden="1" customWidth="1"/>
    <col min="22" max="22" width="17.85546875" style="12" hidden="1" customWidth="1"/>
    <col min="23" max="26" width="1" style="12" hidden="1" customWidth="1"/>
    <col min="27" max="27" width="17.85546875" style="12" hidden="1" customWidth="1"/>
    <col min="28" max="31" width="1" style="12" hidden="1" customWidth="1"/>
    <col min="32" max="32" width="17.85546875" style="12" hidden="1" customWidth="1"/>
    <col min="33" max="36" width="1" style="12" hidden="1" customWidth="1"/>
    <col min="37" max="37" width="17.85546875" style="12" hidden="1" customWidth="1"/>
    <col min="38" max="41" width="1" style="12" hidden="1" customWidth="1"/>
    <col min="42" max="42" width="17.85546875" style="12" hidden="1" customWidth="1"/>
    <col min="43" max="46" width="1" style="12" hidden="1" customWidth="1"/>
    <col min="47" max="47" width="15.7109375" style="12" hidden="1" customWidth="1"/>
    <col min="48" max="51" width="1" style="12" hidden="1" customWidth="1"/>
    <col min="52" max="52" width="17.85546875" style="12" hidden="1" customWidth="1"/>
    <col min="53" max="56" width="1" style="12" hidden="1" customWidth="1"/>
    <col min="57" max="57" width="17.85546875" style="12" hidden="1" customWidth="1"/>
    <col min="58" max="61" width="1" style="12" hidden="1" customWidth="1"/>
    <col min="62" max="62" width="17.85546875" style="12" hidden="1" customWidth="1"/>
    <col min="63" max="64" width="1" style="12" hidden="1" customWidth="1"/>
    <col min="65" max="66" width="1" style="12" customWidth="1"/>
    <col min="67" max="67" width="17.85546875" style="12" customWidth="1"/>
    <col min="68" max="71" width="1" style="12" customWidth="1"/>
    <col min="72" max="72" width="16.140625" style="12" customWidth="1"/>
    <col min="73" max="76" width="1" style="12" customWidth="1"/>
    <col min="77" max="77" width="15.140625" style="12" customWidth="1"/>
    <col min="78" max="79" width="1" style="12" customWidth="1"/>
    <col min="80" max="81" width="1" style="12" hidden="1" customWidth="1"/>
    <col min="82" max="82" width="17.85546875" style="12" hidden="1" customWidth="1"/>
    <col min="83" max="86" width="1" style="12" hidden="1" customWidth="1"/>
    <col min="87" max="87" width="17.85546875" style="12" hidden="1" customWidth="1"/>
    <col min="88" max="91" width="1" style="12" hidden="1" customWidth="1"/>
    <col min="92" max="92" width="17.85546875" style="12" hidden="1" customWidth="1"/>
    <col min="93" max="96" width="1" style="12" hidden="1" customWidth="1"/>
    <col min="97" max="97" width="17.85546875" style="12" hidden="1" customWidth="1"/>
    <col min="98" max="101" width="1" style="12" hidden="1" customWidth="1"/>
    <col min="102" max="102" width="17.85546875" style="12" hidden="1" customWidth="1"/>
    <col min="103" max="106" width="1" style="12" hidden="1" customWidth="1"/>
    <col min="107" max="107" width="17.85546875" style="12" hidden="1" customWidth="1"/>
    <col min="108" max="111" width="1" style="12" hidden="1" customWidth="1"/>
    <col min="112" max="112" width="17.85546875" style="12" hidden="1" customWidth="1"/>
    <col min="113" max="116" width="1" style="12" hidden="1" customWidth="1"/>
    <col min="117" max="117" width="16" style="12" hidden="1" customWidth="1"/>
    <col min="118" max="121" width="1" style="12" hidden="1" customWidth="1"/>
    <col min="122" max="122" width="17.85546875" style="12" hidden="1" customWidth="1"/>
    <col min="123" max="126" width="1" style="12" hidden="1" customWidth="1"/>
    <col min="127" max="127" width="17.85546875" style="12" hidden="1" customWidth="1"/>
    <col min="128" max="131" width="1" style="12" hidden="1" customWidth="1"/>
    <col min="132" max="132" width="17.85546875" style="12" hidden="1" customWidth="1"/>
    <col min="133" max="134" width="1" style="12" hidden="1" customWidth="1"/>
    <col min="135" max="136" width="1" style="12" customWidth="1"/>
    <col min="137" max="137" width="17.85546875" style="12" customWidth="1"/>
    <col min="138" max="141" width="1" style="12" customWidth="1"/>
    <col min="142" max="142" width="15.7109375" style="12" customWidth="1"/>
    <col min="143" max="144" width="1" style="12" customWidth="1"/>
    <col min="145" max="145" width="0.7109375" style="12" customWidth="1"/>
    <col min="146" max="146" width="3.28515625" style="12" customWidth="1"/>
    <col min="147" max="147" width="10" style="12"/>
    <col min="148" max="148" width="10.42578125" style="12" bestFit="1" customWidth="1"/>
    <col min="149" max="256" width="10" style="12"/>
    <col min="257" max="257" width="1.85546875" style="12" customWidth="1"/>
    <col min="258" max="258" width="1" style="12" customWidth="1"/>
    <col min="259" max="259" width="0.85546875" style="12" customWidth="1"/>
    <col min="260" max="260" width="58.28515625" style="12" customWidth="1"/>
    <col min="261" max="262" width="1" style="12" customWidth="1"/>
    <col min="263" max="263" width="16.85546875" style="12" customWidth="1"/>
    <col min="264" max="265" width="1" style="12" customWidth="1"/>
    <col min="266" max="320" width="0" style="12" hidden="1" customWidth="1"/>
    <col min="321" max="322" width="1" style="12" customWidth="1"/>
    <col min="323" max="323" width="17.85546875" style="12" customWidth="1"/>
    <col min="324" max="327" width="1" style="12" customWidth="1"/>
    <col min="328" max="328" width="16.140625" style="12" customWidth="1"/>
    <col min="329" max="332" width="1" style="12" customWidth="1"/>
    <col min="333" max="333" width="15.140625" style="12" customWidth="1"/>
    <col min="334" max="335" width="1" style="12" customWidth="1"/>
    <col min="336" max="390" width="0" style="12" hidden="1" customWidth="1"/>
    <col min="391" max="392" width="1" style="12" customWidth="1"/>
    <col min="393" max="393" width="17.85546875" style="12" customWidth="1"/>
    <col min="394" max="397" width="1" style="12" customWidth="1"/>
    <col min="398" max="398" width="15.7109375" style="12" customWidth="1"/>
    <col min="399" max="400" width="1" style="12" customWidth="1"/>
    <col min="401" max="401" width="0.7109375" style="12" customWidth="1"/>
    <col min="402" max="402" width="3.28515625" style="12" customWidth="1"/>
    <col min="403" max="403" width="10" style="12"/>
    <col min="404" max="404" width="10.42578125" style="12" bestFit="1" customWidth="1"/>
    <col min="405" max="512" width="10" style="12"/>
    <col min="513" max="513" width="1.85546875" style="12" customWidth="1"/>
    <col min="514" max="514" width="1" style="12" customWidth="1"/>
    <col min="515" max="515" width="0.85546875" style="12" customWidth="1"/>
    <col min="516" max="516" width="58.28515625" style="12" customWidth="1"/>
    <col min="517" max="518" width="1" style="12" customWidth="1"/>
    <col min="519" max="519" width="16.85546875" style="12" customWidth="1"/>
    <col min="520" max="521" width="1" style="12" customWidth="1"/>
    <col min="522" max="576" width="0" style="12" hidden="1" customWidth="1"/>
    <col min="577" max="578" width="1" style="12" customWidth="1"/>
    <col min="579" max="579" width="17.85546875" style="12" customWidth="1"/>
    <col min="580" max="583" width="1" style="12" customWidth="1"/>
    <col min="584" max="584" width="16.140625" style="12" customWidth="1"/>
    <col min="585" max="588" width="1" style="12" customWidth="1"/>
    <col min="589" max="589" width="15.140625" style="12" customWidth="1"/>
    <col min="590" max="591" width="1" style="12" customWidth="1"/>
    <col min="592" max="646" width="0" style="12" hidden="1" customWidth="1"/>
    <col min="647" max="648" width="1" style="12" customWidth="1"/>
    <col min="649" max="649" width="17.85546875" style="12" customWidth="1"/>
    <col min="650" max="653" width="1" style="12" customWidth="1"/>
    <col min="654" max="654" width="15.7109375" style="12" customWidth="1"/>
    <col min="655" max="656" width="1" style="12" customWidth="1"/>
    <col min="657" max="657" width="0.7109375" style="12" customWidth="1"/>
    <col min="658" max="658" width="3.28515625" style="12" customWidth="1"/>
    <col min="659" max="659" width="10" style="12"/>
    <col min="660" max="660" width="10.42578125" style="12" bestFit="1" customWidth="1"/>
    <col min="661" max="768" width="10" style="12"/>
    <col min="769" max="769" width="1.85546875" style="12" customWidth="1"/>
    <col min="770" max="770" width="1" style="12" customWidth="1"/>
    <col min="771" max="771" width="0.85546875" style="12" customWidth="1"/>
    <col min="772" max="772" width="58.28515625" style="12" customWidth="1"/>
    <col min="773" max="774" width="1" style="12" customWidth="1"/>
    <col min="775" max="775" width="16.85546875" style="12" customWidth="1"/>
    <col min="776" max="777" width="1" style="12" customWidth="1"/>
    <col min="778" max="832" width="0" style="12" hidden="1" customWidth="1"/>
    <col min="833" max="834" width="1" style="12" customWidth="1"/>
    <col min="835" max="835" width="17.85546875" style="12" customWidth="1"/>
    <col min="836" max="839" width="1" style="12" customWidth="1"/>
    <col min="840" max="840" width="16.140625" style="12" customWidth="1"/>
    <col min="841" max="844" width="1" style="12" customWidth="1"/>
    <col min="845" max="845" width="15.140625" style="12" customWidth="1"/>
    <col min="846" max="847" width="1" style="12" customWidth="1"/>
    <col min="848" max="902" width="0" style="12" hidden="1" customWidth="1"/>
    <col min="903" max="904" width="1" style="12" customWidth="1"/>
    <col min="905" max="905" width="17.85546875" style="12" customWidth="1"/>
    <col min="906" max="909" width="1" style="12" customWidth="1"/>
    <col min="910" max="910" width="15.7109375" style="12" customWidth="1"/>
    <col min="911" max="912" width="1" style="12" customWidth="1"/>
    <col min="913" max="913" width="0.7109375" style="12" customWidth="1"/>
    <col min="914" max="914" width="3.28515625" style="12" customWidth="1"/>
    <col min="915" max="915" width="10" style="12"/>
    <col min="916" max="916" width="10.42578125" style="12" bestFit="1" customWidth="1"/>
    <col min="917" max="1024" width="10" style="12"/>
    <col min="1025" max="1025" width="1.85546875" style="12" customWidth="1"/>
    <col min="1026" max="1026" width="1" style="12" customWidth="1"/>
    <col min="1027" max="1027" width="0.85546875" style="12" customWidth="1"/>
    <col min="1028" max="1028" width="58.28515625" style="12" customWidth="1"/>
    <col min="1029" max="1030" width="1" style="12" customWidth="1"/>
    <col min="1031" max="1031" width="16.85546875" style="12" customWidth="1"/>
    <col min="1032" max="1033" width="1" style="12" customWidth="1"/>
    <col min="1034" max="1088" width="0" style="12" hidden="1" customWidth="1"/>
    <col min="1089" max="1090" width="1" style="12" customWidth="1"/>
    <col min="1091" max="1091" width="17.85546875" style="12" customWidth="1"/>
    <col min="1092" max="1095" width="1" style="12" customWidth="1"/>
    <col min="1096" max="1096" width="16.140625" style="12" customWidth="1"/>
    <col min="1097" max="1100" width="1" style="12" customWidth="1"/>
    <col min="1101" max="1101" width="15.140625" style="12" customWidth="1"/>
    <col min="1102" max="1103" width="1" style="12" customWidth="1"/>
    <col min="1104" max="1158" width="0" style="12" hidden="1" customWidth="1"/>
    <col min="1159" max="1160" width="1" style="12" customWidth="1"/>
    <col min="1161" max="1161" width="17.85546875" style="12" customWidth="1"/>
    <col min="1162" max="1165" width="1" style="12" customWidth="1"/>
    <col min="1166" max="1166" width="15.7109375" style="12" customWidth="1"/>
    <col min="1167" max="1168" width="1" style="12" customWidth="1"/>
    <col min="1169" max="1169" width="0.7109375" style="12" customWidth="1"/>
    <col min="1170" max="1170" width="3.28515625" style="12" customWidth="1"/>
    <col min="1171" max="1171" width="10" style="12"/>
    <col min="1172" max="1172" width="10.42578125" style="12" bestFit="1" customWidth="1"/>
    <col min="1173" max="1280" width="10" style="12"/>
    <col min="1281" max="1281" width="1.85546875" style="12" customWidth="1"/>
    <col min="1282" max="1282" width="1" style="12" customWidth="1"/>
    <col min="1283" max="1283" width="0.85546875" style="12" customWidth="1"/>
    <col min="1284" max="1284" width="58.28515625" style="12" customWidth="1"/>
    <col min="1285" max="1286" width="1" style="12" customWidth="1"/>
    <col min="1287" max="1287" width="16.85546875" style="12" customWidth="1"/>
    <col min="1288" max="1289" width="1" style="12" customWidth="1"/>
    <col min="1290" max="1344" width="0" style="12" hidden="1" customWidth="1"/>
    <col min="1345" max="1346" width="1" style="12" customWidth="1"/>
    <col min="1347" max="1347" width="17.85546875" style="12" customWidth="1"/>
    <col min="1348" max="1351" width="1" style="12" customWidth="1"/>
    <col min="1352" max="1352" width="16.140625" style="12" customWidth="1"/>
    <col min="1353" max="1356" width="1" style="12" customWidth="1"/>
    <col min="1357" max="1357" width="15.140625" style="12" customWidth="1"/>
    <col min="1358" max="1359" width="1" style="12" customWidth="1"/>
    <col min="1360" max="1414" width="0" style="12" hidden="1" customWidth="1"/>
    <col min="1415" max="1416" width="1" style="12" customWidth="1"/>
    <col min="1417" max="1417" width="17.85546875" style="12" customWidth="1"/>
    <col min="1418" max="1421" width="1" style="12" customWidth="1"/>
    <col min="1422" max="1422" width="15.7109375" style="12" customWidth="1"/>
    <col min="1423" max="1424" width="1" style="12" customWidth="1"/>
    <col min="1425" max="1425" width="0.7109375" style="12" customWidth="1"/>
    <col min="1426" max="1426" width="3.28515625" style="12" customWidth="1"/>
    <col min="1427" max="1427" width="10" style="12"/>
    <col min="1428" max="1428" width="10.42578125" style="12" bestFit="1" customWidth="1"/>
    <col min="1429" max="1536" width="10" style="12"/>
    <col min="1537" max="1537" width="1.85546875" style="12" customWidth="1"/>
    <col min="1538" max="1538" width="1" style="12" customWidth="1"/>
    <col min="1539" max="1539" width="0.85546875" style="12" customWidth="1"/>
    <col min="1540" max="1540" width="58.28515625" style="12" customWidth="1"/>
    <col min="1541" max="1542" width="1" style="12" customWidth="1"/>
    <col min="1543" max="1543" width="16.85546875" style="12" customWidth="1"/>
    <col min="1544" max="1545" width="1" style="12" customWidth="1"/>
    <col min="1546" max="1600" width="0" style="12" hidden="1" customWidth="1"/>
    <col min="1601" max="1602" width="1" style="12" customWidth="1"/>
    <col min="1603" max="1603" width="17.85546875" style="12" customWidth="1"/>
    <col min="1604" max="1607" width="1" style="12" customWidth="1"/>
    <col min="1608" max="1608" width="16.140625" style="12" customWidth="1"/>
    <col min="1609" max="1612" width="1" style="12" customWidth="1"/>
    <col min="1613" max="1613" width="15.140625" style="12" customWidth="1"/>
    <col min="1614" max="1615" width="1" style="12" customWidth="1"/>
    <col min="1616" max="1670" width="0" style="12" hidden="1" customWidth="1"/>
    <col min="1671" max="1672" width="1" style="12" customWidth="1"/>
    <col min="1673" max="1673" width="17.85546875" style="12" customWidth="1"/>
    <col min="1674" max="1677" width="1" style="12" customWidth="1"/>
    <col min="1678" max="1678" width="15.7109375" style="12" customWidth="1"/>
    <col min="1679" max="1680" width="1" style="12" customWidth="1"/>
    <col min="1681" max="1681" width="0.7109375" style="12" customWidth="1"/>
    <col min="1682" max="1682" width="3.28515625" style="12" customWidth="1"/>
    <col min="1683" max="1683" width="10" style="12"/>
    <col min="1684" max="1684" width="10.42578125" style="12" bestFit="1" customWidth="1"/>
    <col min="1685" max="1792" width="10" style="12"/>
    <col min="1793" max="1793" width="1.85546875" style="12" customWidth="1"/>
    <col min="1794" max="1794" width="1" style="12" customWidth="1"/>
    <col min="1795" max="1795" width="0.85546875" style="12" customWidth="1"/>
    <col min="1796" max="1796" width="58.28515625" style="12" customWidth="1"/>
    <col min="1797" max="1798" width="1" style="12" customWidth="1"/>
    <col min="1799" max="1799" width="16.85546875" style="12" customWidth="1"/>
    <col min="1800" max="1801" width="1" style="12" customWidth="1"/>
    <col min="1802" max="1856" width="0" style="12" hidden="1" customWidth="1"/>
    <col min="1857" max="1858" width="1" style="12" customWidth="1"/>
    <col min="1859" max="1859" width="17.85546875" style="12" customWidth="1"/>
    <col min="1860" max="1863" width="1" style="12" customWidth="1"/>
    <col min="1864" max="1864" width="16.140625" style="12" customWidth="1"/>
    <col min="1865" max="1868" width="1" style="12" customWidth="1"/>
    <col min="1869" max="1869" width="15.140625" style="12" customWidth="1"/>
    <col min="1870" max="1871" width="1" style="12" customWidth="1"/>
    <col min="1872" max="1926" width="0" style="12" hidden="1" customWidth="1"/>
    <col min="1927" max="1928" width="1" style="12" customWidth="1"/>
    <col min="1929" max="1929" width="17.85546875" style="12" customWidth="1"/>
    <col min="1930" max="1933" width="1" style="12" customWidth="1"/>
    <col min="1934" max="1934" width="15.7109375" style="12" customWidth="1"/>
    <col min="1935" max="1936" width="1" style="12" customWidth="1"/>
    <col min="1937" max="1937" width="0.7109375" style="12" customWidth="1"/>
    <col min="1938" max="1938" width="3.28515625" style="12" customWidth="1"/>
    <col min="1939" max="1939" width="10" style="12"/>
    <col min="1940" max="1940" width="10.42578125" style="12" bestFit="1" customWidth="1"/>
    <col min="1941" max="2048" width="10" style="12"/>
    <col min="2049" max="2049" width="1.85546875" style="12" customWidth="1"/>
    <col min="2050" max="2050" width="1" style="12" customWidth="1"/>
    <col min="2051" max="2051" width="0.85546875" style="12" customWidth="1"/>
    <col min="2052" max="2052" width="58.28515625" style="12" customWidth="1"/>
    <col min="2053" max="2054" width="1" style="12" customWidth="1"/>
    <col min="2055" max="2055" width="16.85546875" style="12" customWidth="1"/>
    <col min="2056" max="2057" width="1" style="12" customWidth="1"/>
    <col min="2058" max="2112" width="0" style="12" hidden="1" customWidth="1"/>
    <col min="2113" max="2114" width="1" style="12" customWidth="1"/>
    <col min="2115" max="2115" width="17.85546875" style="12" customWidth="1"/>
    <col min="2116" max="2119" width="1" style="12" customWidth="1"/>
    <col min="2120" max="2120" width="16.140625" style="12" customWidth="1"/>
    <col min="2121" max="2124" width="1" style="12" customWidth="1"/>
    <col min="2125" max="2125" width="15.140625" style="12" customWidth="1"/>
    <col min="2126" max="2127" width="1" style="12" customWidth="1"/>
    <col min="2128" max="2182" width="0" style="12" hidden="1" customWidth="1"/>
    <col min="2183" max="2184" width="1" style="12" customWidth="1"/>
    <col min="2185" max="2185" width="17.85546875" style="12" customWidth="1"/>
    <col min="2186" max="2189" width="1" style="12" customWidth="1"/>
    <col min="2190" max="2190" width="15.7109375" style="12" customWidth="1"/>
    <col min="2191" max="2192" width="1" style="12" customWidth="1"/>
    <col min="2193" max="2193" width="0.7109375" style="12" customWidth="1"/>
    <col min="2194" max="2194" width="3.28515625" style="12" customWidth="1"/>
    <col min="2195" max="2195" width="10" style="12"/>
    <col min="2196" max="2196" width="10.42578125" style="12" bestFit="1" customWidth="1"/>
    <col min="2197" max="2304" width="10" style="12"/>
    <col min="2305" max="2305" width="1.85546875" style="12" customWidth="1"/>
    <col min="2306" max="2306" width="1" style="12" customWidth="1"/>
    <col min="2307" max="2307" width="0.85546875" style="12" customWidth="1"/>
    <col min="2308" max="2308" width="58.28515625" style="12" customWidth="1"/>
    <col min="2309" max="2310" width="1" style="12" customWidth="1"/>
    <col min="2311" max="2311" width="16.85546875" style="12" customWidth="1"/>
    <col min="2312" max="2313" width="1" style="12" customWidth="1"/>
    <col min="2314" max="2368" width="0" style="12" hidden="1" customWidth="1"/>
    <col min="2369" max="2370" width="1" style="12" customWidth="1"/>
    <col min="2371" max="2371" width="17.85546875" style="12" customWidth="1"/>
    <col min="2372" max="2375" width="1" style="12" customWidth="1"/>
    <col min="2376" max="2376" width="16.140625" style="12" customWidth="1"/>
    <col min="2377" max="2380" width="1" style="12" customWidth="1"/>
    <col min="2381" max="2381" width="15.140625" style="12" customWidth="1"/>
    <col min="2382" max="2383" width="1" style="12" customWidth="1"/>
    <col min="2384" max="2438" width="0" style="12" hidden="1" customWidth="1"/>
    <col min="2439" max="2440" width="1" style="12" customWidth="1"/>
    <col min="2441" max="2441" width="17.85546875" style="12" customWidth="1"/>
    <col min="2442" max="2445" width="1" style="12" customWidth="1"/>
    <col min="2446" max="2446" width="15.7109375" style="12" customWidth="1"/>
    <col min="2447" max="2448" width="1" style="12" customWidth="1"/>
    <col min="2449" max="2449" width="0.7109375" style="12" customWidth="1"/>
    <col min="2450" max="2450" width="3.28515625" style="12" customWidth="1"/>
    <col min="2451" max="2451" width="10" style="12"/>
    <col min="2452" max="2452" width="10.42578125" style="12" bestFit="1" customWidth="1"/>
    <col min="2453" max="2560" width="10" style="12"/>
    <col min="2561" max="2561" width="1.85546875" style="12" customWidth="1"/>
    <col min="2562" max="2562" width="1" style="12" customWidth="1"/>
    <col min="2563" max="2563" width="0.85546875" style="12" customWidth="1"/>
    <col min="2564" max="2564" width="58.28515625" style="12" customWidth="1"/>
    <col min="2565" max="2566" width="1" style="12" customWidth="1"/>
    <col min="2567" max="2567" width="16.85546875" style="12" customWidth="1"/>
    <col min="2568" max="2569" width="1" style="12" customWidth="1"/>
    <col min="2570" max="2624" width="0" style="12" hidden="1" customWidth="1"/>
    <col min="2625" max="2626" width="1" style="12" customWidth="1"/>
    <col min="2627" max="2627" width="17.85546875" style="12" customWidth="1"/>
    <col min="2628" max="2631" width="1" style="12" customWidth="1"/>
    <col min="2632" max="2632" width="16.140625" style="12" customWidth="1"/>
    <col min="2633" max="2636" width="1" style="12" customWidth="1"/>
    <col min="2637" max="2637" width="15.140625" style="12" customWidth="1"/>
    <col min="2638" max="2639" width="1" style="12" customWidth="1"/>
    <col min="2640" max="2694" width="0" style="12" hidden="1" customWidth="1"/>
    <col min="2695" max="2696" width="1" style="12" customWidth="1"/>
    <col min="2697" max="2697" width="17.85546875" style="12" customWidth="1"/>
    <col min="2698" max="2701" width="1" style="12" customWidth="1"/>
    <col min="2702" max="2702" width="15.7109375" style="12" customWidth="1"/>
    <col min="2703" max="2704" width="1" style="12" customWidth="1"/>
    <col min="2705" max="2705" width="0.7109375" style="12" customWidth="1"/>
    <col min="2706" max="2706" width="3.28515625" style="12" customWidth="1"/>
    <col min="2707" max="2707" width="10" style="12"/>
    <col min="2708" max="2708" width="10.42578125" style="12" bestFit="1" customWidth="1"/>
    <col min="2709" max="2816" width="10" style="12"/>
    <col min="2817" max="2817" width="1.85546875" style="12" customWidth="1"/>
    <col min="2818" max="2818" width="1" style="12" customWidth="1"/>
    <col min="2819" max="2819" width="0.85546875" style="12" customWidth="1"/>
    <col min="2820" max="2820" width="58.28515625" style="12" customWidth="1"/>
    <col min="2821" max="2822" width="1" style="12" customWidth="1"/>
    <col min="2823" max="2823" width="16.85546875" style="12" customWidth="1"/>
    <col min="2824" max="2825" width="1" style="12" customWidth="1"/>
    <col min="2826" max="2880" width="0" style="12" hidden="1" customWidth="1"/>
    <col min="2881" max="2882" width="1" style="12" customWidth="1"/>
    <col min="2883" max="2883" width="17.85546875" style="12" customWidth="1"/>
    <col min="2884" max="2887" width="1" style="12" customWidth="1"/>
    <col min="2888" max="2888" width="16.140625" style="12" customWidth="1"/>
    <col min="2889" max="2892" width="1" style="12" customWidth="1"/>
    <col min="2893" max="2893" width="15.140625" style="12" customWidth="1"/>
    <col min="2894" max="2895" width="1" style="12" customWidth="1"/>
    <col min="2896" max="2950" width="0" style="12" hidden="1" customWidth="1"/>
    <col min="2951" max="2952" width="1" style="12" customWidth="1"/>
    <col min="2953" max="2953" width="17.85546875" style="12" customWidth="1"/>
    <col min="2954" max="2957" width="1" style="12" customWidth="1"/>
    <col min="2958" max="2958" width="15.7109375" style="12" customWidth="1"/>
    <col min="2959" max="2960" width="1" style="12" customWidth="1"/>
    <col min="2961" max="2961" width="0.7109375" style="12" customWidth="1"/>
    <col min="2962" max="2962" width="3.28515625" style="12" customWidth="1"/>
    <col min="2963" max="2963" width="10" style="12"/>
    <col min="2964" max="2964" width="10.42578125" style="12" bestFit="1" customWidth="1"/>
    <col min="2965" max="3072" width="10" style="12"/>
    <col min="3073" max="3073" width="1.85546875" style="12" customWidth="1"/>
    <col min="3074" max="3074" width="1" style="12" customWidth="1"/>
    <col min="3075" max="3075" width="0.85546875" style="12" customWidth="1"/>
    <col min="3076" max="3076" width="58.28515625" style="12" customWidth="1"/>
    <col min="3077" max="3078" width="1" style="12" customWidth="1"/>
    <col min="3079" max="3079" width="16.85546875" style="12" customWidth="1"/>
    <col min="3080" max="3081" width="1" style="12" customWidth="1"/>
    <col min="3082" max="3136" width="0" style="12" hidden="1" customWidth="1"/>
    <col min="3137" max="3138" width="1" style="12" customWidth="1"/>
    <col min="3139" max="3139" width="17.85546875" style="12" customWidth="1"/>
    <col min="3140" max="3143" width="1" style="12" customWidth="1"/>
    <col min="3144" max="3144" width="16.140625" style="12" customWidth="1"/>
    <col min="3145" max="3148" width="1" style="12" customWidth="1"/>
    <col min="3149" max="3149" width="15.140625" style="12" customWidth="1"/>
    <col min="3150" max="3151" width="1" style="12" customWidth="1"/>
    <col min="3152" max="3206" width="0" style="12" hidden="1" customWidth="1"/>
    <col min="3207" max="3208" width="1" style="12" customWidth="1"/>
    <col min="3209" max="3209" width="17.85546875" style="12" customWidth="1"/>
    <col min="3210" max="3213" width="1" style="12" customWidth="1"/>
    <col min="3214" max="3214" width="15.7109375" style="12" customWidth="1"/>
    <col min="3215" max="3216" width="1" style="12" customWidth="1"/>
    <col min="3217" max="3217" width="0.7109375" style="12" customWidth="1"/>
    <col min="3218" max="3218" width="3.28515625" style="12" customWidth="1"/>
    <col min="3219" max="3219" width="10" style="12"/>
    <col min="3220" max="3220" width="10.42578125" style="12" bestFit="1" customWidth="1"/>
    <col min="3221" max="3328" width="10" style="12"/>
    <col min="3329" max="3329" width="1.85546875" style="12" customWidth="1"/>
    <col min="3330" max="3330" width="1" style="12" customWidth="1"/>
    <col min="3331" max="3331" width="0.85546875" style="12" customWidth="1"/>
    <col min="3332" max="3332" width="58.28515625" style="12" customWidth="1"/>
    <col min="3333" max="3334" width="1" style="12" customWidth="1"/>
    <col min="3335" max="3335" width="16.85546875" style="12" customWidth="1"/>
    <col min="3336" max="3337" width="1" style="12" customWidth="1"/>
    <col min="3338" max="3392" width="0" style="12" hidden="1" customWidth="1"/>
    <col min="3393" max="3394" width="1" style="12" customWidth="1"/>
    <col min="3395" max="3395" width="17.85546875" style="12" customWidth="1"/>
    <col min="3396" max="3399" width="1" style="12" customWidth="1"/>
    <col min="3400" max="3400" width="16.140625" style="12" customWidth="1"/>
    <col min="3401" max="3404" width="1" style="12" customWidth="1"/>
    <col min="3405" max="3405" width="15.140625" style="12" customWidth="1"/>
    <col min="3406" max="3407" width="1" style="12" customWidth="1"/>
    <col min="3408" max="3462" width="0" style="12" hidden="1" customWidth="1"/>
    <col min="3463" max="3464" width="1" style="12" customWidth="1"/>
    <col min="3465" max="3465" width="17.85546875" style="12" customWidth="1"/>
    <col min="3466" max="3469" width="1" style="12" customWidth="1"/>
    <col min="3470" max="3470" width="15.7109375" style="12" customWidth="1"/>
    <col min="3471" max="3472" width="1" style="12" customWidth="1"/>
    <col min="3473" max="3473" width="0.7109375" style="12" customWidth="1"/>
    <col min="3474" max="3474" width="3.28515625" style="12" customWidth="1"/>
    <col min="3475" max="3475" width="10" style="12"/>
    <col min="3476" max="3476" width="10.42578125" style="12" bestFit="1" customWidth="1"/>
    <col min="3477" max="3584" width="10" style="12"/>
    <col min="3585" max="3585" width="1.85546875" style="12" customWidth="1"/>
    <col min="3586" max="3586" width="1" style="12" customWidth="1"/>
    <col min="3587" max="3587" width="0.85546875" style="12" customWidth="1"/>
    <col min="3588" max="3588" width="58.28515625" style="12" customWidth="1"/>
    <col min="3589" max="3590" width="1" style="12" customWidth="1"/>
    <col min="3591" max="3591" width="16.85546875" style="12" customWidth="1"/>
    <col min="3592" max="3593" width="1" style="12" customWidth="1"/>
    <col min="3594" max="3648" width="0" style="12" hidden="1" customWidth="1"/>
    <col min="3649" max="3650" width="1" style="12" customWidth="1"/>
    <col min="3651" max="3651" width="17.85546875" style="12" customWidth="1"/>
    <col min="3652" max="3655" width="1" style="12" customWidth="1"/>
    <col min="3656" max="3656" width="16.140625" style="12" customWidth="1"/>
    <col min="3657" max="3660" width="1" style="12" customWidth="1"/>
    <col min="3661" max="3661" width="15.140625" style="12" customWidth="1"/>
    <col min="3662" max="3663" width="1" style="12" customWidth="1"/>
    <col min="3664" max="3718" width="0" style="12" hidden="1" customWidth="1"/>
    <col min="3719" max="3720" width="1" style="12" customWidth="1"/>
    <col min="3721" max="3721" width="17.85546875" style="12" customWidth="1"/>
    <col min="3722" max="3725" width="1" style="12" customWidth="1"/>
    <col min="3726" max="3726" width="15.7109375" style="12" customWidth="1"/>
    <col min="3727" max="3728" width="1" style="12" customWidth="1"/>
    <col min="3729" max="3729" width="0.7109375" style="12" customWidth="1"/>
    <col min="3730" max="3730" width="3.28515625" style="12" customWidth="1"/>
    <col min="3731" max="3731" width="10" style="12"/>
    <col min="3732" max="3732" width="10.42578125" style="12" bestFit="1" customWidth="1"/>
    <col min="3733" max="3840" width="10" style="12"/>
    <col min="3841" max="3841" width="1.85546875" style="12" customWidth="1"/>
    <col min="3842" max="3842" width="1" style="12" customWidth="1"/>
    <col min="3843" max="3843" width="0.85546875" style="12" customWidth="1"/>
    <col min="3844" max="3844" width="58.28515625" style="12" customWidth="1"/>
    <col min="3845" max="3846" width="1" style="12" customWidth="1"/>
    <col min="3847" max="3847" width="16.85546875" style="12" customWidth="1"/>
    <col min="3848" max="3849" width="1" style="12" customWidth="1"/>
    <col min="3850" max="3904" width="0" style="12" hidden="1" customWidth="1"/>
    <col min="3905" max="3906" width="1" style="12" customWidth="1"/>
    <col min="3907" max="3907" width="17.85546875" style="12" customWidth="1"/>
    <col min="3908" max="3911" width="1" style="12" customWidth="1"/>
    <col min="3912" max="3912" width="16.140625" style="12" customWidth="1"/>
    <col min="3913" max="3916" width="1" style="12" customWidth="1"/>
    <col min="3917" max="3917" width="15.140625" style="12" customWidth="1"/>
    <col min="3918" max="3919" width="1" style="12" customWidth="1"/>
    <col min="3920" max="3974" width="0" style="12" hidden="1" customWidth="1"/>
    <col min="3975" max="3976" width="1" style="12" customWidth="1"/>
    <col min="3977" max="3977" width="17.85546875" style="12" customWidth="1"/>
    <col min="3978" max="3981" width="1" style="12" customWidth="1"/>
    <col min="3982" max="3982" width="15.7109375" style="12" customWidth="1"/>
    <col min="3983" max="3984" width="1" style="12" customWidth="1"/>
    <col min="3985" max="3985" width="0.7109375" style="12" customWidth="1"/>
    <col min="3986" max="3986" width="3.28515625" style="12" customWidth="1"/>
    <col min="3987" max="3987" width="10" style="12"/>
    <col min="3988" max="3988" width="10.42578125" style="12" bestFit="1" customWidth="1"/>
    <col min="3989" max="4096" width="10" style="12"/>
    <col min="4097" max="4097" width="1.85546875" style="12" customWidth="1"/>
    <col min="4098" max="4098" width="1" style="12" customWidth="1"/>
    <col min="4099" max="4099" width="0.85546875" style="12" customWidth="1"/>
    <col min="4100" max="4100" width="58.28515625" style="12" customWidth="1"/>
    <col min="4101" max="4102" width="1" style="12" customWidth="1"/>
    <col min="4103" max="4103" width="16.85546875" style="12" customWidth="1"/>
    <col min="4104" max="4105" width="1" style="12" customWidth="1"/>
    <col min="4106" max="4160" width="0" style="12" hidden="1" customWidth="1"/>
    <col min="4161" max="4162" width="1" style="12" customWidth="1"/>
    <col min="4163" max="4163" width="17.85546875" style="12" customWidth="1"/>
    <col min="4164" max="4167" width="1" style="12" customWidth="1"/>
    <col min="4168" max="4168" width="16.140625" style="12" customWidth="1"/>
    <col min="4169" max="4172" width="1" style="12" customWidth="1"/>
    <col min="4173" max="4173" width="15.140625" style="12" customWidth="1"/>
    <col min="4174" max="4175" width="1" style="12" customWidth="1"/>
    <col min="4176" max="4230" width="0" style="12" hidden="1" customWidth="1"/>
    <col min="4231" max="4232" width="1" style="12" customWidth="1"/>
    <col min="4233" max="4233" width="17.85546875" style="12" customWidth="1"/>
    <col min="4234" max="4237" width="1" style="12" customWidth="1"/>
    <col min="4238" max="4238" width="15.7109375" style="12" customWidth="1"/>
    <col min="4239" max="4240" width="1" style="12" customWidth="1"/>
    <col min="4241" max="4241" width="0.7109375" style="12" customWidth="1"/>
    <col min="4242" max="4242" width="3.28515625" style="12" customWidth="1"/>
    <col min="4243" max="4243" width="10" style="12"/>
    <col min="4244" max="4244" width="10.42578125" style="12" bestFit="1" customWidth="1"/>
    <col min="4245" max="4352" width="10" style="12"/>
    <col min="4353" max="4353" width="1.85546875" style="12" customWidth="1"/>
    <col min="4354" max="4354" width="1" style="12" customWidth="1"/>
    <col min="4355" max="4355" width="0.85546875" style="12" customWidth="1"/>
    <col min="4356" max="4356" width="58.28515625" style="12" customWidth="1"/>
    <col min="4357" max="4358" width="1" style="12" customWidth="1"/>
    <col min="4359" max="4359" width="16.85546875" style="12" customWidth="1"/>
    <col min="4360" max="4361" width="1" style="12" customWidth="1"/>
    <col min="4362" max="4416" width="0" style="12" hidden="1" customWidth="1"/>
    <col min="4417" max="4418" width="1" style="12" customWidth="1"/>
    <col min="4419" max="4419" width="17.85546875" style="12" customWidth="1"/>
    <col min="4420" max="4423" width="1" style="12" customWidth="1"/>
    <col min="4424" max="4424" width="16.140625" style="12" customWidth="1"/>
    <col min="4425" max="4428" width="1" style="12" customWidth="1"/>
    <col min="4429" max="4429" width="15.140625" style="12" customWidth="1"/>
    <col min="4430" max="4431" width="1" style="12" customWidth="1"/>
    <col min="4432" max="4486" width="0" style="12" hidden="1" customWidth="1"/>
    <col min="4487" max="4488" width="1" style="12" customWidth="1"/>
    <col min="4489" max="4489" width="17.85546875" style="12" customWidth="1"/>
    <col min="4490" max="4493" width="1" style="12" customWidth="1"/>
    <col min="4494" max="4494" width="15.7109375" style="12" customWidth="1"/>
    <col min="4495" max="4496" width="1" style="12" customWidth="1"/>
    <col min="4497" max="4497" width="0.7109375" style="12" customWidth="1"/>
    <col min="4498" max="4498" width="3.28515625" style="12" customWidth="1"/>
    <col min="4499" max="4499" width="10" style="12"/>
    <col min="4500" max="4500" width="10.42578125" style="12" bestFit="1" customWidth="1"/>
    <col min="4501" max="4608" width="10" style="12"/>
    <col min="4609" max="4609" width="1.85546875" style="12" customWidth="1"/>
    <col min="4610" max="4610" width="1" style="12" customWidth="1"/>
    <col min="4611" max="4611" width="0.85546875" style="12" customWidth="1"/>
    <col min="4612" max="4612" width="58.28515625" style="12" customWidth="1"/>
    <col min="4613" max="4614" width="1" style="12" customWidth="1"/>
    <col min="4615" max="4615" width="16.85546875" style="12" customWidth="1"/>
    <col min="4616" max="4617" width="1" style="12" customWidth="1"/>
    <col min="4618" max="4672" width="0" style="12" hidden="1" customWidth="1"/>
    <col min="4673" max="4674" width="1" style="12" customWidth="1"/>
    <col min="4675" max="4675" width="17.85546875" style="12" customWidth="1"/>
    <col min="4676" max="4679" width="1" style="12" customWidth="1"/>
    <col min="4680" max="4680" width="16.140625" style="12" customWidth="1"/>
    <col min="4681" max="4684" width="1" style="12" customWidth="1"/>
    <col min="4685" max="4685" width="15.140625" style="12" customWidth="1"/>
    <col min="4686" max="4687" width="1" style="12" customWidth="1"/>
    <col min="4688" max="4742" width="0" style="12" hidden="1" customWidth="1"/>
    <col min="4743" max="4744" width="1" style="12" customWidth="1"/>
    <col min="4745" max="4745" width="17.85546875" style="12" customWidth="1"/>
    <col min="4746" max="4749" width="1" style="12" customWidth="1"/>
    <col min="4750" max="4750" width="15.7109375" style="12" customWidth="1"/>
    <col min="4751" max="4752" width="1" style="12" customWidth="1"/>
    <col min="4753" max="4753" width="0.7109375" style="12" customWidth="1"/>
    <col min="4754" max="4754" width="3.28515625" style="12" customWidth="1"/>
    <col min="4755" max="4755" width="10" style="12"/>
    <col min="4756" max="4756" width="10.42578125" style="12" bestFit="1" customWidth="1"/>
    <col min="4757" max="4864" width="10" style="12"/>
    <col min="4865" max="4865" width="1.85546875" style="12" customWidth="1"/>
    <col min="4866" max="4866" width="1" style="12" customWidth="1"/>
    <col min="4867" max="4867" width="0.85546875" style="12" customWidth="1"/>
    <col min="4868" max="4868" width="58.28515625" style="12" customWidth="1"/>
    <col min="4869" max="4870" width="1" style="12" customWidth="1"/>
    <col min="4871" max="4871" width="16.85546875" style="12" customWidth="1"/>
    <col min="4872" max="4873" width="1" style="12" customWidth="1"/>
    <col min="4874" max="4928" width="0" style="12" hidden="1" customWidth="1"/>
    <col min="4929" max="4930" width="1" style="12" customWidth="1"/>
    <col min="4931" max="4931" width="17.85546875" style="12" customWidth="1"/>
    <col min="4932" max="4935" width="1" style="12" customWidth="1"/>
    <col min="4936" max="4936" width="16.140625" style="12" customWidth="1"/>
    <col min="4937" max="4940" width="1" style="12" customWidth="1"/>
    <col min="4941" max="4941" width="15.140625" style="12" customWidth="1"/>
    <col min="4942" max="4943" width="1" style="12" customWidth="1"/>
    <col min="4944" max="4998" width="0" style="12" hidden="1" customWidth="1"/>
    <col min="4999" max="5000" width="1" style="12" customWidth="1"/>
    <col min="5001" max="5001" width="17.85546875" style="12" customWidth="1"/>
    <col min="5002" max="5005" width="1" style="12" customWidth="1"/>
    <col min="5006" max="5006" width="15.7109375" style="12" customWidth="1"/>
    <col min="5007" max="5008" width="1" style="12" customWidth="1"/>
    <col min="5009" max="5009" width="0.7109375" style="12" customWidth="1"/>
    <col min="5010" max="5010" width="3.28515625" style="12" customWidth="1"/>
    <col min="5011" max="5011" width="10" style="12"/>
    <col min="5012" max="5012" width="10.42578125" style="12" bestFit="1" customWidth="1"/>
    <col min="5013" max="5120" width="10" style="12"/>
    <col min="5121" max="5121" width="1.85546875" style="12" customWidth="1"/>
    <col min="5122" max="5122" width="1" style="12" customWidth="1"/>
    <col min="5123" max="5123" width="0.85546875" style="12" customWidth="1"/>
    <col min="5124" max="5124" width="58.28515625" style="12" customWidth="1"/>
    <col min="5125" max="5126" width="1" style="12" customWidth="1"/>
    <col min="5127" max="5127" width="16.85546875" style="12" customWidth="1"/>
    <col min="5128" max="5129" width="1" style="12" customWidth="1"/>
    <col min="5130" max="5184" width="0" style="12" hidden="1" customWidth="1"/>
    <col min="5185" max="5186" width="1" style="12" customWidth="1"/>
    <col min="5187" max="5187" width="17.85546875" style="12" customWidth="1"/>
    <col min="5188" max="5191" width="1" style="12" customWidth="1"/>
    <col min="5192" max="5192" width="16.140625" style="12" customWidth="1"/>
    <col min="5193" max="5196" width="1" style="12" customWidth="1"/>
    <col min="5197" max="5197" width="15.140625" style="12" customWidth="1"/>
    <col min="5198" max="5199" width="1" style="12" customWidth="1"/>
    <col min="5200" max="5254" width="0" style="12" hidden="1" customWidth="1"/>
    <col min="5255" max="5256" width="1" style="12" customWidth="1"/>
    <col min="5257" max="5257" width="17.85546875" style="12" customWidth="1"/>
    <col min="5258" max="5261" width="1" style="12" customWidth="1"/>
    <col min="5262" max="5262" width="15.7109375" style="12" customWidth="1"/>
    <col min="5263" max="5264" width="1" style="12" customWidth="1"/>
    <col min="5265" max="5265" width="0.7109375" style="12" customWidth="1"/>
    <col min="5266" max="5266" width="3.28515625" style="12" customWidth="1"/>
    <col min="5267" max="5267" width="10" style="12"/>
    <col min="5268" max="5268" width="10.42578125" style="12" bestFit="1" customWidth="1"/>
    <col min="5269" max="5376" width="10" style="12"/>
    <col min="5377" max="5377" width="1.85546875" style="12" customWidth="1"/>
    <col min="5378" max="5378" width="1" style="12" customWidth="1"/>
    <col min="5379" max="5379" width="0.85546875" style="12" customWidth="1"/>
    <col min="5380" max="5380" width="58.28515625" style="12" customWidth="1"/>
    <col min="5381" max="5382" width="1" style="12" customWidth="1"/>
    <col min="5383" max="5383" width="16.85546875" style="12" customWidth="1"/>
    <col min="5384" max="5385" width="1" style="12" customWidth="1"/>
    <col min="5386" max="5440" width="0" style="12" hidden="1" customWidth="1"/>
    <col min="5441" max="5442" width="1" style="12" customWidth="1"/>
    <col min="5443" max="5443" width="17.85546875" style="12" customWidth="1"/>
    <col min="5444" max="5447" width="1" style="12" customWidth="1"/>
    <col min="5448" max="5448" width="16.140625" style="12" customWidth="1"/>
    <col min="5449" max="5452" width="1" style="12" customWidth="1"/>
    <col min="5453" max="5453" width="15.140625" style="12" customWidth="1"/>
    <col min="5454" max="5455" width="1" style="12" customWidth="1"/>
    <col min="5456" max="5510" width="0" style="12" hidden="1" customWidth="1"/>
    <col min="5511" max="5512" width="1" style="12" customWidth="1"/>
    <col min="5513" max="5513" width="17.85546875" style="12" customWidth="1"/>
    <col min="5514" max="5517" width="1" style="12" customWidth="1"/>
    <col min="5518" max="5518" width="15.7109375" style="12" customWidth="1"/>
    <col min="5519" max="5520" width="1" style="12" customWidth="1"/>
    <col min="5521" max="5521" width="0.7109375" style="12" customWidth="1"/>
    <col min="5522" max="5522" width="3.28515625" style="12" customWidth="1"/>
    <col min="5523" max="5523" width="10" style="12"/>
    <col min="5524" max="5524" width="10.42578125" style="12" bestFit="1" customWidth="1"/>
    <col min="5525" max="5632" width="10" style="12"/>
    <col min="5633" max="5633" width="1.85546875" style="12" customWidth="1"/>
    <col min="5634" max="5634" width="1" style="12" customWidth="1"/>
    <col min="5635" max="5635" width="0.85546875" style="12" customWidth="1"/>
    <col min="5636" max="5636" width="58.28515625" style="12" customWidth="1"/>
    <col min="5637" max="5638" width="1" style="12" customWidth="1"/>
    <col min="5639" max="5639" width="16.85546875" style="12" customWidth="1"/>
    <col min="5640" max="5641" width="1" style="12" customWidth="1"/>
    <col min="5642" max="5696" width="0" style="12" hidden="1" customWidth="1"/>
    <col min="5697" max="5698" width="1" style="12" customWidth="1"/>
    <col min="5699" max="5699" width="17.85546875" style="12" customWidth="1"/>
    <col min="5700" max="5703" width="1" style="12" customWidth="1"/>
    <col min="5704" max="5704" width="16.140625" style="12" customWidth="1"/>
    <col min="5705" max="5708" width="1" style="12" customWidth="1"/>
    <col min="5709" max="5709" width="15.140625" style="12" customWidth="1"/>
    <col min="5710" max="5711" width="1" style="12" customWidth="1"/>
    <col min="5712" max="5766" width="0" style="12" hidden="1" customWidth="1"/>
    <col min="5767" max="5768" width="1" style="12" customWidth="1"/>
    <col min="5769" max="5769" width="17.85546875" style="12" customWidth="1"/>
    <col min="5770" max="5773" width="1" style="12" customWidth="1"/>
    <col min="5774" max="5774" width="15.7109375" style="12" customWidth="1"/>
    <col min="5775" max="5776" width="1" style="12" customWidth="1"/>
    <col min="5777" max="5777" width="0.7109375" style="12" customWidth="1"/>
    <col min="5778" max="5778" width="3.28515625" style="12" customWidth="1"/>
    <col min="5779" max="5779" width="10" style="12"/>
    <col min="5780" max="5780" width="10.42578125" style="12" bestFit="1" customWidth="1"/>
    <col min="5781" max="5888" width="10" style="12"/>
    <col min="5889" max="5889" width="1.85546875" style="12" customWidth="1"/>
    <col min="5890" max="5890" width="1" style="12" customWidth="1"/>
    <col min="5891" max="5891" width="0.85546875" style="12" customWidth="1"/>
    <col min="5892" max="5892" width="58.28515625" style="12" customWidth="1"/>
    <col min="5893" max="5894" width="1" style="12" customWidth="1"/>
    <col min="5895" max="5895" width="16.85546875" style="12" customWidth="1"/>
    <col min="5896" max="5897" width="1" style="12" customWidth="1"/>
    <col min="5898" max="5952" width="0" style="12" hidden="1" customWidth="1"/>
    <col min="5953" max="5954" width="1" style="12" customWidth="1"/>
    <col min="5955" max="5955" width="17.85546875" style="12" customWidth="1"/>
    <col min="5956" max="5959" width="1" style="12" customWidth="1"/>
    <col min="5960" max="5960" width="16.140625" style="12" customWidth="1"/>
    <col min="5961" max="5964" width="1" style="12" customWidth="1"/>
    <col min="5965" max="5965" width="15.140625" style="12" customWidth="1"/>
    <col min="5966" max="5967" width="1" style="12" customWidth="1"/>
    <col min="5968" max="6022" width="0" style="12" hidden="1" customWidth="1"/>
    <col min="6023" max="6024" width="1" style="12" customWidth="1"/>
    <col min="6025" max="6025" width="17.85546875" style="12" customWidth="1"/>
    <col min="6026" max="6029" width="1" style="12" customWidth="1"/>
    <col min="6030" max="6030" width="15.7109375" style="12" customWidth="1"/>
    <col min="6031" max="6032" width="1" style="12" customWidth="1"/>
    <col min="6033" max="6033" width="0.7109375" style="12" customWidth="1"/>
    <col min="6034" max="6034" width="3.28515625" style="12" customWidth="1"/>
    <col min="6035" max="6035" width="10" style="12"/>
    <col min="6036" max="6036" width="10.42578125" style="12" bestFit="1" customWidth="1"/>
    <col min="6037" max="6144" width="10" style="12"/>
    <col min="6145" max="6145" width="1.85546875" style="12" customWidth="1"/>
    <col min="6146" max="6146" width="1" style="12" customWidth="1"/>
    <col min="6147" max="6147" width="0.85546875" style="12" customWidth="1"/>
    <col min="6148" max="6148" width="58.28515625" style="12" customWidth="1"/>
    <col min="6149" max="6150" width="1" style="12" customWidth="1"/>
    <col min="6151" max="6151" width="16.85546875" style="12" customWidth="1"/>
    <col min="6152" max="6153" width="1" style="12" customWidth="1"/>
    <col min="6154" max="6208" width="0" style="12" hidden="1" customWidth="1"/>
    <col min="6209" max="6210" width="1" style="12" customWidth="1"/>
    <col min="6211" max="6211" width="17.85546875" style="12" customWidth="1"/>
    <col min="6212" max="6215" width="1" style="12" customWidth="1"/>
    <col min="6216" max="6216" width="16.140625" style="12" customWidth="1"/>
    <col min="6217" max="6220" width="1" style="12" customWidth="1"/>
    <col min="6221" max="6221" width="15.140625" style="12" customWidth="1"/>
    <col min="6222" max="6223" width="1" style="12" customWidth="1"/>
    <col min="6224" max="6278" width="0" style="12" hidden="1" customWidth="1"/>
    <col min="6279" max="6280" width="1" style="12" customWidth="1"/>
    <col min="6281" max="6281" width="17.85546875" style="12" customWidth="1"/>
    <col min="6282" max="6285" width="1" style="12" customWidth="1"/>
    <col min="6286" max="6286" width="15.7109375" style="12" customWidth="1"/>
    <col min="6287" max="6288" width="1" style="12" customWidth="1"/>
    <col min="6289" max="6289" width="0.7109375" style="12" customWidth="1"/>
    <col min="6290" max="6290" width="3.28515625" style="12" customWidth="1"/>
    <col min="6291" max="6291" width="10" style="12"/>
    <col min="6292" max="6292" width="10.42578125" style="12" bestFit="1" customWidth="1"/>
    <col min="6293" max="6400" width="10" style="12"/>
    <col min="6401" max="6401" width="1.85546875" style="12" customWidth="1"/>
    <col min="6402" max="6402" width="1" style="12" customWidth="1"/>
    <col min="6403" max="6403" width="0.85546875" style="12" customWidth="1"/>
    <col min="6404" max="6404" width="58.28515625" style="12" customWidth="1"/>
    <col min="6405" max="6406" width="1" style="12" customWidth="1"/>
    <col min="6407" max="6407" width="16.85546875" style="12" customWidth="1"/>
    <col min="6408" max="6409" width="1" style="12" customWidth="1"/>
    <col min="6410" max="6464" width="0" style="12" hidden="1" customWidth="1"/>
    <col min="6465" max="6466" width="1" style="12" customWidth="1"/>
    <col min="6467" max="6467" width="17.85546875" style="12" customWidth="1"/>
    <col min="6468" max="6471" width="1" style="12" customWidth="1"/>
    <col min="6472" max="6472" width="16.140625" style="12" customWidth="1"/>
    <col min="6473" max="6476" width="1" style="12" customWidth="1"/>
    <col min="6477" max="6477" width="15.140625" style="12" customWidth="1"/>
    <col min="6478" max="6479" width="1" style="12" customWidth="1"/>
    <col min="6480" max="6534" width="0" style="12" hidden="1" customWidth="1"/>
    <col min="6535" max="6536" width="1" style="12" customWidth="1"/>
    <col min="6537" max="6537" width="17.85546875" style="12" customWidth="1"/>
    <col min="6538" max="6541" width="1" style="12" customWidth="1"/>
    <col min="6542" max="6542" width="15.7109375" style="12" customWidth="1"/>
    <col min="6543" max="6544" width="1" style="12" customWidth="1"/>
    <col min="6545" max="6545" width="0.7109375" style="12" customWidth="1"/>
    <col min="6546" max="6546" width="3.28515625" style="12" customWidth="1"/>
    <col min="6547" max="6547" width="10" style="12"/>
    <col min="6548" max="6548" width="10.42578125" style="12" bestFit="1" customWidth="1"/>
    <col min="6549" max="6656" width="10" style="12"/>
    <col min="6657" max="6657" width="1.85546875" style="12" customWidth="1"/>
    <col min="6658" max="6658" width="1" style="12" customWidth="1"/>
    <col min="6659" max="6659" width="0.85546875" style="12" customWidth="1"/>
    <col min="6660" max="6660" width="58.28515625" style="12" customWidth="1"/>
    <col min="6661" max="6662" width="1" style="12" customWidth="1"/>
    <col min="6663" max="6663" width="16.85546875" style="12" customWidth="1"/>
    <col min="6664" max="6665" width="1" style="12" customWidth="1"/>
    <col min="6666" max="6720" width="0" style="12" hidden="1" customWidth="1"/>
    <col min="6721" max="6722" width="1" style="12" customWidth="1"/>
    <col min="6723" max="6723" width="17.85546875" style="12" customWidth="1"/>
    <col min="6724" max="6727" width="1" style="12" customWidth="1"/>
    <col min="6728" max="6728" width="16.140625" style="12" customWidth="1"/>
    <col min="6729" max="6732" width="1" style="12" customWidth="1"/>
    <col min="6733" max="6733" width="15.140625" style="12" customWidth="1"/>
    <col min="6734" max="6735" width="1" style="12" customWidth="1"/>
    <col min="6736" max="6790" width="0" style="12" hidden="1" customWidth="1"/>
    <col min="6791" max="6792" width="1" style="12" customWidth="1"/>
    <col min="6793" max="6793" width="17.85546875" style="12" customWidth="1"/>
    <col min="6794" max="6797" width="1" style="12" customWidth="1"/>
    <col min="6798" max="6798" width="15.7109375" style="12" customWidth="1"/>
    <col min="6799" max="6800" width="1" style="12" customWidth="1"/>
    <col min="6801" max="6801" width="0.7109375" style="12" customWidth="1"/>
    <col min="6802" max="6802" width="3.28515625" style="12" customWidth="1"/>
    <col min="6803" max="6803" width="10" style="12"/>
    <col min="6804" max="6804" width="10.42578125" style="12" bestFit="1" customWidth="1"/>
    <col min="6805" max="6912" width="10" style="12"/>
    <col min="6913" max="6913" width="1.85546875" style="12" customWidth="1"/>
    <col min="6914" max="6914" width="1" style="12" customWidth="1"/>
    <col min="6915" max="6915" width="0.85546875" style="12" customWidth="1"/>
    <col min="6916" max="6916" width="58.28515625" style="12" customWidth="1"/>
    <col min="6917" max="6918" width="1" style="12" customWidth="1"/>
    <col min="6919" max="6919" width="16.85546875" style="12" customWidth="1"/>
    <col min="6920" max="6921" width="1" style="12" customWidth="1"/>
    <col min="6922" max="6976" width="0" style="12" hidden="1" customWidth="1"/>
    <col min="6977" max="6978" width="1" style="12" customWidth="1"/>
    <col min="6979" max="6979" width="17.85546875" style="12" customWidth="1"/>
    <col min="6980" max="6983" width="1" style="12" customWidth="1"/>
    <col min="6984" max="6984" width="16.140625" style="12" customWidth="1"/>
    <col min="6985" max="6988" width="1" style="12" customWidth="1"/>
    <col min="6989" max="6989" width="15.140625" style="12" customWidth="1"/>
    <col min="6990" max="6991" width="1" style="12" customWidth="1"/>
    <col min="6992" max="7046" width="0" style="12" hidden="1" customWidth="1"/>
    <col min="7047" max="7048" width="1" style="12" customWidth="1"/>
    <col min="7049" max="7049" width="17.85546875" style="12" customWidth="1"/>
    <col min="7050" max="7053" width="1" style="12" customWidth="1"/>
    <col min="7054" max="7054" width="15.7109375" style="12" customWidth="1"/>
    <col min="7055" max="7056" width="1" style="12" customWidth="1"/>
    <col min="7057" max="7057" width="0.7109375" style="12" customWidth="1"/>
    <col min="7058" max="7058" width="3.28515625" style="12" customWidth="1"/>
    <col min="7059" max="7059" width="10" style="12"/>
    <col min="7060" max="7060" width="10.42578125" style="12" bestFit="1" customWidth="1"/>
    <col min="7061" max="7168" width="10" style="12"/>
    <col min="7169" max="7169" width="1.85546875" style="12" customWidth="1"/>
    <col min="7170" max="7170" width="1" style="12" customWidth="1"/>
    <col min="7171" max="7171" width="0.85546875" style="12" customWidth="1"/>
    <col min="7172" max="7172" width="58.28515625" style="12" customWidth="1"/>
    <col min="7173" max="7174" width="1" style="12" customWidth="1"/>
    <col min="7175" max="7175" width="16.85546875" style="12" customWidth="1"/>
    <col min="7176" max="7177" width="1" style="12" customWidth="1"/>
    <col min="7178" max="7232" width="0" style="12" hidden="1" customWidth="1"/>
    <col min="7233" max="7234" width="1" style="12" customWidth="1"/>
    <col min="7235" max="7235" width="17.85546875" style="12" customWidth="1"/>
    <col min="7236" max="7239" width="1" style="12" customWidth="1"/>
    <col min="7240" max="7240" width="16.140625" style="12" customWidth="1"/>
    <col min="7241" max="7244" width="1" style="12" customWidth="1"/>
    <col min="7245" max="7245" width="15.140625" style="12" customWidth="1"/>
    <col min="7246" max="7247" width="1" style="12" customWidth="1"/>
    <col min="7248" max="7302" width="0" style="12" hidden="1" customWidth="1"/>
    <col min="7303" max="7304" width="1" style="12" customWidth="1"/>
    <col min="7305" max="7305" width="17.85546875" style="12" customWidth="1"/>
    <col min="7306" max="7309" width="1" style="12" customWidth="1"/>
    <col min="7310" max="7310" width="15.7109375" style="12" customWidth="1"/>
    <col min="7311" max="7312" width="1" style="12" customWidth="1"/>
    <col min="7313" max="7313" width="0.7109375" style="12" customWidth="1"/>
    <col min="7314" max="7314" width="3.28515625" style="12" customWidth="1"/>
    <col min="7315" max="7315" width="10" style="12"/>
    <col min="7316" max="7316" width="10.42578125" style="12" bestFit="1" customWidth="1"/>
    <col min="7317" max="7424" width="10" style="12"/>
    <col min="7425" max="7425" width="1.85546875" style="12" customWidth="1"/>
    <col min="7426" max="7426" width="1" style="12" customWidth="1"/>
    <col min="7427" max="7427" width="0.85546875" style="12" customWidth="1"/>
    <col min="7428" max="7428" width="58.28515625" style="12" customWidth="1"/>
    <col min="7429" max="7430" width="1" style="12" customWidth="1"/>
    <col min="7431" max="7431" width="16.85546875" style="12" customWidth="1"/>
    <col min="7432" max="7433" width="1" style="12" customWidth="1"/>
    <col min="7434" max="7488" width="0" style="12" hidden="1" customWidth="1"/>
    <col min="7489" max="7490" width="1" style="12" customWidth="1"/>
    <col min="7491" max="7491" width="17.85546875" style="12" customWidth="1"/>
    <col min="7492" max="7495" width="1" style="12" customWidth="1"/>
    <col min="7496" max="7496" width="16.140625" style="12" customWidth="1"/>
    <col min="7497" max="7500" width="1" style="12" customWidth="1"/>
    <col min="7501" max="7501" width="15.140625" style="12" customWidth="1"/>
    <col min="7502" max="7503" width="1" style="12" customWidth="1"/>
    <col min="7504" max="7558" width="0" style="12" hidden="1" customWidth="1"/>
    <col min="7559" max="7560" width="1" style="12" customWidth="1"/>
    <col min="7561" max="7561" width="17.85546875" style="12" customWidth="1"/>
    <col min="7562" max="7565" width="1" style="12" customWidth="1"/>
    <col min="7566" max="7566" width="15.7109375" style="12" customWidth="1"/>
    <col min="7567" max="7568" width="1" style="12" customWidth="1"/>
    <col min="7569" max="7569" width="0.7109375" style="12" customWidth="1"/>
    <col min="7570" max="7570" width="3.28515625" style="12" customWidth="1"/>
    <col min="7571" max="7571" width="10" style="12"/>
    <col min="7572" max="7572" width="10.42578125" style="12" bestFit="1" customWidth="1"/>
    <col min="7573" max="7680" width="10" style="12"/>
    <col min="7681" max="7681" width="1.85546875" style="12" customWidth="1"/>
    <col min="7682" max="7682" width="1" style="12" customWidth="1"/>
    <col min="7683" max="7683" width="0.85546875" style="12" customWidth="1"/>
    <col min="7684" max="7684" width="58.28515625" style="12" customWidth="1"/>
    <col min="7685" max="7686" width="1" style="12" customWidth="1"/>
    <col min="7687" max="7687" width="16.85546875" style="12" customWidth="1"/>
    <col min="7688" max="7689" width="1" style="12" customWidth="1"/>
    <col min="7690" max="7744" width="0" style="12" hidden="1" customWidth="1"/>
    <col min="7745" max="7746" width="1" style="12" customWidth="1"/>
    <col min="7747" max="7747" width="17.85546875" style="12" customWidth="1"/>
    <col min="7748" max="7751" width="1" style="12" customWidth="1"/>
    <col min="7752" max="7752" width="16.140625" style="12" customWidth="1"/>
    <col min="7753" max="7756" width="1" style="12" customWidth="1"/>
    <col min="7757" max="7757" width="15.140625" style="12" customWidth="1"/>
    <col min="7758" max="7759" width="1" style="12" customWidth="1"/>
    <col min="7760" max="7814" width="0" style="12" hidden="1" customWidth="1"/>
    <col min="7815" max="7816" width="1" style="12" customWidth="1"/>
    <col min="7817" max="7817" width="17.85546875" style="12" customWidth="1"/>
    <col min="7818" max="7821" width="1" style="12" customWidth="1"/>
    <col min="7822" max="7822" width="15.7109375" style="12" customWidth="1"/>
    <col min="7823" max="7824" width="1" style="12" customWidth="1"/>
    <col min="7825" max="7825" width="0.7109375" style="12" customWidth="1"/>
    <col min="7826" max="7826" width="3.28515625" style="12" customWidth="1"/>
    <col min="7827" max="7827" width="10" style="12"/>
    <col min="7828" max="7828" width="10.42578125" style="12" bestFit="1" customWidth="1"/>
    <col min="7829" max="7936" width="10" style="12"/>
    <col min="7937" max="7937" width="1.85546875" style="12" customWidth="1"/>
    <col min="7938" max="7938" width="1" style="12" customWidth="1"/>
    <col min="7939" max="7939" width="0.85546875" style="12" customWidth="1"/>
    <col min="7940" max="7940" width="58.28515625" style="12" customWidth="1"/>
    <col min="7941" max="7942" width="1" style="12" customWidth="1"/>
    <col min="7943" max="7943" width="16.85546875" style="12" customWidth="1"/>
    <col min="7944" max="7945" width="1" style="12" customWidth="1"/>
    <col min="7946" max="8000" width="0" style="12" hidden="1" customWidth="1"/>
    <col min="8001" max="8002" width="1" style="12" customWidth="1"/>
    <col min="8003" max="8003" width="17.85546875" style="12" customWidth="1"/>
    <col min="8004" max="8007" width="1" style="12" customWidth="1"/>
    <col min="8008" max="8008" width="16.140625" style="12" customWidth="1"/>
    <col min="8009" max="8012" width="1" style="12" customWidth="1"/>
    <col min="8013" max="8013" width="15.140625" style="12" customWidth="1"/>
    <col min="8014" max="8015" width="1" style="12" customWidth="1"/>
    <col min="8016" max="8070" width="0" style="12" hidden="1" customWidth="1"/>
    <col min="8071" max="8072" width="1" style="12" customWidth="1"/>
    <col min="8073" max="8073" width="17.85546875" style="12" customWidth="1"/>
    <col min="8074" max="8077" width="1" style="12" customWidth="1"/>
    <col min="8078" max="8078" width="15.7109375" style="12" customWidth="1"/>
    <col min="8079" max="8080" width="1" style="12" customWidth="1"/>
    <col min="8081" max="8081" width="0.7109375" style="12" customWidth="1"/>
    <col min="8082" max="8082" width="3.28515625" style="12" customWidth="1"/>
    <col min="8083" max="8083" width="10" style="12"/>
    <col min="8084" max="8084" width="10.42578125" style="12" bestFit="1" customWidth="1"/>
    <col min="8085" max="8192" width="10" style="12"/>
    <col min="8193" max="8193" width="1.85546875" style="12" customWidth="1"/>
    <col min="8194" max="8194" width="1" style="12" customWidth="1"/>
    <col min="8195" max="8195" width="0.85546875" style="12" customWidth="1"/>
    <col min="8196" max="8196" width="58.28515625" style="12" customWidth="1"/>
    <col min="8197" max="8198" width="1" style="12" customWidth="1"/>
    <col min="8199" max="8199" width="16.85546875" style="12" customWidth="1"/>
    <col min="8200" max="8201" width="1" style="12" customWidth="1"/>
    <col min="8202" max="8256" width="0" style="12" hidden="1" customWidth="1"/>
    <col min="8257" max="8258" width="1" style="12" customWidth="1"/>
    <col min="8259" max="8259" width="17.85546875" style="12" customWidth="1"/>
    <col min="8260" max="8263" width="1" style="12" customWidth="1"/>
    <col min="8264" max="8264" width="16.140625" style="12" customWidth="1"/>
    <col min="8265" max="8268" width="1" style="12" customWidth="1"/>
    <col min="8269" max="8269" width="15.140625" style="12" customWidth="1"/>
    <col min="8270" max="8271" width="1" style="12" customWidth="1"/>
    <col min="8272" max="8326" width="0" style="12" hidden="1" customWidth="1"/>
    <col min="8327" max="8328" width="1" style="12" customWidth="1"/>
    <col min="8329" max="8329" width="17.85546875" style="12" customWidth="1"/>
    <col min="8330" max="8333" width="1" style="12" customWidth="1"/>
    <col min="8334" max="8334" width="15.7109375" style="12" customWidth="1"/>
    <col min="8335" max="8336" width="1" style="12" customWidth="1"/>
    <col min="8337" max="8337" width="0.7109375" style="12" customWidth="1"/>
    <col min="8338" max="8338" width="3.28515625" style="12" customWidth="1"/>
    <col min="8339" max="8339" width="10" style="12"/>
    <col min="8340" max="8340" width="10.42578125" style="12" bestFit="1" customWidth="1"/>
    <col min="8341" max="8448" width="10" style="12"/>
    <col min="8449" max="8449" width="1.85546875" style="12" customWidth="1"/>
    <col min="8450" max="8450" width="1" style="12" customWidth="1"/>
    <col min="8451" max="8451" width="0.85546875" style="12" customWidth="1"/>
    <col min="8452" max="8452" width="58.28515625" style="12" customWidth="1"/>
    <col min="8453" max="8454" width="1" style="12" customWidth="1"/>
    <col min="8455" max="8455" width="16.85546875" style="12" customWidth="1"/>
    <col min="8456" max="8457" width="1" style="12" customWidth="1"/>
    <col min="8458" max="8512" width="0" style="12" hidden="1" customWidth="1"/>
    <col min="8513" max="8514" width="1" style="12" customWidth="1"/>
    <col min="8515" max="8515" width="17.85546875" style="12" customWidth="1"/>
    <col min="8516" max="8519" width="1" style="12" customWidth="1"/>
    <col min="8520" max="8520" width="16.140625" style="12" customWidth="1"/>
    <col min="8521" max="8524" width="1" style="12" customWidth="1"/>
    <col min="8525" max="8525" width="15.140625" style="12" customWidth="1"/>
    <col min="8526" max="8527" width="1" style="12" customWidth="1"/>
    <col min="8528" max="8582" width="0" style="12" hidden="1" customWidth="1"/>
    <col min="8583" max="8584" width="1" style="12" customWidth="1"/>
    <col min="8585" max="8585" width="17.85546875" style="12" customWidth="1"/>
    <col min="8586" max="8589" width="1" style="12" customWidth="1"/>
    <col min="8590" max="8590" width="15.7109375" style="12" customWidth="1"/>
    <col min="8591" max="8592" width="1" style="12" customWidth="1"/>
    <col min="8593" max="8593" width="0.7109375" style="12" customWidth="1"/>
    <col min="8594" max="8594" width="3.28515625" style="12" customWidth="1"/>
    <col min="8595" max="8595" width="10" style="12"/>
    <col min="8596" max="8596" width="10.42578125" style="12" bestFit="1" customWidth="1"/>
    <col min="8597" max="8704" width="10" style="12"/>
    <col min="8705" max="8705" width="1.85546875" style="12" customWidth="1"/>
    <col min="8706" max="8706" width="1" style="12" customWidth="1"/>
    <col min="8707" max="8707" width="0.85546875" style="12" customWidth="1"/>
    <col min="8708" max="8708" width="58.28515625" style="12" customWidth="1"/>
    <col min="8709" max="8710" width="1" style="12" customWidth="1"/>
    <col min="8711" max="8711" width="16.85546875" style="12" customWidth="1"/>
    <col min="8712" max="8713" width="1" style="12" customWidth="1"/>
    <col min="8714" max="8768" width="0" style="12" hidden="1" customWidth="1"/>
    <col min="8769" max="8770" width="1" style="12" customWidth="1"/>
    <col min="8771" max="8771" width="17.85546875" style="12" customWidth="1"/>
    <col min="8772" max="8775" width="1" style="12" customWidth="1"/>
    <col min="8776" max="8776" width="16.140625" style="12" customWidth="1"/>
    <col min="8777" max="8780" width="1" style="12" customWidth="1"/>
    <col min="8781" max="8781" width="15.140625" style="12" customWidth="1"/>
    <col min="8782" max="8783" width="1" style="12" customWidth="1"/>
    <col min="8784" max="8838" width="0" style="12" hidden="1" customWidth="1"/>
    <col min="8839" max="8840" width="1" style="12" customWidth="1"/>
    <col min="8841" max="8841" width="17.85546875" style="12" customWidth="1"/>
    <col min="8842" max="8845" width="1" style="12" customWidth="1"/>
    <col min="8846" max="8846" width="15.7109375" style="12" customWidth="1"/>
    <col min="8847" max="8848" width="1" style="12" customWidth="1"/>
    <col min="8849" max="8849" width="0.7109375" style="12" customWidth="1"/>
    <col min="8850" max="8850" width="3.28515625" style="12" customWidth="1"/>
    <col min="8851" max="8851" width="10" style="12"/>
    <col min="8852" max="8852" width="10.42578125" style="12" bestFit="1" customWidth="1"/>
    <col min="8853" max="8960" width="10" style="12"/>
    <col min="8961" max="8961" width="1.85546875" style="12" customWidth="1"/>
    <col min="8962" max="8962" width="1" style="12" customWidth="1"/>
    <col min="8963" max="8963" width="0.85546875" style="12" customWidth="1"/>
    <col min="8964" max="8964" width="58.28515625" style="12" customWidth="1"/>
    <col min="8965" max="8966" width="1" style="12" customWidth="1"/>
    <col min="8967" max="8967" width="16.85546875" style="12" customWidth="1"/>
    <col min="8968" max="8969" width="1" style="12" customWidth="1"/>
    <col min="8970" max="9024" width="0" style="12" hidden="1" customWidth="1"/>
    <col min="9025" max="9026" width="1" style="12" customWidth="1"/>
    <col min="9027" max="9027" width="17.85546875" style="12" customWidth="1"/>
    <col min="9028" max="9031" width="1" style="12" customWidth="1"/>
    <col min="9032" max="9032" width="16.140625" style="12" customWidth="1"/>
    <col min="9033" max="9036" width="1" style="12" customWidth="1"/>
    <col min="9037" max="9037" width="15.140625" style="12" customWidth="1"/>
    <col min="9038" max="9039" width="1" style="12" customWidth="1"/>
    <col min="9040" max="9094" width="0" style="12" hidden="1" customWidth="1"/>
    <col min="9095" max="9096" width="1" style="12" customWidth="1"/>
    <col min="9097" max="9097" width="17.85546875" style="12" customWidth="1"/>
    <col min="9098" max="9101" width="1" style="12" customWidth="1"/>
    <col min="9102" max="9102" width="15.7109375" style="12" customWidth="1"/>
    <col min="9103" max="9104" width="1" style="12" customWidth="1"/>
    <col min="9105" max="9105" width="0.7109375" style="12" customWidth="1"/>
    <col min="9106" max="9106" width="3.28515625" style="12" customWidth="1"/>
    <col min="9107" max="9107" width="10" style="12"/>
    <col min="9108" max="9108" width="10.42578125" style="12" bestFit="1" customWidth="1"/>
    <col min="9109" max="9216" width="10" style="12"/>
    <col min="9217" max="9217" width="1.85546875" style="12" customWidth="1"/>
    <col min="9218" max="9218" width="1" style="12" customWidth="1"/>
    <col min="9219" max="9219" width="0.85546875" style="12" customWidth="1"/>
    <col min="9220" max="9220" width="58.28515625" style="12" customWidth="1"/>
    <col min="9221" max="9222" width="1" style="12" customWidth="1"/>
    <col min="9223" max="9223" width="16.85546875" style="12" customWidth="1"/>
    <col min="9224" max="9225" width="1" style="12" customWidth="1"/>
    <col min="9226" max="9280" width="0" style="12" hidden="1" customWidth="1"/>
    <col min="9281" max="9282" width="1" style="12" customWidth="1"/>
    <col min="9283" max="9283" width="17.85546875" style="12" customWidth="1"/>
    <col min="9284" max="9287" width="1" style="12" customWidth="1"/>
    <col min="9288" max="9288" width="16.140625" style="12" customWidth="1"/>
    <col min="9289" max="9292" width="1" style="12" customWidth="1"/>
    <col min="9293" max="9293" width="15.140625" style="12" customWidth="1"/>
    <col min="9294" max="9295" width="1" style="12" customWidth="1"/>
    <col min="9296" max="9350" width="0" style="12" hidden="1" customWidth="1"/>
    <col min="9351" max="9352" width="1" style="12" customWidth="1"/>
    <col min="9353" max="9353" width="17.85546875" style="12" customWidth="1"/>
    <col min="9354" max="9357" width="1" style="12" customWidth="1"/>
    <col min="9358" max="9358" width="15.7109375" style="12" customWidth="1"/>
    <col min="9359" max="9360" width="1" style="12" customWidth="1"/>
    <col min="9361" max="9361" width="0.7109375" style="12" customWidth="1"/>
    <col min="9362" max="9362" width="3.28515625" style="12" customWidth="1"/>
    <col min="9363" max="9363" width="10" style="12"/>
    <col min="9364" max="9364" width="10.42578125" style="12" bestFit="1" customWidth="1"/>
    <col min="9365" max="9472" width="10" style="12"/>
    <col min="9473" max="9473" width="1.85546875" style="12" customWidth="1"/>
    <col min="9474" max="9474" width="1" style="12" customWidth="1"/>
    <col min="9475" max="9475" width="0.85546875" style="12" customWidth="1"/>
    <col min="9476" max="9476" width="58.28515625" style="12" customWidth="1"/>
    <col min="9477" max="9478" width="1" style="12" customWidth="1"/>
    <col min="9479" max="9479" width="16.85546875" style="12" customWidth="1"/>
    <col min="9480" max="9481" width="1" style="12" customWidth="1"/>
    <col min="9482" max="9536" width="0" style="12" hidden="1" customWidth="1"/>
    <col min="9537" max="9538" width="1" style="12" customWidth="1"/>
    <col min="9539" max="9539" width="17.85546875" style="12" customWidth="1"/>
    <col min="9540" max="9543" width="1" style="12" customWidth="1"/>
    <col min="9544" max="9544" width="16.140625" style="12" customWidth="1"/>
    <col min="9545" max="9548" width="1" style="12" customWidth="1"/>
    <col min="9549" max="9549" width="15.140625" style="12" customWidth="1"/>
    <col min="9550" max="9551" width="1" style="12" customWidth="1"/>
    <col min="9552" max="9606" width="0" style="12" hidden="1" customWidth="1"/>
    <col min="9607" max="9608" width="1" style="12" customWidth="1"/>
    <col min="9609" max="9609" width="17.85546875" style="12" customWidth="1"/>
    <col min="9610" max="9613" width="1" style="12" customWidth="1"/>
    <col min="9614" max="9614" width="15.7109375" style="12" customWidth="1"/>
    <col min="9615" max="9616" width="1" style="12" customWidth="1"/>
    <col min="9617" max="9617" width="0.7109375" style="12" customWidth="1"/>
    <col min="9618" max="9618" width="3.28515625" style="12" customWidth="1"/>
    <col min="9619" max="9619" width="10" style="12"/>
    <col min="9620" max="9620" width="10.42578125" style="12" bestFit="1" customWidth="1"/>
    <col min="9621" max="9728" width="10" style="12"/>
    <col min="9729" max="9729" width="1.85546875" style="12" customWidth="1"/>
    <col min="9730" max="9730" width="1" style="12" customWidth="1"/>
    <col min="9731" max="9731" width="0.85546875" style="12" customWidth="1"/>
    <col min="9732" max="9732" width="58.28515625" style="12" customWidth="1"/>
    <col min="9733" max="9734" width="1" style="12" customWidth="1"/>
    <col min="9735" max="9735" width="16.85546875" style="12" customWidth="1"/>
    <col min="9736" max="9737" width="1" style="12" customWidth="1"/>
    <col min="9738" max="9792" width="0" style="12" hidden="1" customWidth="1"/>
    <col min="9793" max="9794" width="1" style="12" customWidth="1"/>
    <col min="9795" max="9795" width="17.85546875" style="12" customWidth="1"/>
    <col min="9796" max="9799" width="1" style="12" customWidth="1"/>
    <col min="9800" max="9800" width="16.140625" style="12" customWidth="1"/>
    <col min="9801" max="9804" width="1" style="12" customWidth="1"/>
    <col min="9805" max="9805" width="15.140625" style="12" customWidth="1"/>
    <col min="9806" max="9807" width="1" style="12" customWidth="1"/>
    <col min="9808" max="9862" width="0" style="12" hidden="1" customWidth="1"/>
    <col min="9863" max="9864" width="1" style="12" customWidth="1"/>
    <col min="9865" max="9865" width="17.85546875" style="12" customWidth="1"/>
    <col min="9866" max="9869" width="1" style="12" customWidth="1"/>
    <col min="9870" max="9870" width="15.7109375" style="12" customWidth="1"/>
    <col min="9871" max="9872" width="1" style="12" customWidth="1"/>
    <col min="9873" max="9873" width="0.7109375" style="12" customWidth="1"/>
    <col min="9874" max="9874" width="3.28515625" style="12" customWidth="1"/>
    <col min="9875" max="9875" width="10" style="12"/>
    <col min="9876" max="9876" width="10.42578125" style="12" bestFit="1" customWidth="1"/>
    <col min="9877" max="9984" width="10" style="12"/>
    <col min="9985" max="9985" width="1.85546875" style="12" customWidth="1"/>
    <col min="9986" max="9986" width="1" style="12" customWidth="1"/>
    <col min="9987" max="9987" width="0.85546875" style="12" customWidth="1"/>
    <col min="9988" max="9988" width="58.28515625" style="12" customWidth="1"/>
    <col min="9989" max="9990" width="1" style="12" customWidth="1"/>
    <col min="9991" max="9991" width="16.85546875" style="12" customWidth="1"/>
    <col min="9992" max="9993" width="1" style="12" customWidth="1"/>
    <col min="9994" max="10048" width="0" style="12" hidden="1" customWidth="1"/>
    <col min="10049" max="10050" width="1" style="12" customWidth="1"/>
    <col min="10051" max="10051" width="17.85546875" style="12" customWidth="1"/>
    <col min="10052" max="10055" width="1" style="12" customWidth="1"/>
    <col min="10056" max="10056" width="16.140625" style="12" customWidth="1"/>
    <col min="10057" max="10060" width="1" style="12" customWidth="1"/>
    <col min="10061" max="10061" width="15.140625" style="12" customWidth="1"/>
    <col min="10062" max="10063" width="1" style="12" customWidth="1"/>
    <col min="10064" max="10118" width="0" style="12" hidden="1" customWidth="1"/>
    <col min="10119" max="10120" width="1" style="12" customWidth="1"/>
    <col min="10121" max="10121" width="17.85546875" style="12" customWidth="1"/>
    <col min="10122" max="10125" width="1" style="12" customWidth="1"/>
    <col min="10126" max="10126" width="15.7109375" style="12" customWidth="1"/>
    <col min="10127" max="10128" width="1" style="12" customWidth="1"/>
    <col min="10129" max="10129" width="0.7109375" style="12" customWidth="1"/>
    <col min="10130" max="10130" width="3.28515625" style="12" customWidth="1"/>
    <col min="10131" max="10131" width="10" style="12"/>
    <col min="10132" max="10132" width="10.42578125" style="12" bestFit="1" customWidth="1"/>
    <col min="10133" max="10240" width="10" style="12"/>
    <col min="10241" max="10241" width="1.85546875" style="12" customWidth="1"/>
    <col min="10242" max="10242" width="1" style="12" customWidth="1"/>
    <col min="10243" max="10243" width="0.85546875" style="12" customWidth="1"/>
    <col min="10244" max="10244" width="58.28515625" style="12" customWidth="1"/>
    <col min="10245" max="10246" width="1" style="12" customWidth="1"/>
    <col min="10247" max="10247" width="16.85546875" style="12" customWidth="1"/>
    <col min="10248" max="10249" width="1" style="12" customWidth="1"/>
    <col min="10250" max="10304" width="0" style="12" hidden="1" customWidth="1"/>
    <col min="10305" max="10306" width="1" style="12" customWidth="1"/>
    <col min="10307" max="10307" width="17.85546875" style="12" customWidth="1"/>
    <col min="10308" max="10311" width="1" style="12" customWidth="1"/>
    <col min="10312" max="10312" width="16.140625" style="12" customWidth="1"/>
    <col min="10313" max="10316" width="1" style="12" customWidth="1"/>
    <col min="10317" max="10317" width="15.140625" style="12" customWidth="1"/>
    <col min="10318" max="10319" width="1" style="12" customWidth="1"/>
    <col min="10320" max="10374" width="0" style="12" hidden="1" customWidth="1"/>
    <col min="10375" max="10376" width="1" style="12" customWidth="1"/>
    <col min="10377" max="10377" width="17.85546875" style="12" customWidth="1"/>
    <col min="10378" max="10381" width="1" style="12" customWidth="1"/>
    <col min="10382" max="10382" width="15.7109375" style="12" customWidth="1"/>
    <col min="10383" max="10384" width="1" style="12" customWidth="1"/>
    <col min="10385" max="10385" width="0.7109375" style="12" customWidth="1"/>
    <col min="10386" max="10386" width="3.28515625" style="12" customWidth="1"/>
    <col min="10387" max="10387" width="10" style="12"/>
    <col min="10388" max="10388" width="10.42578125" style="12" bestFit="1" customWidth="1"/>
    <col min="10389" max="10496" width="10" style="12"/>
    <col min="10497" max="10497" width="1.85546875" style="12" customWidth="1"/>
    <col min="10498" max="10498" width="1" style="12" customWidth="1"/>
    <col min="10499" max="10499" width="0.85546875" style="12" customWidth="1"/>
    <col min="10500" max="10500" width="58.28515625" style="12" customWidth="1"/>
    <col min="10501" max="10502" width="1" style="12" customWidth="1"/>
    <col min="10503" max="10503" width="16.85546875" style="12" customWidth="1"/>
    <col min="10504" max="10505" width="1" style="12" customWidth="1"/>
    <col min="10506" max="10560" width="0" style="12" hidden="1" customWidth="1"/>
    <col min="10561" max="10562" width="1" style="12" customWidth="1"/>
    <col min="10563" max="10563" width="17.85546875" style="12" customWidth="1"/>
    <col min="10564" max="10567" width="1" style="12" customWidth="1"/>
    <col min="10568" max="10568" width="16.140625" style="12" customWidth="1"/>
    <col min="10569" max="10572" width="1" style="12" customWidth="1"/>
    <col min="10573" max="10573" width="15.140625" style="12" customWidth="1"/>
    <col min="10574" max="10575" width="1" style="12" customWidth="1"/>
    <col min="10576" max="10630" width="0" style="12" hidden="1" customWidth="1"/>
    <col min="10631" max="10632" width="1" style="12" customWidth="1"/>
    <col min="10633" max="10633" width="17.85546875" style="12" customWidth="1"/>
    <col min="10634" max="10637" width="1" style="12" customWidth="1"/>
    <col min="10638" max="10638" width="15.7109375" style="12" customWidth="1"/>
    <col min="10639" max="10640" width="1" style="12" customWidth="1"/>
    <col min="10641" max="10641" width="0.7109375" style="12" customWidth="1"/>
    <col min="10642" max="10642" width="3.28515625" style="12" customWidth="1"/>
    <col min="10643" max="10643" width="10" style="12"/>
    <col min="10644" max="10644" width="10.42578125" style="12" bestFit="1" customWidth="1"/>
    <col min="10645" max="10752" width="10" style="12"/>
    <col min="10753" max="10753" width="1.85546875" style="12" customWidth="1"/>
    <col min="10754" max="10754" width="1" style="12" customWidth="1"/>
    <col min="10755" max="10755" width="0.85546875" style="12" customWidth="1"/>
    <col min="10756" max="10756" width="58.28515625" style="12" customWidth="1"/>
    <col min="10757" max="10758" width="1" style="12" customWidth="1"/>
    <col min="10759" max="10759" width="16.85546875" style="12" customWidth="1"/>
    <col min="10760" max="10761" width="1" style="12" customWidth="1"/>
    <col min="10762" max="10816" width="0" style="12" hidden="1" customWidth="1"/>
    <col min="10817" max="10818" width="1" style="12" customWidth="1"/>
    <col min="10819" max="10819" width="17.85546875" style="12" customWidth="1"/>
    <col min="10820" max="10823" width="1" style="12" customWidth="1"/>
    <col min="10824" max="10824" width="16.140625" style="12" customWidth="1"/>
    <col min="10825" max="10828" width="1" style="12" customWidth="1"/>
    <col min="10829" max="10829" width="15.140625" style="12" customWidth="1"/>
    <col min="10830" max="10831" width="1" style="12" customWidth="1"/>
    <col min="10832" max="10886" width="0" style="12" hidden="1" customWidth="1"/>
    <col min="10887" max="10888" width="1" style="12" customWidth="1"/>
    <col min="10889" max="10889" width="17.85546875" style="12" customWidth="1"/>
    <col min="10890" max="10893" width="1" style="12" customWidth="1"/>
    <col min="10894" max="10894" width="15.7109375" style="12" customWidth="1"/>
    <col min="10895" max="10896" width="1" style="12" customWidth="1"/>
    <col min="10897" max="10897" width="0.7109375" style="12" customWidth="1"/>
    <col min="10898" max="10898" width="3.28515625" style="12" customWidth="1"/>
    <col min="10899" max="10899" width="10" style="12"/>
    <col min="10900" max="10900" width="10.42578125" style="12" bestFit="1" customWidth="1"/>
    <col min="10901" max="11008" width="10" style="12"/>
    <col min="11009" max="11009" width="1.85546875" style="12" customWidth="1"/>
    <col min="11010" max="11010" width="1" style="12" customWidth="1"/>
    <col min="11011" max="11011" width="0.85546875" style="12" customWidth="1"/>
    <col min="11012" max="11012" width="58.28515625" style="12" customWidth="1"/>
    <col min="11013" max="11014" width="1" style="12" customWidth="1"/>
    <col min="11015" max="11015" width="16.85546875" style="12" customWidth="1"/>
    <col min="11016" max="11017" width="1" style="12" customWidth="1"/>
    <col min="11018" max="11072" width="0" style="12" hidden="1" customWidth="1"/>
    <col min="11073" max="11074" width="1" style="12" customWidth="1"/>
    <col min="11075" max="11075" width="17.85546875" style="12" customWidth="1"/>
    <col min="11076" max="11079" width="1" style="12" customWidth="1"/>
    <col min="11080" max="11080" width="16.140625" style="12" customWidth="1"/>
    <col min="11081" max="11084" width="1" style="12" customWidth="1"/>
    <col min="11085" max="11085" width="15.140625" style="12" customWidth="1"/>
    <col min="11086" max="11087" width="1" style="12" customWidth="1"/>
    <col min="11088" max="11142" width="0" style="12" hidden="1" customWidth="1"/>
    <col min="11143" max="11144" width="1" style="12" customWidth="1"/>
    <col min="11145" max="11145" width="17.85546875" style="12" customWidth="1"/>
    <col min="11146" max="11149" width="1" style="12" customWidth="1"/>
    <col min="11150" max="11150" width="15.7109375" style="12" customWidth="1"/>
    <col min="11151" max="11152" width="1" style="12" customWidth="1"/>
    <col min="11153" max="11153" width="0.7109375" style="12" customWidth="1"/>
    <col min="11154" max="11154" width="3.28515625" style="12" customWidth="1"/>
    <col min="11155" max="11155" width="10" style="12"/>
    <col min="11156" max="11156" width="10.42578125" style="12" bestFit="1" customWidth="1"/>
    <col min="11157" max="11264" width="10" style="12"/>
    <col min="11265" max="11265" width="1.85546875" style="12" customWidth="1"/>
    <col min="11266" max="11266" width="1" style="12" customWidth="1"/>
    <col min="11267" max="11267" width="0.85546875" style="12" customWidth="1"/>
    <col min="11268" max="11268" width="58.28515625" style="12" customWidth="1"/>
    <col min="11269" max="11270" width="1" style="12" customWidth="1"/>
    <col min="11271" max="11271" width="16.85546875" style="12" customWidth="1"/>
    <col min="11272" max="11273" width="1" style="12" customWidth="1"/>
    <col min="11274" max="11328" width="0" style="12" hidden="1" customWidth="1"/>
    <col min="11329" max="11330" width="1" style="12" customWidth="1"/>
    <col min="11331" max="11331" width="17.85546875" style="12" customWidth="1"/>
    <col min="11332" max="11335" width="1" style="12" customWidth="1"/>
    <col min="11336" max="11336" width="16.140625" style="12" customWidth="1"/>
    <col min="11337" max="11340" width="1" style="12" customWidth="1"/>
    <col min="11341" max="11341" width="15.140625" style="12" customWidth="1"/>
    <col min="11342" max="11343" width="1" style="12" customWidth="1"/>
    <col min="11344" max="11398" width="0" style="12" hidden="1" customWidth="1"/>
    <col min="11399" max="11400" width="1" style="12" customWidth="1"/>
    <col min="11401" max="11401" width="17.85546875" style="12" customWidth="1"/>
    <col min="11402" max="11405" width="1" style="12" customWidth="1"/>
    <col min="11406" max="11406" width="15.7109375" style="12" customWidth="1"/>
    <col min="11407" max="11408" width="1" style="12" customWidth="1"/>
    <col min="11409" max="11409" width="0.7109375" style="12" customWidth="1"/>
    <col min="11410" max="11410" width="3.28515625" style="12" customWidth="1"/>
    <col min="11411" max="11411" width="10" style="12"/>
    <col min="11412" max="11412" width="10.42578125" style="12" bestFit="1" customWidth="1"/>
    <col min="11413" max="11520" width="10" style="12"/>
    <col min="11521" max="11521" width="1.85546875" style="12" customWidth="1"/>
    <col min="11522" max="11522" width="1" style="12" customWidth="1"/>
    <col min="11523" max="11523" width="0.85546875" style="12" customWidth="1"/>
    <col min="11524" max="11524" width="58.28515625" style="12" customWidth="1"/>
    <col min="11525" max="11526" width="1" style="12" customWidth="1"/>
    <col min="11527" max="11527" width="16.85546875" style="12" customWidth="1"/>
    <col min="11528" max="11529" width="1" style="12" customWidth="1"/>
    <col min="11530" max="11584" width="0" style="12" hidden="1" customWidth="1"/>
    <col min="11585" max="11586" width="1" style="12" customWidth="1"/>
    <col min="11587" max="11587" width="17.85546875" style="12" customWidth="1"/>
    <col min="11588" max="11591" width="1" style="12" customWidth="1"/>
    <col min="11592" max="11592" width="16.140625" style="12" customWidth="1"/>
    <col min="11593" max="11596" width="1" style="12" customWidth="1"/>
    <col min="11597" max="11597" width="15.140625" style="12" customWidth="1"/>
    <col min="11598" max="11599" width="1" style="12" customWidth="1"/>
    <col min="11600" max="11654" width="0" style="12" hidden="1" customWidth="1"/>
    <col min="11655" max="11656" width="1" style="12" customWidth="1"/>
    <col min="11657" max="11657" width="17.85546875" style="12" customWidth="1"/>
    <col min="11658" max="11661" width="1" style="12" customWidth="1"/>
    <col min="11662" max="11662" width="15.7109375" style="12" customWidth="1"/>
    <col min="11663" max="11664" width="1" style="12" customWidth="1"/>
    <col min="11665" max="11665" width="0.7109375" style="12" customWidth="1"/>
    <col min="11666" max="11666" width="3.28515625" style="12" customWidth="1"/>
    <col min="11667" max="11667" width="10" style="12"/>
    <col min="11668" max="11668" width="10.42578125" style="12" bestFit="1" customWidth="1"/>
    <col min="11669" max="11776" width="10" style="12"/>
    <col min="11777" max="11777" width="1.85546875" style="12" customWidth="1"/>
    <col min="11778" max="11778" width="1" style="12" customWidth="1"/>
    <col min="11779" max="11779" width="0.85546875" style="12" customWidth="1"/>
    <col min="11780" max="11780" width="58.28515625" style="12" customWidth="1"/>
    <col min="11781" max="11782" width="1" style="12" customWidth="1"/>
    <col min="11783" max="11783" width="16.85546875" style="12" customWidth="1"/>
    <col min="11784" max="11785" width="1" style="12" customWidth="1"/>
    <col min="11786" max="11840" width="0" style="12" hidden="1" customWidth="1"/>
    <col min="11841" max="11842" width="1" style="12" customWidth="1"/>
    <col min="11843" max="11843" width="17.85546875" style="12" customWidth="1"/>
    <col min="11844" max="11847" width="1" style="12" customWidth="1"/>
    <col min="11848" max="11848" width="16.140625" style="12" customWidth="1"/>
    <col min="11849" max="11852" width="1" style="12" customWidth="1"/>
    <col min="11853" max="11853" width="15.140625" style="12" customWidth="1"/>
    <col min="11854" max="11855" width="1" style="12" customWidth="1"/>
    <col min="11856" max="11910" width="0" style="12" hidden="1" customWidth="1"/>
    <col min="11911" max="11912" width="1" style="12" customWidth="1"/>
    <col min="11913" max="11913" width="17.85546875" style="12" customWidth="1"/>
    <col min="11914" max="11917" width="1" style="12" customWidth="1"/>
    <col min="11918" max="11918" width="15.7109375" style="12" customWidth="1"/>
    <col min="11919" max="11920" width="1" style="12" customWidth="1"/>
    <col min="11921" max="11921" width="0.7109375" style="12" customWidth="1"/>
    <col min="11922" max="11922" width="3.28515625" style="12" customWidth="1"/>
    <col min="11923" max="11923" width="10" style="12"/>
    <col min="11924" max="11924" width="10.42578125" style="12" bestFit="1" customWidth="1"/>
    <col min="11925" max="12032" width="10" style="12"/>
    <col min="12033" max="12033" width="1.85546875" style="12" customWidth="1"/>
    <col min="12034" max="12034" width="1" style="12" customWidth="1"/>
    <col min="12035" max="12035" width="0.85546875" style="12" customWidth="1"/>
    <col min="12036" max="12036" width="58.28515625" style="12" customWidth="1"/>
    <col min="12037" max="12038" width="1" style="12" customWidth="1"/>
    <col min="12039" max="12039" width="16.85546875" style="12" customWidth="1"/>
    <col min="12040" max="12041" width="1" style="12" customWidth="1"/>
    <col min="12042" max="12096" width="0" style="12" hidden="1" customWidth="1"/>
    <col min="12097" max="12098" width="1" style="12" customWidth="1"/>
    <col min="12099" max="12099" width="17.85546875" style="12" customWidth="1"/>
    <col min="12100" max="12103" width="1" style="12" customWidth="1"/>
    <col min="12104" max="12104" width="16.140625" style="12" customWidth="1"/>
    <col min="12105" max="12108" width="1" style="12" customWidth="1"/>
    <col min="12109" max="12109" width="15.140625" style="12" customWidth="1"/>
    <col min="12110" max="12111" width="1" style="12" customWidth="1"/>
    <col min="12112" max="12166" width="0" style="12" hidden="1" customWidth="1"/>
    <col min="12167" max="12168" width="1" style="12" customWidth="1"/>
    <col min="12169" max="12169" width="17.85546875" style="12" customWidth="1"/>
    <col min="12170" max="12173" width="1" style="12" customWidth="1"/>
    <col min="12174" max="12174" width="15.7109375" style="12" customWidth="1"/>
    <col min="12175" max="12176" width="1" style="12" customWidth="1"/>
    <col min="12177" max="12177" width="0.7109375" style="12" customWidth="1"/>
    <col min="12178" max="12178" width="3.28515625" style="12" customWidth="1"/>
    <col min="12179" max="12179" width="10" style="12"/>
    <col min="12180" max="12180" width="10.42578125" style="12" bestFit="1" customWidth="1"/>
    <col min="12181" max="12288" width="10" style="12"/>
    <col min="12289" max="12289" width="1.85546875" style="12" customWidth="1"/>
    <col min="12290" max="12290" width="1" style="12" customWidth="1"/>
    <col min="12291" max="12291" width="0.85546875" style="12" customWidth="1"/>
    <col min="12292" max="12292" width="58.28515625" style="12" customWidth="1"/>
    <col min="12293" max="12294" width="1" style="12" customWidth="1"/>
    <col min="12295" max="12295" width="16.85546875" style="12" customWidth="1"/>
    <col min="12296" max="12297" width="1" style="12" customWidth="1"/>
    <col min="12298" max="12352" width="0" style="12" hidden="1" customWidth="1"/>
    <col min="12353" max="12354" width="1" style="12" customWidth="1"/>
    <col min="12355" max="12355" width="17.85546875" style="12" customWidth="1"/>
    <col min="12356" max="12359" width="1" style="12" customWidth="1"/>
    <col min="12360" max="12360" width="16.140625" style="12" customWidth="1"/>
    <col min="12361" max="12364" width="1" style="12" customWidth="1"/>
    <col min="12365" max="12365" width="15.140625" style="12" customWidth="1"/>
    <col min="12366" max="12367" width="1" style="12" customWidth="1"/>
    <col min="12368" max="12422" width="0" style="12" hidden="1" customWidth="1"/>
    <col min="12423" max="12424" width="1" style="12" customWidth="1"/>
    <col min="12425" max="12425" width="17.85546875" style="12" customWidth="1"/>
    <col min="12426" max="12429" width="1" style="12" customWidth="1"/>
    <col min="12430" max="12430" width="15.7109375" style="12" customWidth="1"/>
    <col min="12431" max="12432" width="1" style="12" customWidth="1"/>
    <col min="12433" max="12433" width="0.7109375" style="12" customWidth="1"/>
    <col min="12434" max="12434" width="3.28515625" style="12" customWidth="1"/>
    <col min="12435" max="12435" width="10" style="12"/>
    <col min="12436" max="12436" width="10.42578125" style="12" bestFit="1" customWidth="1"/>
    <col min="12437" max="12544" width="10" style="12"/>
    <col min="12545" max="12545" width="1.85546875" style="12" customWidth="1"/>
    <col min="12546" max="12546" width="1" style="12" customWidth="1"/>
    <col min="12547" max="12547" width="0.85546875" style="12" customWidth="1"/>
    <col min="12548" max="12548" width="58.28515625" style="12" customWidth="1"/>
    <col min="12549" max="12550" width="1" style="12" customWidth="1"/>
    <col min="12551" max="12551" width="16.85546875" style="12" customWidth="1"/>
    <col min="12552" max="12553" width="1" style="12" customWidth="1"/>
    <col min="12554" max="12608" width="0" style="12" hidden="1" customWidth="1"/>
    <col min="12609" max="12610" width="1" style="12" customWidth="1"/>
    <col min="12611" max="12611" width="17.85546875" style="12" customWidth="1"/>
    <col min="12612" max="12615" width="1" style="12" customWidth="1"/>
    <col min="12616" max="12616" width="16.140625" style="12" customWidth="1"/>
    <col min="12617" max="12620" width="1" style="12" customWidth="1"/>
    <col min="12621" max="12621" width="15.140625" style="12" customWidth="1"/>
    <col min="12622" max="12623" width="1" style="12" customWidth="1"/>
    <col min="12624" max="12678" width="0" style="12" hidden="1" customWidth="1"/>
    <col min="12679" max="12680" width="1" style="12" customWidth="1"/>
    <col min="12681" max="12681" width="17.85546875" style="12" customWidth="1"/>
    <col min="12682" max="12685" width="1" style="12" customWidth="1"/>
    <col min="12686" max="12686" width="15.7109375" style="12" customWidth="1"/>
    <col min="12687" max="12688" width="1" style="12" customWidth="1"/>
    <col min="12689" max="12689" width="0.7109375" style="12" customWidth="1"/>
    <col min="12690" max="12690" width="3.28515625" style="12" customWidth="1"/>
    <col min="12691" max="12691" width="10" style="12"/>
    <col min="12692" max="12692" width="10.42578125" style="12" bestFit="1" customWidth="1"/>
    <col min="12693" max="12800" width="10" style="12"/>
    <col min="12801" max="12801" width="1.85546875" style="12" customWidth="1"/>
    <col min="12802" max="12802" width="1" style="12" customWidth="1"/>
    <col min="12803" max="12803" width="0.85546875" style="12" customWidth="1"/>
    <col min="12804" max="12804" width="58.28515625" style="12" customWidth="1"/>
    <col min="12805" max="12806" width="1" style="12" customWidth="1"/>
    <col min="12807" max="12807" width="16.85546875" style="12" customWidth="1"/>
    <col min="12808" max="12809" width="1" style="12" customWidth="1"/>
    <col min="12810" max="12864" width="0" style="12" hidden="1" customWidth="1"/>
    <col min="12865" max="12866" width="1" style="12" customWidth="1"/>
    <col min="12867" max="12867" width="17.85546875" style="12" customWidth="1"/>
    <col min="12868" max="12871" width="1" style="12" customWidth="1"/>
    <col min="12872" max="12872" width="16.140625" style="12" customWidth="1"/>
    <col min="12873" max="12876" width="1" style="12" customWidth="1"/>
    <col min="12877" max="12877" width="15.140625" style="12" customWidth="1"/>
    <col min="12878" max="12879" width="1" style="12" customWidth="1"/>
    <col min="12880" max="12934" width="0" style="12" hidden="1" customWidth="1"/>
    <col min="12935" max="12936" width="1" style="12" customWidth="1"/>
    <col min="12937" max="12937" width="17.85546875" style="12" customWidth="1"/>
    <col min="12938" max="12941" width="1" style="12" customWidth="1"/>
    <col min="12942" max="12942" width="15.7109375" style="12" customWidth="1"/>
    <col min="12943" max="12944" width="1" style="12" customWidth="1"/>
    <col min="12945" max="12945" width="0.7109375" style="12" customWidth="1"/>
    <col min="12946" max="12946" width="3.28515625" style="12" customWidth="1"/>
    <col min="12947" max="12947" width="10" style="12"/>
    <col min="12948" max="12948" width="10.42578125" style="12" bestFit="1" customWidth="1"/>
    <col min="12949" max="13056" width="10" style="12"/>
    <col min="13057" max="13057" width="1.85546875" style="12" customWidth="1"/>
    <col min="13058" max="13058" width="1" style="12" customWidth="1"/>
    <col min="13059" max="13059" width="0.85546875" style="12" customWidth="1"/>
    <col min="13060" max="13060" width="58.28515625" style="12" customWidth="1"/>
    <col min="13061" max="13062" width="1" style="12" customWidth="1"/>
    <col min="13063" max="13063" width="16.85546875" style="12" customWidth="1"/>
    <col min="13064" max="13065" width="1" style="12" customWidth="1"/>
    <col min="13066" max="13120" width="0" style="12" hidden="1" customWidth="1"/>
    <col min="13121" max="13122" width="1" style="12" customWidth="1"/>
    <col min="13123" max="13123" width="17.85546875" style="12" customWidth="1"/>
    <col min="13124" max="13127" width="1" style="12" customWidth="1"/>
    <col min="13128" max="13128" width="16.140625" style="12" customWidth="1"/>
    <col min="13129" max="13132" width="1" style="12" customWidth="1"/>
    <col min="13133" max="13133" width="15.140625" style="12" customWidth="1"/>
    <col min="13134" max="13135" width="1" style="12" customWidth="1"/>
    <col min="13136" max="13190" width="0" style="12" hidden="1" customWidth="1"/>
    <col min="13191" max="13192" width="1" style="12" customWidth="1"/>
    <col min="13193" max="13193" width="17.85546875" style="12" customWidth="1"/>
    <col min="13194" max="13197" width="1" style="12" customWidth="1"/>
    <col min="13198" max="13198" width="15.7109375" style="12" customWidth="1"/>
    <col min="13199" max="13200" width="1" style="12" customWidth="1"/>
    <col min="13201" max="13201" width="0.7109375" style="12" customWidth="1"/>
    <col min="13202" max="13202" width="3.28515625" style="12" customWidth="1"/>
    <col min="13203" max="13203" width="10" style="12"/>
    <col min="13204" max="13204" width="10.42578125" style="12" bestFit="1" customWidth="1"/>
    <col min="13205" max="13312" width="10" style="12"/>
    <col min="13313" max="13313" width="1.85546875" style="12" customWidth="1"/>
    <col min="13314" max="13314" width="1" style="12" customWidth="1"/>
    <col min="13315" max="13315" width="0.85546875" style="12" customWidth="1"/>
    <col min="13316" max="13316" width="58.28515625" style="12" customWidth="1"/>
    <col min="13317" max="13318" width="1" style="12" customWidth="1"/>
    <col min="13319" max="13319" width="16.85546875" style="12" customWidth="1"/>
    <col min="13320" max="13321" width="1" style="12" customWidth="1"/>
    <col min="13322" max="13376" width="0" style="12" hidden="1" customWidth="1"/>
    <col min="13377" max="13378" width="1" style="12" customWidth="1"/>
    <col min="13379" max="13379" width="17.85546875" style="12" customWidth="1"/>
    <col min="13380" max="13383" width="1" style="12" customWidth="1"/>
    <col min="13384" max="13384" width="16.140625" style="12" customWidth="1"/>
    <col min="13385" max="13388" width="1" style="12" customWidth="1"/>
    <col min="13389" max="13389" width="15.140625" style="12" customWidth="1"/>
    <col min="13390" max="13391" width="1" style="12" customWidth="1"/>
    <col min="13392" max="13446" width="0" style="12" hidden="1" customWidth="1"/>
    <col min="13447" max="13448" width="1" style="12" customWidth="1"/>
    <col min="13449" max="13449" width="17.85546875" style="12" customWidth="1"/>
    <col min="13450" max="13453" width="1" style="12" customWidth="1"/>
    <col min="13454" max="13454" width="15.7109375" style="12" customWidth="1"/>
    <col min="13455" max="13456" width="1" style="12" customWidth="1"/>
    <col min="13457" max="13457" width="0.7109375" style="12" customWidth="1"/>
    <col min="13458" max="13458" width="3.28515625" style="12" customWidth="1"/>
    <col min="13459" max="13459" width="10" style="12"/>
    <col min="13460" max="13460" width="10.42578125" style="12" bestFit="1" customWidth="1"/>
    <col min="13461" max="13568" width="10" style="12"/>
    <col min="13569" max="13569" width="1.85546875" style="12" customWidth="1"/>
    <col min="13570" max="13570" width="1" style="12" customWidth="1"/>
    <col min="13571" max="13571" width="0.85546875" style="12" customWidth="1"/>
    <col min="13572" max="13572" width="58.28515625" style="12" customWidth="1"/>
    <col min="13573" max="13574" width="1" style="12" customWidth="1"/>
    <col min="13575" max="13575" width="16.85546875" style="12" customWidth="1"/>
    <col min="13576" max="13577" width="1" style="12" customWidth="1"/>
    <col min="13578" max="13632" width="0" style="12" hidden="1" customWidth="1"/>
    <col min="13633" max="13634" width="1" style="12" customWidth="1"/>
    <col min="13635" max="13635" width="17.85546875" style="12" customWidth="1"/>
    <col min="13636" max="13639" width="1" style="12" customWidth="1"/>
    <col min="13640" max="13640" width="16.140625" style="12" customWidth="1"/>
    <col min="13641" max="13644" width="1" style="12" customWidth="1"/>
    <col min="13645" max="13645" width="15.140625" style="12" customWidth="1"/>
    <col min="13646" max="13647" width="1" style="12" customWidth="1"/>
    <col min="13648" max="13702" width="0" style="12" hidden="1" customWidth="1"/>
    <col min="13703" max="13704" width="1" style="12" customWidth="1"/>
    <col min="13705" max="13705" width="17.85546875" style="12" customWidth="1"/>
    <col min="13706" max="13709" width="1" style="12" customWidth="1"/>
    <col min="13710" max="13710" width="15.7109375" style="12" customWidth="1"/>
    <col min="13711" max="13712" width="1" style="12" customWidth="1"/>
    <col min="13713" max="13713" width="0.7109375" style="12" customWidth="1"/>
    <col min="13714" max="13714" width="3.28515625" style="12" customWidth="1"/>
    <col min="13715" max="13715" width="10" style="12"/>
    <col min="13716" max="13716" width="10.42578125" style="12" bestFit="1" customWidth="1"/>
    <col min="13717" max="13824" width="10" style="12"/>
    <col min="13825" max="13825" width="1.85546875" style="12" customWidth="1"/>
    <col min="13826" max="13826" width="1" style="12" customWidth="1"/>
    <col min="13827" max="13827" width="0.85546875" style="12" customWidth="1"/>
    <col min="13828" max="13828" width="58.28515625" style="12" customWidth="1"/>
    <col min="13829" max="13830" width="1" style="12" customWidth="1"/>
    <col min="13831" max="13831" width="16.85546875" style="12" customWidth="1"/>
    <col min="13832" max="13833" width="1" style="12" customWidth="1"/>
    <col min="13834" max="13888" width="0" style="12" hidden="1" customWidth="1"/>
    <col min="13889" max="13890" width="1" style="12" customWidth="1"/>
    <col min="13891" max="13891" width="17.85546875" style="12" customWidth="1"/>
    <col min="13892" max="13895" width="1" style="12" customWidth="1"/>
    <col min="13896" max="13896" width="16.140625" style="12" customWidth="1"/>
    <col min="13897" max="13900" width="1" style="12" customWidth="1"/>
    <col min="13901" max="13901" width="15.140625" style="12" customWidth="1"/>
    <col min="13902" max="13903" width="1" style="12" customWidth="1"/>
    <col min="13904" max="13958" width="0" style="12" hidden="1" customWidth="1"/>
    <col min="13959" max="13960" width="1" style="12" customWidth="1"/>
    <col min="13961" max="13961" width="17.85546875" style="12" customWidth="1"/>
    <col min="13962" max="13965" width="1" style="12" customWidth="1"/>
    <col min="13966" max="13966" width="15.7109375" style="12" customWidth="1"/>
    <col min="13967" max="13968" width="1" style="12" customWidth="1"/>
    <col min="13969" max="13969" width="0.7109375" style="12" customWidth="1"/>
    <col min="13970" max="13970" width="3.28515625" style="12" customWidth="1"/>
    <col min="13971" max="13971" width="10" style="12"/>
    <col min="13972" max="13972" width="10.42578125" style="12" bestFit="1" customWidth="1"/>
    <col min="13973" max="14080" width="10" style="12"/>
    <col min="14081" max="14081" width="1.85546875" style="12" customWidth="1"/>
    <col min="14082" max="14082" width="1" style="12" customWidth="1"/>
    <col min="14083" max="14083" width="0.85546875" style="12" customWidth="1"/>
    <col min="14084" max="14084" width="58.28515625" style="12" customWidth="1"/>
    <col min="14085" max="14086" width="1" style="12" customWidth="1"/>
    <col min="14087" max="14087" width="16.85546875" style="12" customWidth="1"/>
    <col min="14088" max="14089" width="1" style="12" customWidth="1"/>
    <col min="14090" max="14144" width="0" style="12" hidden="1" customWidth="1"/>
    <col min="14145" max="14146" width="1" style="12" customWidth="1"/>
    <col min="14147" max="14147" width="17.85546875" style="12" customWidth="1"/>
    <col min="14148" max="14151" width="1" style="12" customWidth="1"/>
    <col min="14152" max="14152" width="16.140625" style="12" customWidth="1"/>
    <col min="14153" max="14156" width="1" style="12" customWidth="1"/>
    <col min="14157" max="14157" width="15.140625" style="12" customWidth="1"/>
    <col min="14158" max="14159" width="1" style="12" customWidth="1"/>
    <col min="14160" max="14214" width="0" style="12" hidden="1" customWidth="1"/>
    <col min="14215" max="14216" width="1" style="12" customWidth="1"/>
    <col min="14217" max="14217" width="17.85546875" style="12" customWidth="1"/>
    <col min="14218" max="14221" width="1" style="12" customWidth="1"/>
    <col min="14222" max="14222" width="15.7109375" style="12" customWidth="1"/>
    <col min="14223" max="14224" width="1" style="12" customWidth="1"/>
    <col min="14225" max="14225" width="0.7109375" style="12" customWidth="1"/>
    <col min="14226" max="14226" width="3.28515625" style="12" customWidth="1"/>
    <col min="14227" max="14227" width="10" style="12"/>
    <col min="14228" max="14228" width="10.42578125" style="12" bestFit="1" customWidth="1"/>
    <col min="14229" max="14336" width="10" style="12"/>
    <col min="14337" max="14337" width="1.85546875" style="12" customWidth="1"/>
    <col min="14338" max="14338" width="1" style="12" customWidth="1"/>
    <col min="14339" max="14339" width="0.85546875" style="12" customWidth="1"/>
    <col min="14340" max="14340" width="58.28515625" style="12" customWidth="1"/>
    <col min="14341" max="14342" width="1" style="12" customWidth="1"/>
    <col min="14343" max="14343" width="16.85546875" style="12" customWidth="1"/>
    <col min="14344" max="14345" width="1" style="12" customWidth="1"/>
    <col min="14346" max="14400" width="0" style="12" hidden="1" customWidth="1"/>
    <col min="14401" max="14402" width="1" style="12" customWidth="1"/>
    <col min="14403" max="14403" width="17.85546875" style="12" customWidth="1"/>
    <col min="14404" max="14407" width="1" style="12" customWidth="1"/>
    <col min="14408" max="14408" width="16.140625" style="12" customWidth="1"/>
    <col min="14409" max="14412" width="1" style="12" customWidth="1"/>
    <col min="14413" max="14413" width="15.140625" style="12" customWidth="1"/>
    <col min="14414" max="14415" width="1" style="12" customWidth="1"/>
    <col min="14416" max="14470" width="0" style="12" hidden="1" customWidth="1"/>
    <col min="14471" max="14472" width="1" style="12" customWidth="1"/>
    <col min="14473" max="14473" width="17.85546875" style="12" customWidth="1"/>
    <col min="14474" max="14477" width="1" style="12" customWidth="1"/>
    <col min="14478" max="14478" width="15.7109375" style="12" customWidth="1"/>
    <col min="14479" max="14480" width="1" style="12" customWidth="1"/>
    <col min="14481" max="14481" width="0.7109375" style="12" customWidth="1"/>
    <col min="14482" max="14482" width="3.28515625" style="12" customWidth="1"/>
    <col min="14483" max="14483" width="10" style="12"/>
    <col min="14484" max="14484" width="10.42578125" style="12" bestFit="1" customWidth="1"/>
    <col min="14485" max="14592" width="10" style="12"/>
    <col min="14593" max="14593" width="1.85546875" style="12" customWidth="1"/>
    <col min="14594" max="14594" width="1" style="12" customWidth="1"/>
    <col min="14595" max="14595" width="0.85546875" style="12" customWidth="1"/>
    <col min="14596" max="14596" width="58.28515625" style="12" customWidth="1"/>
    <col min="14597" max="14598" width="1" style="12" customWidth="1"/>
    <col min="14599" max="14599" width="16.85546875" style="12" customWidth="1"/>
    <col min="14600" max="14601" width="1" style="12" customWidth="1"/>
    <col min="14602" max="14656" width="0" style="12" hidden="1" customWidth="1"/>
    <col min="14657" max="14658" width="1" style="12" customWidth="1"/>
    <col min="14659" max="14659" width="17.85546875" style="12" customWidth="1"/>
    <col min="14660" max="14663" width="1" style="12" customWidth="1"/>
    <col min="14664" max="14664" width="16.140625" style="12" customWidth="1"/>
    <col min="14665" max="14668" width="1" style="12" customWidth="1"/>
    <col min="14669" max="14669" width="15.140625" style="12" customWidth="1"/>
    <col min="14670" max="14671" width="1" style="12" customWidth="1"/>
    <col min="14672" max="14726" width="0" style="12" hidden="1" customWidth="1"/>
    <col min="14727" max="14728" width="1" style="12" customWidth="1"/>
    <col min="14729" max="14729" width="17.85546875" style="12" customWidth="1"/>
    <col min="14730" max="14733" width="1" style="12" customWidth="1"/>
    <col min="14734" max="14734" width="15.7109375" style="12" customWidth="1"/>
    <col min="14735" max="14736" width="1" style="12" customWidth="1"/>
    <col min="14737" max="14737" width="0.7109375" style="12" customWidth="1"/>
    <col min="14738" max="14738" width="3.28515625" style="12" customWidth="1"/>
    <col min="14739" max="14739" width="10" style="12"/>
    <col min="14740" max="14740" width="10.42578125" style="12" bestFit="1" customWidth="1"/>
    <col min="14741" max="14848" width="10" style="12"/>
    <col min="14849" max="14849" width="1.85546875" style="12" customWidth="1"/>
    <col min="14850" max="14850" width="1" style="12" customWidth="1"/>
    <col min="14851" max="14851" width="0.85546875" style="12" customWidth="1"/>
    <col min="14852" max="14852" width="58.28515625" style="12" customWidth="1"/>
    <col min="14853" max="14854" width="1" style="12" customWidth="1"/>
    <col min="14855" max="14855" width="16.85546875" style="12" customWidth="1"/>
    <col min="14856" max="14857" width="1" style="12" customWidth="1"/>
    <col min="14858" max="14912" width="0" style="12" hidden="1" customWidth="1"/>
    <col min="14913" max="14914" width="1" style="12" customWidth="1"/>
    <col min="14915" max="14915" width="17.85546875" style="12" customWidth="1"/>
    <col min="14916" max="14919" width="1" style="12" customWidth="1"/>
    <col min="14920" max="14920" width="16.140625" style="12" customWidth="1"/>
    <col min="14921" max="14924" width="1" style="12" customWidth="1"/>
    <col min="14925" max="14925" width="15.140625" style="12" customWidth="1"/>
    <col min="14926" max="14927" width="1" style="12" customWidth="1"/>
    <col min="14928" max="14982" width="0" style="12" hidden="1" customWidth="1"/>
    <col min="14983" max="14984" width="1" style="12" customWidth="1"/>
    <col min="14985" max="14985" width="17.85546875" style="12" customWidth="1"/>
    <col min="14986" max="14989" width="1" style="12" customWidth="1"/>
    <col min="14990" max="14990" width="15.7109375" style="12" customWidth="1"/>
    <col min="14991" max="14992" width="1" style="12" customWidth="1"/>
    <col min="14993" max="14993" width="0.7109375" style="12" customWidth="1"/>
    <col min="14994" max="14994" width="3.28515625" style="12" customWidth="1"/>
    <col min="14995" max="14995" width="10" style="12"/>
    <col min="14996" max="14996" width="10.42578125" style="12" bestFit="1" customWidth="1"/>
    <col min="14997" max="15104" width="10" style="12"/>
    <col min="15105" max="15105" width="1.85546875" style="12" customWidth="1"/>
    <col min="15106" max="15106" width="1" style="12" customWidth="1"/>
    <col min="15107" max="15107" width="0.85546875" style="12" customWidth="1"/>
    <col min="15108" max="15108" width="58.28515625" style="12" customWidth="1"/>
    <col min="15109" max="15110" width="1" style="12" customWidth="1"/>
    <col min="15111" max="15111" width="16.85546875" style="12" customWidth="1"/>
    <col min="15112" max="15113" width="1" style="12" customWidth="1"/>
    <col min="15114" max="15168" width="0" style="12" hidden="1" customWidth="1"/>
    <col min="15169" max="15170" width="1" style="12" customWidth="1"/>
    <col min="15171" max="15171" width="17.85546875" style="12" customWidth="1"/>
    <col min="15172" max="15175" width="1" style="12" customWidth="1"/>
    <col min="15176" max="15176" width="16.140625" style="12" customWidth="1"/>
    <col min="15177" max="15180" width="1" style="12" customWidth="1"/>
    <col min="15181" max="15181" width="15.140625" style="12" customWidth="1"/>
    <col min="15182" max="15183" width="1" style="12" customWidth="1"/>
    <col min="15184" max="15238" width="0" style="12" hidden="1" customWidth="1"/>
    <col min="15239" max="15240" width="1" style="12" customWidth="1"/>
    <col min="15241" max="15241" width="17.85546875" style="12" customWidth="1"/>
    <col min="15242" max="15245" width="1" style="12" customWidth="1"/>
    <col min="15246" max="15246" width="15.7109375" style="12" customWidth="1"/>
    <col min="15247" max="15248" width="1" style="12" customWidth="1"/>
    <col min="15249" max="15249" width="0.7109375" style="12" customWidth="1"/>
    <col min="15250" max="15250" width="3.28515625" style="12" customWidth="1"/>
    <col min="15251" max="15251" width="10" style="12"/>
    <col min="15252" max="15252" width="10.42578125" style="12" bestFit="1" customWidth="1"/>
    <col min="15253" max="15360" width="10" style="12"/>
    <col min="15361" max="15361" width="1.85546875" style="12" customWidth="1"/>
    <col min="15362" max="15362" width="1" style="12" customWidth="1"/>
    <col min="15363" max="15363" width="0.85546875" style="12" customWidth="1"/>
    <col min="15364" max="15364" width="58.28515625" style="12" customWidth="1"/>
    <col min="15365" max="15366" width="1" style="12" customWidth="1"/>
    <col min="15367" max="15367" width="16.85546875" style="12" customWidth="1"/>
    <col min="15368" max="15369" width="1" style="12" customWidth="1"/>
    <col min="15370" max="15424" width="0" style="12" hidden="1" customWidth="1"/>
    <col min="15425" max="15426" width="1" style="12" customWidth="1"/>
    <col min="15427" max="15427" width="17.85546875" style="12" customWidth="1"/>
    <col min="15428" max="15431" width="1" style="12" customWidth="1"/>
    <col min="15432" max="15432" width="16.140625" style="12" customWidth="1"/>
    <col min="15433" max="15436" width="1" style="12" customWidth="1"/>
    <col min="15437" max="15437" width="15.140625" style="12" customWidth="1"/>
    <col min="15438" max="15439" width="1" style="12" customWidth="1"/>
    <col min="15440" max="15494" width="0" style="12" hidden="1" customWidth="1"/>
    <col min="15495" max="15496" width="1" style="12" customWidth="1"/>
    <col min="15497" max="15497" width="17.85546875" style="12" customWidth="1"/>
    <col min="15498" max="15501" width="1" style="12" customWidth="1"/>
    <col min="15502" max="15502" width="15.7109375" style="12" customWidth="1"/>
    <col min="15503" max="15504" width="1" style="12" customWidth="1"/>
    <col min="15505" max="15505" width="0.7109375" style="12" customWidth="1"/>
    <col min="15506" max="15506" width="3.28515625" style="12" customWidth="1"/>
    <col min="15507" max="15507" width="10" style="12"/>
    <col min="15508" max="15508" width="10.42578125" style="12" bestFit="1" customWidth="1"/>
    <col min="15509" max="15616" width="10" style="12"/>
    <col min="15617" max="15617" width="1.85546875" style="12" customWidth="1"/>
    <col min="15618" max="15618" width="1" style="12" customWidth="1"/>
    <col min="15619" max="15619" width="0.85546875" style="12" customWidth="1"/>
    <col min="15620" max="15620" width="58.28515625" style="12" customWidth="1"/>
    <col min="15621" max="15622" width="1" style="12" customWidth="1"/>
    <col min="15623" max="15623" width="16.85546875" style="12" customWidth="1"/>
    <col min="15624" max="15625" width="1" style="12" customWidth="1"/>
    <col min="15626" max="15680" width="0" style="12" hidden="1" customWidth="1"/>
    <col min="15681" max="15682" width="1" style="12" customWidth="1"/>
    <col min="15683" max="15683" width="17.85546875" style="12" customWidth="1"/>
    <col min="15684" max="15687" width="1" style="12" customWidth="1"/>
    <col min="15688" max="15688" width="16.140625" style="12" customWidth="1"/>
    <col min="15689" max="15692" width="1" style="12" customWidth="1"/>
    <col min="15693" max="15693" width="15.140625" style="12" customWidth="1"/>
    <col min="15694" max="15695" width="1" style="12" customWidth="1"/>
    <col min="15696" max="15750" width="0" style="12" hidden="1" customWidth="1"/>
    <col min="15751" max="15752" width="1" style="12" customWidth="1"/>
    <col min="15753" max="15753" width="17.85546875" style="12" customWidth="1"/>
    <col min="15754" max="15757" width="1" style="12" customWidth="1"/>
    <col min="15758" max="15758" width="15.7109375" style="12" customWidth="1"/>
    <col min="15759" max="15760" width="1" style="12" customWidth="1"/>
    <col min="15761" max="15761" width="0.7109375" style="12" customWidth="1"/>
    <col min="15762" max="15762" width="3.28515625" style="12" customWidth="1"/>
    <col min="15763" max="15763" width="10" style="12"/>
    <col min="15764" max="15764" width="10.42578125" style="12" bestFit="1" customWidth="1"/>
    <col min="15765" max="15872" width="10" style="12"/>
    <col min="15873" max="15873" width="1.85546875" style="12" customWidth="1"/>
    <col min="15874" max="15874" width="1" style="12" customWidth="1"/>
    <col min="15875" max="15875" width="0.85546875" style="12" customWidth="1"/>
    <col min="15876" max="15876" width="58.28515625" style="12" customWidth="1"/>
    <col min="15877" max="15878" width="1" style="12" customWidth="1"/>
    <col min="15879" max="15879" width="16.85546875" style="12" customWidth="1"/>
    <col min="15880" max="15881" width="1" style="12" customWidth="1"/>
    <col min="15882" max="15936" width="0" style="12" hidden="1" customWidth="1"/>
    <col min="15937" max="15938" width="1" style="12" customWidth="1"/>
    <col min="15939" max="15939" width="17.85546875" style="12" customWidth="1"/>
    <col min="15940" max="15943" width="1" style="12" customWidth="1"/>
    <col min="15944" max="15944" width="16.140625" style="12" customWidth="1"/>
    <col min="15945" max="15948" width="1" style="12" customWidth="1"/>
    <col min="15949" max="15949" width="15.140625" style="12" customWidth="1"/>
    <col min="15950" max="15951" width="1" style="12" customWidth="1"/>
    <col min="15952" max="16006" width="0" style="12" hidden="1" customWidth="1"/>
    <col min="16007" max="16008" width="1" style="12" customWidth="1"/>
    <col min="16009" max="16009" width="17.85546875" style="12" customWidth="1"/>
    <col min="16010" max="16013" width="1" style="12" customWidth="1"/>
    <col min="16014" max="16014" width="15.7109375" style="12" customWidth="1"/>
    <col min="16015" max="16016" width="1" style="12" customWidth="1"/>
    <col min="16017" max="16017" width="0.7109375" style="12" customWidth="1"/>
    <col min="16018" max="16018" width="3.28515625" style="12" customWidth="1"/>
    <col min="16019" max="16019" width="10" style="12"/>
    <col min="16020" max="16020" width="10.42578125" style="12" bestFit="1" customWidth="1"/>
    <col min="16021" max="16128" width="10" style="12"/>
    <col min="16129" max="16129" width="1.85546875" style="12" customWidth="1"/>
    <col min="16130" max="16130" width="1" style="12" customWidth="1"/>
    <col min="16131" max="16131" width="0.85546875" style="12" customWidth="1"/>
    <col min="16132" max="16132" width="58.28515625" style="12" customWidth="1"/>
    <col min="16133" max="16134" width="1" style="12" customWidth="1"/>
    <col min="16135" max="16135" width="16.85546875" style="12" customWidth="1"/>
    <col min="16136" max="16137" width="1" style="12" customWidth="1"/>
    <col min="16138" max="16192" width="0" style="12" hidden="1" customWidth="1"/>
    <col min="16193" max="16194" width="1" style="12" customWidth="1"/>
    <col min="16195" max="16195" width="17.85546875" style="12" customWidth="1"/>
    <col min="16196" max="16199" width="1" style="12" customWidth="1"/>
    <col min="16200" max="16200" width="16.140625" style="12" customWidth="1"/>
    <col min="16201" max="16204" width="1" style="12" customWidth="1"/>
    <col min="16205" max="16205" width="15.140625" style="12" customWidth="1"/>
    <col min="16206" max="16207" width="1" style="12" customWidth="1"/>
    <col min="16208" max="16262" width="0" style="12" hidden="1" customWidth="1"/>
    <col min="16263" max="16264" width="1" style="12" customWidth="1"/>
    <col min="16265" max="16265" width="17.85546875" style="12" customWidth="1"/>
    <col min="16266" max="16269" width="1" style="12" customWidth="1"/>
    <col min="16270" max="16270" width="15.7109375" style="12" customWidth="1"/>
    <col min="16271" max="16272" width="1" style="12" customWidth="1"/>
    <col min="16273" max="16273" width="0.7109375" style="12" customWidth="1"/>
    <col min="16274" max="16274" width="3.28515625" style="12" customWidth="1"/>
    <col min="16275" max="16275" width="10" style="12"/>
    <col min="16276" max="16276" width="10.42578125" style="12" bestFit="1" customWidth="1"/>
    <col min="16277" max="16384" width="10" style="12"/>
  </cols>
  <sheetData>
    <row r="1" spans="3:145" x14ac:dyDescent="0.2">
      <c r="M1" s="12">
        <f>1770000000+11234076861+1105000000</f>
        <v>14109076861</v>
      </c>
    </row>
    <row r="2" spans="3:145" ht="6" customHeight="1" x14ac:dyDescent="0.2"/>
    <row r="4" spans="3:145" x14ac:dyDescent="0.2">
      <c r="D4" s="451"/>
      <c r="E4" s="451"/>
      <c r="F4" s="451"/>
    </row>
    <row r="7" spans="3:145" ht="15.75" x14ac:dyDescent="0.25">
      <c r="D7" s="87" t="s">
        <v>440</v>
      </c>
      <c r="E7" s="87"/>
      <c r="F7" s="87"/>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c r="CQ7" s="90"/>
      <c r="CR7" s="90"/>
      <c r="CS7" s="90"/>
      <c r="CT7" s="90"/>
      <c r="CU7" s="90"/>
      <c r="CV7" s="90"/>
      <c r="CW7" s="90"/>
      <c r="CX7" s="90"/>
      <c r="CY7" s="90"/>
      <c r="CZ7" s="90"/>
      <c r="DA7" s="90"/>
      <c r="DB7" s="90"/>
      <c r="DC7" s="90"/>
      <c r="DD7" s="90"/>
      <c r="DE7" s="90"/>
      <c r="DF7" s="90"/>
      <c r="DG7" s="90"/>
      <c r="DH7" s="90"/>
      <c r="DI7" s="90"/>
      <c r="DJ7" s="90"/>
      <c r="DK7" s="90"/>
      <c r="DL7" s="90"/>
      <c r="DM7" s="90"/>
      <c r="DN7" s="90"/>
      <c r="DO7" s="90"/>
      <c r="DP7" s="90"/>
      <c r="DQ7" s="90"/>
      <c r="DR7" s="90"/>
      <c r="DS7" s="90"/>
      <c r="DT7" s="90"/>
      <c r="DU7" s="90"/>
      <c r="DV7" s="90"/>
      <c r="DW7" s="90"/>
      <c r="DX7" s="90"/>
      <c r="DY7" s="90"/>
      <c r="DZ7" s="90"/>
      <c r="EA7" s="90"/>
      <c r="EB7" s="90"/>
      <c r="EC7" s="90"/>
      <c r="ED7" s="90"/>
      <c r="EE7" s="90"/>
      <c r="EF7" s="90"/>
      <c r="EG7" s="90"/>
      <c r="EH7" s="90"/>
      <c r="EI7" s="90"/>
      <c r="EJ7" s="90"/>
      <c r="EK7" s="90"/>
      <c r="EL7" s="90"/>
      <c r="EM7" s="90"/>
      <c r="EN7" s="90"/>
    </row>
    <row r="8" spans="3:145" x14ac:dyDescent="0.2">
      <c r="C8" s="128"/>
      <c r="D8" s="484"/>
      <c r="E8" s="286"/>
      <c r="F8" s="392"/>
      <c r="G8" s="762" t="str">
        <f>[51]summary!H8</f>
        <v>2020/21</v>
      </c>
      <c r="H8" s="762"/>
      <c r="I8" s="762"/>
      <c r="J8" s="762"/>
      <c r="K8" s="762"/>
      <c r="L8" s="787"/>
      <c r="M8" s="787"/>
      <c r="N8" s="787"/>
      <c r="O8" s="787"/>
      <c r="P8" s="787"/>
      <c r="Q8" s="787"/>
      <c r="R8" s="787"/>
      <c r="S8" s="787"/>
      <c r="T8" s="787"/>
      <c r="U8" s="787"/>
      <c r="V8" s="787"/>
      <c r="W8" s="787"/>
      <c r="X8" s="787"/>
      <c r="Y8" s="787"/>
      <c r="Z8" s="787"/>
      <c r="AA8" s="787"/>
      <c r="AB8" s="787"/>
      <c r="AC8" s="787"/>
      <c r="AD8" s="787"/>
      <c r="AE8" s="787"/>
      <c r="AF8" s="787"/>
      <c r="AG8" s="787"/>
      <c r="AH8" s="787"/>
      <c r="AI8" s="787"/>
      <c r="AJ8" s="787"/>
      <c r="AK8" s="787"/>
      <c r="AL8" s="787"/>
      <c r="AM8" s="787"/>
      <c r="AN8" s="787"/>
      <c r="AO8" s="787"/>
      <c r="AP8" s="787"/>
      <c r="AQ8" s="787"/>
      <c r="AR8" s="787"/>
      <c r="AS8" s="787"/>
      <c r="AT8" s="787"/>
      <c r="AU8" s="787"/>
      <c r="AV8" s="787"/>
      <c r="AW8" s="787"/>
      <c r="AX8" s="787"/>
      <c r="AY8" s="787"/>
      <c r="AZ8" s="787"/>
      <c r="BA8" s="787"/>
      <c r="BB8" s="787"/>
      <c r="BC8" s="787"/>
      <c r="BD8" s="787"/>
      <c r="BE8" s="787"/>
      <c r="BF8" s="787"/>
      <c r="BG8" s="787"/>
      <c r="BH8" s="787"/>
      <c r="BI8" s="787"/>
      <c r="BJ8" s="787"/>
      <c r="BK8" s="787"/>
      <c r="BL8" s="787"/>
      <c r="BM8" s="787"/>
      <c r="BN8" s="787"/>
      <c r="BO8" s="787"/>
      <c r="BP8" s="787"/>
      <c r="BQ8" s="787"/>
      <c r="BR8" s="787"/>
      <c r="BS8" s="787"/>
      <c r="BT8" s="787"/>
      <c r="BU8" s="184"/>
      <c r="BV8" s="184"/>
      <c r="BW8" s="211"/>
      <c r="BX8" s="184"/>
      <c r="BY8" s="788" t="str">
        <f>[51]summary!BZ8</f>
        <v>2019/20</v>
      </c>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62"/>
      <c r="DZ8" s="762"/>
      <c r="EA8" s="762"/>
      <c r="EB8" s="762"/>
      <c r="EC8" s="762"/>
      <c r="ED8" s="762"/>
      <c r="EE8" s="762"/>
      <c r="EF8" s="762"/>
      <c r="EG8" s="762"/>
      <c r="EH8" s="762"/>
      <c r="EI8" s="762"/>
      <c r="EJ8" s="762"/>
      <c r="EK8" s="762"/>
      <c r="EL8" s="762"/>
      <c r="EM8" s="200"/>
      <c r="EN8" s="253"/>
      <c r="EO8" s="244"/>
    </row>
    <row r="9" spans="3:145" ht="18" customHeight="1" x14ac:dyDescent="0.2">
      <c r="D9" s="244"/>
      <c r="E9" s="82"/>
      <c r="G9" s="20" t="str">
        <f>[51]domredemp!G9</f>
        <v>Revised</v>
      </c>
      <c r="H9" s="20"/>
      <c r="I9" s="20"/>
      <c r="J9" s="337"/>
      <c r="K9" s="20"/>
      <c r="L9" s="20" t="s">
        <v>3</v>
      </c>
      <c r="M9" s="20"/>
      <c r="N9" s="20"/>
      <c r="O9" s="337"/>
      <c r="P9" s="20"/>
      <c r="Q9" s="20" t="s">
        <v>4</v>
      </c>
      <c r="R9" s="20"/>
      <c r="S9" s="20"/>
      <c r="T9" s="337"/>
      <c r="U9" s="20"/>
      <c r="V9" s="20" t="s">
        <v>5</v>
      </c>
      <c r="W9" s="20"/>
      <c r="X9" s="20"/>
      <c r="Y9" s="337"/>
      <c r="Z9" s="20"/>
      <c r="AA9" s="20" t="s">
        <v>6</v>
      </c>
      <c r="AB9" s="20"/>
      <c r="AC9" s="20"/>
      <c r="AD9" s="337"/>
      <c r="AE9" s="20"/>
      <c r="AF9" s="20" t="s">
        <v>7</v>
      </c>
      <c r="AG9" s="20"/>
      <c r="AH9" s="20"/>
      <c r="AI9" s="337"/>
      <c r="AJ9" s="20"/>
      <c r="AK9" s="20" t="s">
        <v>8</v>
      </c>
      <c r="AL9" s="20"/>
      <c r="AM9" s="20"/>
      <c r="AN9" s="337"/>
      <c r="AO9" s="20"/>
      <c r="AP9" s="20" t="s">
        <v>9</v>
      </c>
      <c r="AQ9" s="20"/>
      <c r="AR9" s="20"/>
      <c r="AS9" s="337"/>
      <c r="AT9" s="20"/>
      <c r="AU9" s="20" t="s">
        <v>10</v>
      </c>
      <c r="AV9" s="20"/>
      <c r="AW9" s="20"/>
      <c r="AX9" s="337"/>
      <c r="AY9" s="20"/>
      <c r="AZ9" s="20" t="s">
        <v>11</v>
      </c>
      <c r="BA9" s="20"/>
      <c r="BB9" s="20"/>
      <c r="BC9" s="337"/>
      <c r="BD9" s="20"/>
      <c r="BE9" s="20" t="s">
        <v>12</v>
      </c>
      <c r="BF9" s="20"/>
      <c r="BG9" s="20"/>
      <c r="BH9" s="337"/>
      <c r="BI9" s="20"/>
      <c r="BJ9" s="20" t="s">
        <v>13</v>
      </c>
      <c r="BK9" s="20"/>
      <c r="BL9" s="20"/>
      <c r="BM9" s="337"/>
      <c r="BN9" s="20"/>
      <c r="BO9" s="20" t="s">
        <v>14</v>
      </c>
      <c r="BP9" s="20"/>
      <c r="BQ9" s="20"/>
      <c r="BR9" s="337"/>
      <c r="BS9" s="20"/>
      <c r="BT9" s="20" t="s">
        <v>15</v>
      </c>
      <c r="BU9" s="20"/>
      <c r="BV9" s="20"/>
      <c r="BW9" s="290"/>
      <c r="BX9" s="20"/>
      <c r="BY9" s="439" t="str">
        <f>[51]domredemp!BY9</f>
        <v>Audited</v>
      </c>
      <c r="BZ9" s="20"/>
      <c r="CA9" s="20"/>
      <c r="CB9" s="337"/>
      <c r="CC9" s="20"/>
      <c r="CD9" s="20" t="s">
        <v>3</v>
      </c>
      <c r="CE9" s="20"/>
      <c r="CF9" s="20"/>
      <c r="CG9" s="337"/>
      <c r="CH9" s="20"/>
      <c r="CI9" s="20" t="s">
        <v>4</v>
      </c>
      <c r="CJ9" s="20"/>
      <c r="CK9" s="20"/>
      <c r="CL9" s="337"/>
      <c r="CM9" s="20"/>
      <c r="CN9" s="20" t="s">
        <v>5</v>
      </c>
      <c r="CO9" s="20"/>
      <c r="CP9" s="20"/>
      <c r="CQ9" s="337"/>
      <c r="CR9" s="20"/>
      <c r="CS9" s="20" t="s">
        <v>6</v>
      </c>
      <c r="CT9" s="20"/>
      <c r="CU9" s="20"/>
      <c r="CV9" s="337"/>
      <c r="CW9" s="20"/>
      <c r="CX9" s="20" t="s">
        <v>7</v>
      </c>
      <c r="CY9" s="20"/>
      <c r="CZ9" s="20"/>
      <c r="DA9" s="337"/>
      <c r="DB9" s="20"/>
      <c r="DC9" s="20" t="s">
        <v>8</v>
      </c>
      <c r="DD9" s="20"/>
      <c r="DE9" s="20"/>
      <c r="DF9" s="337"/>
      <c r="DG9" s="20"/>
      <c r="DH9" s="20" t="s">
        <v>9</v>
      </c>
      <c r="DI9" s="20"/>
      <c r="DJ9" s="20"/>
      <c r="DK9" s="337"/>
      <c r="DL9" s="20"/>
      <c r="DM9" s="20" t="s">
        <v>10</v>
      </c>
      <c r="DN9" s="20"/>
      <c r="DO9" s="20"/>
      <c r="DP9" s="337"/>
      <c r="DQ9" s="20"/>
      <c r="DR9" s="20" t="s">
        <v>11</v>
      </c>
      <c r="DS9" s="20"/>
      <c r="DT9" s="20"/>
      <c r="DU9" s="337"/>
      <c r="DV9" s="20"/>
      <c r="DW9" s="20" t="s">
        <v>12</v>
      </c>
      <c r="DX9" s="20"/>
      <c r="DY9" s="20"/>
      <c r="DZ9" s="337"/>
      <c r="EA9" s="20"/>
      <c r="EB9" s="20" t="s">
        <v>13</v>
      </c>
      <c r="EC9" s="20"/>
      <c r="ED9" s="20"/>
      <c r="EE9" s="337"/>
      <c r="EF9" s="20"/>
      <c r="EG9" s="20" t="s">
        <v>14</v>
      </c>
      <c r="EH9" s="20"/>
      <c r="EI9" s="20"/>
      <c r="EJ9" s="337"/>
      <c r="EK9" s="20"/>
      <c r="EL9" s="20" t="s">
        <v>15</v>
      </c>
      <c r="EM9" s="20"/>
      <c r="EN9" s="20"/>
      <c r="EO9" s="244"/>
    </row>
    <row r="10" spans="3:145" x14ac:dyDescent="0.2">
      <c r="D10" s="394" t="s">
        <v>17</v>
      </c>
      <c r="E10" s="312"/>
      <c r="F10" s="415"/>
      <c r="G10" s="405" t="s">
        <v>19</v>
      </c>
      <c r="H10" s="405"/>
      <c r="I10" s="405"/>
      <c r="J10" s="341"/>
      <c r="K10" s="405"/>
      <c r="L10" s="184"/>
      <c r="M10" s="184"/>
      <c r="N10" s="184"/>
      <c r="O10" s="211"/>
      <c r="P10" s="184"/>
      <c r="Q10" s="184"/>
      <c r="R10" s="184"/>
      <c r="S10" s="184"/>
      <c r="T10" s="211"/>
      <c r="U10" s="184"/>
      <c r="V10" s="184"/>
      <c r="W10" s="184"/>
      <c r="X10" s="184"/>
      <c r="Y10" s="211"/>
      <c r="Z10" s="184"/>
      <c r="AA10" s="184"/>
      <c r="AB10" s="184"/>
      <c r="AC10" s="184"/>
      <c r="AD10" s="211"/>
      <c r="AE10" s="184"/>
      <c r="AF10" s="184"/>
      <c r="AG10" s="184"/>
      <c r="AH10" s="184"/>
      <c r="AI10" s="211"/>
      <c r="AJ10" s="184"/>
      <c r="AK10" s="184"/>
      <c r="AL10" s="184"/>
      <c r="AM10" s="184"/>
      <c r="AN10" s="211"/>
      <c r="AO10" s="184"/>
      <c r="AP10" s="184"/>
      <c r="AQ10" s="184"/>
      <c r="AR10" s="184"/>
      <c r="AS10" s="211"/>
      <c r="AT10" s="184"/>
      <c r="AU10" s="184"/>
      <c r="AV10" s="184"/>
      <c r="AW10" s="184"/>
      <c r="AX10" s="211"/>
      <c r="AY10" s="184"/>
      <c r="AZ10" s="184"/>
      <c r="BA10" s="184"/>
      <c r="BB10" s="184"/>
      <c r="BC10" s="211"/>
      <c r="BD10" s="184"/>
      <c r="BE10" s="184"/>
      <c r="BF10" s="184"/>
      <c r="BG10" s="184"/>
      <c r="BH10" s="211"/>
      <c r="BI10" s="184"/>
      <c r="BJ10" s="184"/>
      <c r="BK10" s="184"/>
      <c r="BL10" s="184"/>
      <c r="BM10" s="211"/>
      <c r="BN10" s="184"/>
      <c r="BO10" s="184"/>
      <c r="BP10" s="184"/>
      <c r="BQ10" s="184"/>
      <c r="BR10" s="211"/>
      <c r="BS10" s="184"/>
      <c r="BT10" s="184"/>
      <c r="BU10" s="184"/>
      <c r="BV10" s="184"/>
      <c r="BW10" s="211"/>
      <c r="BX10" s="184"/>
      <c r="BY10" s="405" t="s">
        <v>34</v>
      </c>
      <c r="BZ10" s="405"/>
      <c r="CA10" s="405"/>
      <c r="CB10" s="341"/>
      <c r="CC10" s="405"/>
      <c r="CD10" s="184"/>
      <c r="CE10" s="184"/>
      <c r="CF10" s="184"/>
      <c r="CG10" s="211"/>
      <c r="CH10" s="184"/>
      <c r="CI10" s="184"/>
      <c r="CJ10" s="184"/>
      <c r="CK10" s="184"/>
      <c r="CL10" s="211"/>
      <c r="CM10" s="184"/>
      <c r="CN10" s="184"/>
      <c r="CO10" s="184"/>
      <c r="CP10" s="184"/>
      <c r="CQ10" s="211"/>
      <c r="CR10" s="184"/>
      <c r="CS10" s="184"/>
      <c r="CT10" s="184"/>
      <c r="CU10" s="184"/>
      <c r="CV10" s="211"/>
      <c r="CW10" s="184"/>
      <c r="CX10" s="184"/>
      <c r="CY10" s="184"/>
      <c r="CZ10" s="184"/>
      <c r="DA10" s="211"/>
      <c r="DB10" s="184"/>
      <c r="DC10" s="184"/>
      <c r="DD10" s="184"/>
      <c r="DE10" s="184"/>
      <c r="DF10" s="211"/>
      <c r="DG10" s="184"/>
      <c r="DH10" s="184"/>
      <c r="DI10" s="184"/>
      <c r="DJ10" s="184"/>
      <c r="DK10" s="211"/>
      <c r="DL10" s="184"/>
      <c r="DM10" s="184"/>
      <c r="DN10" s="184"/>
      <c r="DO10" s="184"/>
      <c r="DP10" s="211"/>
      <c r="DQ10" s="184"/>
      <c r="DR10" s="184"/>
      <c r="DS10" s="184"/>
      <c r="DT10" s="184"/>
      <c r="DU10" s="211"/>
      <c r="DV10" s="184"/>
      <c r="DW10" s="184"/>
      <c r="DX10" s="184"/>
      <c r="DY10" s="184"/>
      <c r="DZ10" s="211"/>
      <c r="EA10" s="184"/>
      <c r="EB10" s="184"/>
      <c r="EC10" s="184"/>
      <c r="ED10" s="184"/>
      <c r="EE10" s="211"/>
      <c r="EF10" s="184"/>
      <c r="EG10" s="184"/>
      <c r="EH10" s="184"/>
      <c r="EI10" s="184"/>
      <c r="EJ10" s="211"/>
      <c r="EK10" s="184"/>
      <c r="EL10" s="184"/>
      <c r="EM10" s="184"/>
      <c r="EN10" s="427"/>
      <c r="EO10" s="244"/>
    </row>
    <row r="11" spans="3:145" x14ac:dyDescent="0.2">
      <c r="D11" s="244"/>
      <c r="E11" s="82"/>
      <c r="J11" s="82"/>
      <c r="O11" s="82"/>
      <c r="T11" s="82"/>
      <c r="Y11" s="82"/>
      <c r="AD11" s="82"/>
      <c r="AI11" s="82"/>
      <c r="AN11" s="82"/>
      <c r="AS11" s="82"/>
      <c r="AX11" s="82"/>
      <c r="BC11" s="82"/>
      <c r="BH11" s="82"/>
      <c r="BM11" s="82"/>
      <c r="BR11" s="82"/>
      <c r="BW11" s="82"/>
      <c r="CB11" s="82"/>
      <c r="CG11" s="82"/>
      <c r="CL11" s="82"/>
      <c r="CQ11" s="82"/>
      <c r="CV11" s="82"/>
      <c r="DA11" s="82"/>
      <c r="DF11" s="82"/>
      <c r="DK11" s="82"/>
      <c r="DP11" s="82"/>
      <c r="DU11" s="82"/>
      <c r="DZ11" s="82"/>
      <c r="EE11" s="82"/>
      <c r="EJ11" s="82"/>
      <c r="EO11" s="244"/>
    </row>
    <row r="12" spans="3:145" x14ac:dyDescent="0.2">
      <c r="D12" s="484" t="s">
        <v>441</v>
      </c>
      <c r="E12" s="82"/>
      <c r="G12" s="14">
        <f>SUM(G13:G15)</f>
        <v>107070000</v>
      </c>
      <c r="H12" s="19"/>
      <c r="I12" s="19"/>
      <c r="J12" s="274"/>
      <c r="L12" s="14">
        <f>SUM(L13:L15)</f>
        <v>0</v>
      </c>
      <c r="M12" s="19"/>
      <c r="N12" s="19"/>
      <c r="O12" s="274"/>
      <c r="Q12" s="14">
        <f>SUM(Q13:Q15)</f>
        <v>0</v>
      </c>
      <c r="R12" s="19"/>
      <c r="S12" s="19"/>
      <c r="T12" s="274"/>
      <c r="V12" s="14">
        <f>SUM(V13:V15)</f>
        <v>0</v>
      </c>
      <c r="W12" s="19"/>
      <c r="X12" s="19"/>
      <c r="Y12" s="274"/>
      <c r="AA12" s="14">
        <f>SUM(AA13:AA15)</f>
        <v>86911584</v>
      </c>
      <c r="AB12" s="19"/>
      <c r="AC12" s="19"/>
      <c r="AD12" s="274"/>
      <c r="AF12" s="14">
        <f>SUM(AF13:AF15)</f>
        <v>0</v>
      </c>
      <c r="AG12" s="19"/>
      <c r="AH12" s="19"/>
      <c r="AI12" s="274"/>
      <c r="AK12" s="14">
        <f>SUM(AK13:AK15)</f>
        <v>0</v>
      </c>
      <c r="AL12" s="19"/>
      <c r="AM12" s="19"/>
      <c r="AN12" s="274"/>
      <c r="AP12" s="14">
        <f>SUM(AP13:AP15)</f>
        <v>5008164</v>
      </c>
      <c r="AQ12" s="19"/>
      <c r="AR12" s="19"/>
      <c r="AS12" s="274"/>
      <c r="AU12" s="14">
        <f>SUM(AU13:AU15)</f>
        <v>0</v>
      </c>
      <c r="AV12" s="19"/>
      <c r="AW12" s="19"/>
      <c r="AX12" s="274"/>
      <c r="AZ12" s="14">
        <f>SUM(AZ13:AZ15)</f>
        <v>0</v>
      </c>
      <c r="BA12" s="19"/>
      <c r="BB12" s="19"/>
      <c r="BC12" s="274"/>
      <c r="BE12" s="14">
        <f>SUM(BE13:BE15)</f>
        <v>0</v>
      </c>
      <c r="BF12" s="19"/>
      <c r="BG12" s="19"/>
      <c r="BH12" s="274"/>
      <c r="BJ12" s="14">
        <f>SUM(BJ13:BJ15)</f>
        <v>0</v>
      </c>
      <c r="BK12" s="19"/>
      <c r="BL12" s="19"/>
      <c r="BM12" s="274"/>
      <c r="BO12" s="14">
        <f>SUM(BO13:BO15)</f>
        <v>0</v>
      </c>
      <c r="BP12" s="19"/>
      <c r="BQ12" s="19"/>
      <c r="BR12" s="274"/>
      <c r="BT12" s="14">
        <f>SUM(BT13:BT15)</f>
        <v>91919748</v>
      </c>
      <c r="BU12" s="19"/>
      <c r="BV12" s="19"/>
      <c r="BW12" s="274"/>
      <c r="BY12" s="14">
        <f>SUM(BY13:BY15)</f>
        <v>76052000</v>
      </c>
      <c r="BZ12" s="19"/>
      <c r="CA12" s="19"/>
      <c r="CB12" s="274"/>
      <c r="CD12" s="14">
        <f>SUM(CD13:CD15)</f>
        <v>0</v>
      </c>
      <c r="CE12" s="19"/>
      <c r="CF12" s="19"/>
      <c r="CG12" s="274"/>
      <c r="CI12" s="14">
        <f>SUM(CI13:CI15)</f>
        <v>0</v>
      </c>
      <c r="CJ12" s="19"/>
      <c r="CK12" s="19"/>
      <c r="CL12" s="274"/>
      <c r="CN12" s="14">
        <f>SUM(CN13:CN15)</f>
        <v>0</v>
      </c>
      <c r="CO12" s="19"/>
      <c r="CP12" s="19"/>
      <c r="CQ12" s="274"/>
      <c r="CS12" s="14">
        <f>SUM(CS13:CS15)</f>
        <v>0</v>
      </c>
      <c r="CT12" s="19"/>
      <c r="CU12" s="19"/>
      <c r="CV12" s="274"/>
      <c r="CX12" s="14">
        <f>SUM(CX13:CX15)</f>
        <v>0</v>
      </c>
      <c r="CY12" s="19"/>
      <c r="CZ12" s="19"/>
      <c r="DA12" s="274"/>
      <c r="DC12" s="14">
        <f>SUM(DC13:DC15)</f>
        <v>76052000</v>
      </c>
      <c r="DD12" s="19"/>
      <c r="DE12" s="19"/>
      <c r="DF12" s="274"/>
      <c r="DH12" s="14">
        <f>SUM(DH13:DH15)</f>
        <v>0</v>
      </c>
      <c r="DI12" s="19"/>
      <c r="DJ12" s="19"/>
      <c r="DK12" s="274"/>
      <c r="DM12" s="14">
        <f>SUM(DM13:DM15)</f>
        <v>0</v>
      </c>
      <c r="DN12" s="19"/>
      <c r="DO12" s="19"/>
      <c r="DP12" s="274"/>
      <c r="DR12" s="14">
        <f>SUM(DR13:DR15)</f>
        <v>0</v>
      </c>
      <c r="DS12" s="19"/>
      <c r="DT12" s="19"/>
      <c r="DU12" s="274"/>
      <c r="DW12" s="14">
        <f>SUM(DW13:DW15)</f>
        <v>0</v>
      </c>
      <c r="DX12" s="19"/>
      <c r="DY12" s="19"/>
      <c r="DZ12" s="274"/>
      <c r="EB12" s="14">
        <f>SUM(EB13:EB15)</f>
        <v>0</v>
      </c>
      <c r="EC12" s="19"/>
      <c r="ED12" s="19"/>
      <c r="EE12" s="274"/>
      <c r="EG12" s="14">
        <f>SUM(EG13:EG15)</f>
        <v>0</v>
      </c>
      <c r="EH12" s="19"/>
      <c r="EI12" s="19"/>
      <c r="EJ12" s="274"/>
      <c r="EL12" s="14">
        <f>SUM(EL13:EL15)</f>
        <v>76052000</v>
      </c>
      <c r="EM12" s="19"/>
      <c r="EN12" s="19"/>
      <c r="EO12" s="244"/>
    </row>
    <row r="13" spans="3:145" x14ac:dyDescent="0.2">
      <c r="D13" s="244" t="s">
        <v>442</v>
      </c>
      <c r="E13" s="82"/>
      <c r="F13" s="173"/>
      <c r="G13" s="374">
        <f>G17</f>
        <v>107070000</v>
      </c>
      <c r="H13" s="475"/>
      <c r="I13" s="19"/>
      <c r="J13" s="274"/>
      <c r="K13" s="173"/>
      <c r="L13" s="374">
        <f>L17</f>
        <v>0</v>
      </c>
      <c r="M13" s="475"/>
      <c r="N13" s="19"/>
      <c r="O13" s="274"/>
      <c r="P13" s="173"/>
      <c r="Q13" s="374">
        <f>Q17</f>
        <v>0</v>
      </c>
      <c r="R13" s="475"/>
      <c r="S13" s="19"/>
      <c r="T13" s="274"/>
      <c r="U13" s="173"/>
      <c r="V13" s="374">
        <f>V17</f>
        <v>0</v>
      </c>
      <c r="W13" s="475"/>
      <c r="X13" s="19"/>
      <c r="Y13" s="274"/>
      <c r="Z13" s="173"/>
      <c r="AA13" s="374">
        <f>AA17</f>
        <v>86911584</v>
      </c>
      <c r="AB13" s="475"/>
      <c r="AC13" s="19"/>
      <c r="AD13" s="274"/>
      <c r="AE13" s="173"/>
      <c r="AF13" s="374">
        <f>AF17</f>
        <v>0</v>
      </c>
      <c r="AG13" s="475"/>
      <c r="AH13" s="19"/>
      <c r="AI13" s="274"/>
      <c r="AJ13" s="173"/>
      <c r="AK13" s="374">
        <f>AK17</f>
        <v>0</v>
      </c>
      <c r="AL13" s="475"/>
      <c r="AM13" s="19"/>
      <c r="AN13" s="274"/>
      <c r="AO13" s="173"/>
      <c r="AP13" s="374">
        <f>AP17</f>
        <v>5008164</v>
      </c>
      <c r="AQ13" s="475"/>
      <c r="AR13" s="19"/>
      <c r="AS13" s="274"/>
      <c r="AT13" s="173"/>
      <c r="AU13" s="374">
        <f>AU17</f>
        <v>0</v>
      </c>
      <c r="AV13" s="475"/>
      <c r="AW13" s="19"/>
      <c r="AX13" s="274"/>
      <c r="AY13" s="173"/>
      <c r="AZ13" s="374">
        <f>AZ17</f>
        <v>0</v>
      </c>
      <c r="BA13" s="475"/>
      <c r="BB13" s="19"/>
      <c r="BC13" s="274"/>
      <c r="BD13" s="173"/>
      <c r="BE13" s="374">
        <f>BE17</f>
        <v>0</v>
      </c>
      <c r="BF13" s="475"/>
      <c r="BG13" s="19"/>
      <c r="BH13" s="274"/>
      <c r="BI13" s="173"/>
      <c r="BJ13" s="374">
        <f>BJ17</f>
        <v>0</v>
      </c>
      <c r="BK13" s="475"/>
      <c r="BL13" s="19"/>
      <c r="BM13" s="274"/>
      <c r="BN13" s="173"/>
      <c r="BO13" s="374">
        <f>BO17</f>
        <v>0</v>
      </c>
      <c r="BP13" s="475"/>
      <c r="BQ13" s="19"/>
      <c r="BR13" s="274"/>
      <c r="BS13" s="173"/>
      <c r="BT13" s="374">
        <f>BT17</f>
        <v>91919748</v>
      </c>
      <c r="BU13" s="475"/>
      <c r="BV13" s="19"/>
      <c r="BW13" s="274"/>
      <c r="BX13" s="173"/>
      <c r="BY13" s="374">
        <f>BY17</f>
        <v>76052000</v>
      </c>
      <c r="BZ13" s="475"/>
      <c r="CA13" s="19"/>
      <c r="CB13" s="274"/>
      <c r="CC13" s="173"/>
      <c r="CD13" s="374">
        <f>CD17</f>
        <v>0</v>
      </c>
      <c r="CE13" s="475"/>
      <c r="CF13" s="19"/>
      <c r="CG13" s="274"/>
      <c r="CH13" s="173"/>
      <c r="CI13" s="374">
        <f>CI17</f>
        <v>0</v>
      </c>
      <c r="CJ13" s="475"/>
      <c r="CK13" s="19"/>
      <c r="CL13" s="274"/>
      <c r="CM13" s="173"/>
      <c r="CN13" s="374">
        <f>CN17</f>
        <v>0</v>
      </c>
      <c r="CO13" s="475"/>
      <c r="CP13" s="19"/>
      <c r="CQ13" s="274"/>
      <c r="CR13" s="173"/>
      <c r="CS13" s="374">
        <f>CS17</f>
        <v>0</v>
      </c>
      <c r="CT13" s="475"/>
      <c r="CU13" s="19"/>
      <c r="CV13" s="274"/>
      <c r="CW13" s="173"/>
      <c r="CX13" s="374">
        <f>CX17</f>
        <v>0</v>
      </c>
      <c r="CY13" s="475"/>
      <c r="CZ13" s="19"/>
      <c r="DA13" s="274"/>
      <c r="DB13" s="173"/>
      <c r="DC13" s="374">
        <f>DC17</f>
        <v>76052000</v>
      </c>
      <c r="DD13" s="475"/>
      <c r="DE13" s="19"/>
      <c r="DF13" s="274"/>
      <c r="DG13" s="173"/>
      <c r="DH13" s="374">
        <f>DH17</f>
        <v>0</v>
      </c>
      <c r="DI13" s="475"/>
      <c r="DJ13" s="19"/>
      <c r="DK13" s="274"/>
      <c r="DL13" s="173"/>
      <c r="DM13" s="374">
        <f>DM17</f>
        <v>0</v>
      </c>
      <c r="DN13" s="475"/>
      <c r="DO13" s="19"/>
      <c r="DP13" s="274"/>
      <c r="DQ13" s="173"/>
      <c r="DR13" s="374">
        <f>DR17</f>
        <v>0</v>
      </c>
      <c r="DS13" s="475"/>
      <c r="DT13" s="19"/>
      <c r="DU13" s="274"/>
      <c r="DV13" s="173"/>
      <c r="DW13" s="374">
        <f>DW17</f>
        <v>0</v>
      </c>
      <c r="DX13" s="475"/>
      <c r="DY13" s="19"/>
      <c r="DZ13" s="274"/>
      <c r="EA13" s="173"/>
      <c r="EB13" s="374">
        <f>EB17</f>
        <v>0</v>
      </c>
      <c r="EC13" s="475"/>
      <c r="ED13" s="19"/>
      <c r="EE13" s="274"/>
      <c r="EF13" s="173"/>
      <c r="EG13" s="374">
        <f>EG17</f>
        <v>0</v>
      </c>
      <c r="EH13" s="475"/>
      <c r="EI13" s="19"/>
      <c r="EJ13" s="274"/>
      <c r="EK13" s="173"/>
      <c r="EL13" s="374">
        <f>EL17</f>
        <v>76052000</v>
      </c>
      <c r="EM13" s="475"/>
      <c r="EN13" s="19"/>
      <c r="EO13" s="244"/>
    </row>
    <row r="14" spans="3:145" x14ac:dyDescent="0.2">
      <c r="D14" s="244" t="s">
        <v>443</v>
      </c>
      <c r="E14" s="82"/>
      <c r="F14" s="274"/>
      <c r="G14" s="19">
        <f>+G62</f>
        <v>0</v>
      </c>
      <c r="H14" s="18"/>
      <c r="I14" s="19"/>
      <c r="J14" s="274"/>
      <c r="K14" s="274"/>
      <c r="L14" s="19">
        <f>L62</f>
        <v>0</v>
      </c>
      <c r="M14" s="18"/>
      <c r="N14" s="19"/>
      <c r="O14" s="274"/>
      <c r="P14" s="274"/>
      <c r="Q14" s="19">
        <f>Q62</f>
        <v>0</v>
      </c>
      <c r="R14" s="18"/>
      <c r="S14" s="19"/>
      <c r="T14" s="274"/>
      <c r="U14" s="274"/>
      <c r="V14" s="19">
        <f>V62</f>
        <v>0</v>
      </c>
      <c r="W14" s="18"/>
      <c r="X14" s="19"/>
      <c r="Y14" s="274"/>
      <c r="Z14" s="274"/>
      <c r="AA14" s="19">
        <f>AA62</f>
        <v>0</v>
      </c>
      <c r="AB14" s="18"/>
      <c r="AC14" s="19"/>
      <c r="AD14" s="274"/>
      <c r="AE14" s="274"/>
      <c r="AF14" s="19">
        <f>AF62</f>
        <v>0</v>
      </c>
      <c r="AG14" s="18"/>
      <c r="AH14" s="19"/>
      <c r="AI14" s="274"/>
      <c r="AJ14" s="274"/>
      <c r="AK14" s="19">
        <f>AK62</f>
        <v>0</v>
      </c>
      <c r="AL14" s="18"/>
      <c r="AM14" s="19"/>
      <c r="AN14" s="274"/>
      <c r="AO14" s="274"/>
      <c r="AP14" s="19">
        <f>AP62</f>
        <v>0</v>
      </c>
      <c r="AQ14" s="18"/>
      <c r="AR14" s="19"/>
      <c r="AS14" s="274"/>
      <c r="AT14" s="274"/>
      <c r="AU14" s="19">
        <f>AU62</f>
        <v>0</v>
      </c>
      <c r="AV14" s="18"/>
      <c r="AW14" s="19"/>
      <c r="AX14" s="274"/>
      <c r="AY14" s="274"/>
      <c r="AZ14" s="19">
        <f>AZ62</f>
        <v>0</v>
      </c>
      <c r="BA14" s="18"/>
      <c r="BB14" s="19"/>
      <c r="BC14" s="274"/>
      <c r="BD14" s="274"/>
      <c r="BE14" s="19">
        <f>BE62</f>
        <v>0</v>
      </c>
      <c r="BF14" s="18"/>
      <c r="BG14" s="19"/>
      <c r="BH14" s="274"/>
      <c r="BI14" s="274"/>
      <c r="BJ14" s="19">
        <f>BJ62</f>
        <v>0</v>
      </c>
      <c r="BK14" s="18"/>
      <c r="BL14" s="19"/>
      <c r="BM14" s="274"/>
      <c r="BN14" s="274"/>
      <c r="BO14" s="19">
        <f>BO62</f>
        <v>0</v>
      </c>
      <c r="BP14" s="18"/>
      <c r="BQ14" s="19"/>
      <c r="BR14" s="274"/>
      <c r="BS14" s="274"/>
      <c r="BT14" s="19">
        <f>BT62</f>
        <v>0</v>
      </c>
      <c r="BU14" s="18"/>
      <c r="BV14" s="19"/>
      <c r="BW14" s="274"/>
      <c r="BX14" s="274"/>
      <c r="BY14" s="19">
        <f>+BY62</f>
        <v>0</v>
      </c>
      <c r="BZ14" s="18"/>
      <c r="CA14" s="19"/>
      <c r="CB14" s="274"/>
      <c r="CC14" s="274"/>
      <c r="CD14" s="19">
        <f>CD62</f>
        <v>0</v>
      </c>
      <c r="CE14" s="18"/>
      <c r="CF14" s="19"/>
      <c r="CG14" s="274"/>
      <c r="CH14" s="274"/>
      <c r="CI14" s="19">
        <f>CI62</f>
        <v>0</v>
      </c>
      <c r="CJ14" s="18"/>
      <c r="CK14" s="19"/>
      <c r="CL14" s="274"/>
      <c r="CM14" s="274"/>
      <c r="CN14" s="19">
        <f>CN62</f>
        <v>0</v>
      </c>
      <c r="CO14" s="18"/>
      <c r="CP14" s="19"/>
      <c r="CQ14" s="274"/>
      <c r="CR14" s="274"/>
      <c r="CS14" s="19">
        <f>CS62</f>
        <v>0</v>
      </c>
      <c r="CT14" s="18"/>
      <c r="CU14" s="19"/>
      <c r="CV14" s="274"/>
      <c r="CW14" s="274"/>
      <c r="CX14" s="19">
        <f>CX62</f>
        <v>0</v>
      </c>
      <c r="CY14" s="18"/>
      <c r="CZ14" s="19"/>
      <c r="DA14" s="274"/>
      <c r="DB14" s="274"/>
      <c r="DC14" s="19">
        <f>DC62</f>
        <v>0</v>
      </c>
      <c r="DD14" s="18"/>
      <c r="DE14" s="19"/>
      <c r="DF14" s="274"/>
      <c r="DG14" s="274"/>
      <c r="DH14" s="19">
        <f>DH62</f>
        <v>0</v>
      </c>
      <c r="DI14" s="18"/>
      <c r="DJ14" s="19"/>
      <c r="DK14" s="274"/>
      <c r="DL14" s="274"/>
      <c r="DM14" s="19">
        <f>DM62</f>
        <v>0</v>
      </c>
      <c r="DN14" s="18"/>
      <c r="DO14" s="19"/>
      <c r="DP14" s="274"/>
      <c r="DQ14" s="274"/>
      <c r="DR14" s="19">
        <f>DR62</f>
        <v>0</v>
      </c>
      <c r="DS14" s="18"/>
      <c r="DT14" s="19"/>
      <c r="DU14" s="274"/>
      <c r="DV14" s="274"/>
      <c r="DW14" s="19">
        <f>DW62</f>
        <v>0</v>
      </c>
      <c r="DX14" s="18"/>
      <c r="DY14" s="19"/>
      <c r="DZ14" s="274"/>
      <c r="EA14" s="274"/>
      <c r="EB14" s="19">
        <f>EB62</f>
        <v>0</v>
      </c>
      <c r="EC14" s="18"/>
      <c r="ED14" s="19"/>
      <c r="EE14" s="274"/>
      <c r="EF14" s="274"/>
      <c r="EG14" s="19">
        <f>EG62</f>
        <v>0</v>
      </c>
      <c r="EH14" s="18"/>
      <c r="EI14" s="19"/>
      <c r="EJ14" s="274"/>
      <c r="EK14" s="274"/>
      <c r="EL14" s="19">
        <f>EL62</f>
        <v>0</v>
      </c>
      <c r="EM14" s="18"/>
      <c r="EN14" s="19"/>
      <c r="EO14" s="244"/>
    </row>
    <row r="15" spans="3:145" x14ac:dyDescent="0.2">
      <c r="D15" s="244" t="s">
        <v>444</v>
      </c>
      <c r="E15" s="82"/>
      <c r="F15" s="231"/>
      <c r="G15" s="37">
        <v>0</v>
      </c>
      <c r="H15" s="36"/>
      <c r="I15" s="19"/>
      <c r="J15" s="274"/>
      <c r="K15" s="231"/>
      <c r="L15" s="37">
        <f>L72</f>
        <v>0</v>
      </c>
      <c r="M15" s="36"/>
      <c r="N15" s="19"/>
      <c r="O15" s="274"/>
      <c r="P15" s="231"/>
      <c r="Q15" s="37">
        <f>Q72</f>
        <v>0</v>
      </c>
      <c r="R15" s="36"/>
      <c r="S15" s="19"/>
      <c r="T15" s="274"/>
      <c r="U15" s="231"/>
      <c r="V15" s="37">
        <f>V72</f>
        <v>0</v>
      </c>
      <c r="W15" s="36"/>
      <c r="X15" s="19"/>
      <c r="Y15" s="274"/>
      <c r="Z15" s="231"/>
      <c r="AA15" s="37">
        <f>AA72</f>
        <v>0</v>
      </c>
      <c r="AB15" s="36"/>
      <c r="AC15" s="19"/>
      <c r="AD15" s="274"/>
      <c r="AE15" s="231"/>
      <c r="AF15" s="37">
        <f>AF72</f>
        <v>0</v>
      </c>
      <c r="AG15" s="36"/>
      <c r="AH15" s="19"/>
      <c r="AI15" s="274"/>
      <c r="AJ15" s="231"/>
      <c r="AK15" s="37">
        <f>AK72</f>
        <v>0</v>
      </c>
      <c r="AL15" s="36"/>
      <c r="AM15" s="19"/>
      <c r="AN15" s="274"/>
      <c r="AO15" s="231"/>
      <c r="AP15" s="37">
        <f>AP72</f>
        <v>0</v>
      </c>
      <c r="AQ15" s="36"/>
      <c r="AR15" s="19"/>
      <c r="AS15" s="274"/>
      <c r="AT15" s="231"/>
      <c r="AU15" s="37">
        <f>AU72</f>
        <v>0</v>
      </c>
      <c r="AV15" s="36"/>
      <c r="AW15" s="19"/>
      <c r="AX15" s="274"/>
      <c r="AY15" s="231"/>
      <c r="AZ15" s="37">
        <f>AZ72</f>
        <v>0</v>
      </c>
      <c r="BA15" s="36"/>
      <c r="BB15" s="19"/>
      <c r="BC15" s="274"/>
      <c r="BD15" s="231"/>
      <c r="BE15" s="37">
        <f>BE72</f>
        <v>0</v>
      </c>
      <c r="BF15" s="36"/>
      <c r="BG15" s="19"/>
      <c r="BH15" s="274"/>
      <c r="BI15" s="231"/>
      <c r="BJ15" s="37">
        <f>BJ72</f>
        <v>0</v>
      </c>
      <c r="BK15" s="36"/>
      <c r="BL15" s="19"/>
      <c r="BM15" s="274"/>
      <c r="BN15" s="231"/>
      <c r="BO15" s="37">
        <f>BO72</f>
        <v>0</v>
      </c>
      <c r="BP15" s="36"/>
      <c r="BQ15" s="19"/>
      <c r="BR15" s="274"/>
      <c r="BS15" s="231"/>
      <c r="BT15" s="37">
        <f>BT72</f>
        <v>0</v>
      </c>
      <c r="BU15" s="36"/>
      <c r="BV15" s="19"/>
      <c r="BW15" s="274"/>
      <c r="BX15" s="231"/>
      <c r="BY15" s="37">
        <v>0</v>
      </c>
      <c r="BZ15" s="36"/>
      <c r="CA15" s="19"/>
      <c r="CB15" s="274"/>
      <c r="CC15" s="231"/>
      <c r="CD15" s="37">
        <f>CD72</f>
        <v>0</v>
      </c>
      <c r="CE15" s="36"/>
      <c r="CF15" s="19"/>
      <c r="CG15" s="274"/>
      <c r="CH15" s="231"/>
      <c r="CI15" s="37">
        <f>CI72</f>
        <v>0</v>
      </c>
      <c r="CJ15" s="36"/>
      <c r="CK15" s="19"/>
      <c r="CL15" s="274"/>
      <c r="CM15" s="231"/>
      <c r="CN15" s="37">
        <f>CN72</f>
        <v>0</v>
      </c>
      <c r="CO15" s="36"/>
      <c r="CP15" s="19"/>
      <c r="CQ15" s="274"/>
      <c r="CR15" s="231"/>
      <c r="CS15" s="37">
        <f>CS72</f>
        <v>0</v>
      </c>
      <c r="CT15" s="36"/>
      <c r="CU15" s="19"/>
      <c r="CV15" s="274"/>
      <c r="CW15" s="231"/>
      <c r="CX15" s="37">
        <f>CX72</f>
        <v>0</v>
      </c>
      <c r="CY15" s="36"/>
      <c r="CZ15" s="19"/>
      <c r="DA15" s="274"/>
      <c r="DB15" s="231"/>
      <c r="DC15" s="37">
        <f>DC72</f>
        <v>0</v>
      </c>
      <c r="DD15" s="36"/>
      <c r="DE15" s="19"/>
      <c r="DF15" s="274"/>
      <c r="DG15" s="231"/>
      <c r="DH15" s="37">
        <f>DH72</f>
        <v>0</v>
      </c>
      <c r="DI15" s="36"/>
      <c r="DJ15" s="19"/>
      <c r="DK15" s="274"/>
      <c r="DL15" s="231"/>
      <c r="DM15" s="37">
        <f>DM72</f>
        <v>0</v>
      </c>
      <c r="DN15" s="36"/>
      <c r="DO15" s="19"/>
      <c r="DP15" s="274"/>
      <c r="DQ15" s="231"/>
      <c r="DR15" s="37">
        <f>DR72</f>
        <v>0</v>
      </c>
      <c r="DS15" s="36"/>
      <c r="DT15" s="19"/>
      <c r="DU15" s="274"/>
      <c r="DV15" s="231"/>
      <c r="DW15" s="37">
        <f>DW72</f>
        <v>0</v>
      </c>
      <c r="DX15" s="36"/>
      <c r="DY15" s="19"/>
      <c r="DZ15" s="274"/>
      <c r="EA15" s="231"/>
      <c r="EB15" s="37">
        <f>EB72</f>
        <v>0</v>
      </c>
      <c r="EC15" s="36"/>
      <c r="ED15" s="19"/>
      <c r="EE15" s="274"/>
      <c r="EF15" s="231"/>
      <c r="EG15" s="37">
        <f>EG72</f>
        <v>0</v>
      </c>
      <c r="EH15" s="36"/>
      <c r="EI15" s="19"/>
      <c r="EJ15" s="274"/>
      <c r="EK15" s="231"/>
      <c r="EL15" s="37">
        <f>EL72</f>
        <v>0</v>
      </c>
      <c r="EM15" s="36"/>
      <c r="EN15" s="19"/>
      <c r="EO15" s="244"/>
    </row>
    <row r="16" spans="3:145" x14ac:dyDescent="0.2">
      <c r="D16" s="244"/>
      <c r="E16" s="82"/>
      <c r="G16" s="19"/>
      <c r="H16" s="19"/>
      <c r="I16" s="19"/>
      <c r="J16" s="274"/>
      <c r="K16" s="19"/>
      <c r="L16" s="19"/>
      <c r="M16" s="19"/>
      <c r="N16" s="19"/>
      <c r="O16" s="274"/>
      <c r="P16" s="19"/>
      <c r="Q16" s="19"/>
      <c r="R16" s="19"/>
      <c r="S16" s="19"/>
      <c r="T16" s="274"/>
      <c r="U16" s="19"/>
      <c r="V16" s="19"/>
      <c r="W16" s="19"/>
      <c r="X16" s="19"/>
      <c r="Y16" s="274"/>
      <c r="Z16" s="19"/>
      <c r="AA16" s="19"/>
      <c r="AB16" s="19"/>
      <c r="AC16" s="19"/>
      <c r="AD16" s="274"/>
      <c r="AE16" s="19"/>
      <c r="AF16" s="19"/>
      <c r="AG16" s="19"/>
      <c r="AH16" s="19"/>
      <c r="AI16" s="274"/>
      <c r="AJ16" s="19"/>
      <c r="AK16" s="19"/>
      <c r="AL16" s="19"/>
      <c r="AM16" s="19"/>
      <c r="AN16" s="274"/>
      <c r="AO16" s="19"/>
      <c r="AP16" s="19"/>
      <c r="AQ16" s="19"/>
      <c r="AR16" s="19"/>
      <c r="AS16" s="274"/>
      <c r="AT16" s="19"/>
      <c r="AU16" s="19"/>
      <c r="AV16" s="19"/>
      <c r="AW16" s="19"/>
      <c r="AX16" s="274"/>
      <c r="AY16" s="19"/>
      <c r="AZ16" s="19"/>
      <c r="BA16" s="19"/>
      <c r="BB16" s="19"/>
      <c r="BC16" s="274"/>
      <c r="BD16" s="19"/>
      <c r="BE16" s="19"/>
      <c r="BF16" s="19"/>
      <c r="BG16" s="19"/>
      <c r="BH16" s="274"/>
      <c r="BI16" s="19"/>
      <c r="BJ16" s="19"/>
      <c r="BK16" s="19"/>
      <c r="BL16" s="19"/>
      <c r="BM16" s="274"/>
      <c r="BN16" s="19"/>
      <c r="BO16" s="19"/>
      <c r="BP16" s="19"/>
      <c r="BQ16" s="19"/>
      <c r="BR16" s="274"/>
      <c r="BS16" s="19"/>
      <c r="BT16" s="19"/>
      <c r="BU16" s="19"/>
      <c r="BV16" s="19"/>
      <c r="BW16" s="274"/>
      <c r="BX16" s="19"/>
      <c r="BY16" s="19"/>
      <c r="BZ16" s="19"/>
      <c r="CA16" s="19"/>
      <c r="CB16" s="274"/>
      <c r="CC16" s="19"/>
      <c r="CD16" s="19"/>
      <c r="CE16" s="19"/>
      <c r="CF16" s="19"/>
      <c r="CG16" s="274"/>
      <c r="CH16" s="19"/>
      <c r="CI16" s="19"/>
      <c r="CJ16" s="19"/>
      <c r="CK16" s="19"/>
      <c r="CL16" s="274"/>
      <c r="CM16" s="19"/>
      <c r="CN16" s="19"/>
      <c r="CO16" s="19"/>
      <c r="CP16" s="19"/>
      <c r="CQ16" s="274"/>
      <c r="CR16" s="19"/>
      <c r="CS16" s="19"/>
      <c r="CT16" s="19"/>
      <c r="CU16" s="19"/>
      <c r="CV16" s="274"/>
      <c r="CW16" s="19"/>
      <c r="CX16" s="19"/>
      <c r="CY16" s="19"/>
      <c r="CZ16" s="19"/>
      <c r="DA16" s="274"/>
      <c r="DB16" s="19"/>
      <c r="DC16" s="19"/>
      <c r="DD16" s="19"/>
      <c r="DE16" s="19"/>
      <c r="DF16" s="274"/>
      <c r="DG16" s="19"/>
      <c r="DH16" s="19"/>
      <c r="DI16" s="19"/>
      <c r="DJ16" s="19"/>
      <c r="DK16" s="274"/>
      <c r="DL16" s="19"/>
      <c r="DM16" s="19"/>
      <c r="DN16" s="19"/>
      <c r="DO16" s="19"/>
      <c r="DP16" s="274"/>
      <c r="DQ16" s="19"/>
      <c r="DR16" s="19"/>
      <c r="DS16" s="19"/>
      <c r="DT16" s="19"/>
      <c r="DU16" s="274"/>
      <c r="DV16" s="19"/>
      <c r="DW16" s="19"/>
      <c r="DX16" s="19"/>
      <c r="DY16" s="19"/>
      <c r="DZ16" s="274"/>
      <c r="EA16" s="19"/>
      <c r="EB16" s="19"/>
      <c r="EC16" s="19"/>
      <c r="ED16" s="19"/>
      <c r="EE16" s="274"/>
      <c r="EF16" s="19"/>
      <c r="EG16" s="19"/>
      <c r="EH16" s="19"/>
      <c r="EI16" s="19"/>
      <c r="EJ16" s="274"/>
      <c r="EK16" s="19"/>
      <c r="EL16" s="19"/>
      <c r="EM16" s="19"/>
      <c r="EN16" s="19"/>
      <c r="EO16" s="244"/>
    </row>
    <row r="17" spans="4:148" s="451" customFormat="1" x14ac:dyDescent="0.2">
      <c r="D17" s="484" t="s">
        <v>445</v>
      </c>
      <c r="E17" s="138"/>
      <c r="G17" s="14">
        <f>SUM(G18:G20)</f>
        <v>107070000</v>
      </c>
      <c r="H17" s="14"/>
      <c r="I17" s="14"/>
      <c r="J17" s="422"/>
      <c r="K17" s="14"/>
      <c r="L17" s="14">
        <f>SUM(L18:L20)</f>
        <v>0</v>
      </c>
      <c r="M17" s="14"/>
      <c r="N17" s="14"/>
      <c r="O17" s="422"/>
      <c r="P17" s="14"/>
      <c r="Q17" s="14">
        <f>SUM(Q18:Q20)</f>
        <v>0</v>
      </c>
      <c r="R17" s="14"/>
      <c r="S17" s="14"/>
      <c r="T17" s="422"/>
      <c r="U17" s="14"/>
      <c r="V17" s="14">
        <f>SUM(V18:V20)</f>
        <v>0</v>
      </c>
      <c r="W17" s="14"/>
      <c r="X17" s="14"/>
      <c r="Y17" s="422"/>
      <c r="Z17" s="14"/>
      <c r="AA17" s="14">
        <f>SUM(AA18:AA20)</f>
        <v>86911584</v>
      </c>
      <c r="AB17" s="14"/>
      <c r="AC17" s="14"/>
      <c r="AD17" s="422"/>
      <c r="AE17" s="14"/>
      <c r="AF17" s="14">
        <f>SUM(AF18:AF20)</f>
        <v>0</v>
      </c>
      <c r="AG17" s="14"/>
      <c r="AH17" s="14"/>
      <c r="AI17" s="422"/>
      <c r="AJ17" s="14"/>
      <c r="AK17" s="14">
        <f>SUM(AK18:AK20)</f>
        <v>0</v>
      </c>
      <c r="AL17" s="14"/>
      <c r="AM17" s="14"/>
      <c r="AN17" s="422"/>
      <c r="AO17" s="14"/>
      <c r="AP17" s="14">
        <f>SUM(AP18:AP20)</f>
        <v>5008164</v>
      </c>
      <c r="AQ17" s="14"/>
      <c r="AR17" s="14"/>
      <c r="AS17" s="422"/>
      <c r="AT17" s="14"/>
      <c r="AU17" s="14">
        <f>SUM(AU18:AU20)</f>
        <v>0</v>
      </c>
      <c r="AV17" s="14"/>
      <c r="AW17" s="14"/>
      <c r="AX17" s="422"/>
      <c r="AY17" s="14"/>
      <c r="AZ17" s="14">
        <f>SUM(AZ18:AZ20)</f>
        <v>0</v>
      </c>
      <c r="BA17" s="14"/>
      <c r="BB17" s="14"/>
      <c r="BC17" s="422"/>
      <c r="BD17" s="14"/>
      <c r="BE17" s="14">
        <f>SUM(BE18:BE20)</f>
        <v>0</v>
      </c>
      <c r="BF17" s="14"/>
      <c r="BG17" s="14"/>
      <c r="BH17" s="422"/>
      <c r="BI17" s="14"/>
      <c r="BJ17" s="14">
        <f>SUM(BJ18:BJ20)</f>
        <v>0</v>
      </c>
      <c r="BK17" s="14"/>
      <c r="BL17" s="14"/>
      <c r="BM17" s="422"/>
      <c r="BN17" s="14"/>
      <c r="BO17" s="14">
        <f>SUM(BO18:BO20)</f>
        <v>0</v>
      </c>
      <c r="BP17" s="14"/>
      <c r="BQ17" s="14"/>
      <c r="BR17" s="422"/>
      <c r="BS17" s="14"/>
      <c r="BT17" s="14">
        <f>SUM(BT18:BT20)</f>
        <v>91919748</v>
      </c>
      <c r="BU17" s="14"/>
      <c r="BV17" s="14"/>
      <c r="BW17" s="422"/>
      <c r="BX17" s="14"/>
      <c r="BY17" s="14">
        <f>SUM(BY18:BY20)</f>
        <v>76052000</v>
      </c>
      <c r="BZ17" s="14"/>
      <c r="CA17" s="14"/>
      <c r="CB17" s="422"/>
      <c r="CC17" s="14"/>
      <c r="CD17" s="14">
        <f>SUM(CD18:CD20)</f>
        <v>0</v>
      </c>
      <c r="CE17" s="14"/>
      <c r="CF17" s="14"/>
      <c r="CG17" s="422"/>
      <c r="CH17" s="14"/>
      <c r="CI17" s="14">
        <f>SUM(CI18:CI20)</f>
        <v>0</v>
      </c>
      <c r="CJ17" s="14"/>
      <c r="CK17" s="14"/>
      <c r="CL17" s="422"/>
      <c r="CM17" s="14"/>
      <c r="CN17" s="14">
        <f>SUM(CN18:CN20)</f>
        <v>0</v>
      </c>
      <c r="CO17" s="14"/>
      <c r="CP17" s="14"/>
      <c r="CQ17" s="422"/>
      <c r="CR17" s="14"/>
      <c r="CS17" s="14">
        <f>SUM(CS18:CS20)</f>
        <v>0</v>
      </c>
      <c r="CT17" s="14"/>
      <c r="CU17" s="14"/>
      <c r="CV17" s="422"/>
      <c r="CW17" s="14"/>
      <c r="CX17" s="14">
        <f>SUM(CX18:CX20)</f>
        <v>0</v>
      </c>
      <c r="CY17" s="14"/>
      <c r="CZ17" s="14"/>
      <c r="DA17" s="422"/>
      <c r="DB17" s="14"/>
      <c r="DC17" s="14">
        <f>SUM(DC18:DC20)</f>
        <v>76052000</v>
      </c>
      <c r="DD17" s="14"/>
      <c r="DE17" s="14"/>
      <c r="DF17" s="422"/>
      <c r="DG17" s="14"/>
      <c r="DH17" s="14">
        <f>SUM(DH18:DH20)</f>
        <v>0</v>
      </c>
      <c r="DI17" s="14"/>
      <c r="DJ17" s="14"/>
      <c r="DK17" s="422"/>
      <c r="DL17" s="14"/>
      <c r="DM17" s="14">
        <f>SUM(DM18:DM20)</f>
        <v>0</v>
      </c>
      <c r="DN17" s="14"/>
      <c r="DO17" s="14"/>
      <c r="DP17" s="422"/>
      <c r="DQ17" s="14"/>
      <c r="DR17" s="14">
        <f>SUM(DR18:DR20)</f>
        <v>0</v>
      </c>
      <c r="DS17" s="14"/>
      <c r="DT17" s="14"/>
      <c r="DU17" s="422"/>
      <c r="DV17" s="14"/>
      <c r="DW17" s="14">
        <f>SUM(DW18:DW20)</f>
        <v>0</v>
      </c>
      <c r="DX17" s="14"/>
      <c r="DY17" s="14"/>
      <c r="DZ17" s="422"/>
      <c r="EA17" s="14"/>
      <c r="EB17" s="14">
        <f>SUM(EB18:EB20)</f>
        <v>0</v>
      </c>
      <c r="EC17" s="14"/>
      <c r="ED17" s="14"/>
      <c r="EE17" s="422"/>
      <c r="EF17" s="14"/>
      <c r="EG17" s="14">
        <f>SUM(EG18:EG20)</f>
        <v>0</v>
      </c>
      <c r="EH17" s="14"/>
      <c r="EI17" s="14"/>
      <c r="EJ17" s="422"/>
      <c r="EK17" s="14"/>
      <c r="EL17" s="14">
        <f>SUM(EL18:EL20)</f>
        <v>76052000</v>
      </c>
      <c r="EM17" s="14"/>
      <c r="EN17" s="14"/>
      <c r="EO17" s="484"/>
      <c r="EQ17" s="12"/>
      <c r="ER17" s="12"/>
    </row>
    <row r="18" spans="4:148" x14ac:dyDescent="0.2">
      <c r="D18" s="244" t="s">
        <v>344</v>
      </c>
      <c r="E18" s="82"/>
      <c r="F18" s="112"/>
      <c r="G18" s="374">
        <v>107070000</v>
      </c>
      <c r="H18" s="475"/>
      <c r="I18" s="19"/>
      <c r="J18" s="274"/>
      <c r="K18" s="173"/>
      <c r="L18" s="374">
        <f>+L38+L43+L57+L83+L88+L93+L33+L28+L23</f>
        <v>0</v>
      </c>
      <c r="M18" s="475"/>
      <c r="N18" s="19"/>
      <c r="O18" s="274"/>
      <c r="P18" s="173"/>
      <c r="Q18" s="374">
        <f>+Q38+Q43+Q57+Q83+Q88+Q93+Q33+Q28+Q23</f>
        <v>0</v>
      </c>
      <c r="R18" s="475"/>
      <c r="S18" s="19"/>
      <c r="T18" s="274"/>
      <c r="U18" s="173"/>
      <c r="V18" s="374">
        <f>+V38+V43+V57+V83+V88+V93+V33+V28+V23</f>
        <v>0</v>
      </c>
      <c r="W18" s="475"/>
      <c r="X18" s="19"/>
      <c r="Y18" s="274"/>
      <c r="Z18" s="173"/>
      <c r="AA18" s="374">
        <f>+AA38+AA43+AA57+AA83+AA88+AA93+AA33+AA28+AA23</f>
        <v>86911584</v>
      </c>
      <c r="AB18" s="475"/>
      <c r="AC18" s="19"/>
      <c r="AD18" s="274"/>
      <c r="AE18" s="173"/>
      <c r="AF18" s="374">
        <f>+AF38+AF43+AF57+AF83+AF88+AF93+AF33+AF28+AF23</f>
        <v>0</v>
      </c>
      <c r="AG18" s="475"/>
      <c r="AH18" s="19"/>
      <c r="AI18" s="274"/>
      <c r="AJ18" s="173"/>
      <c r="AK18" s="374">
        <f>+AK38+AK43+AK58+AK83+AK88+AK93+AK33+AK28+AK23</f>
        <v>0</v>
      </c>
      <c r="AL18" s="475"/>
      <c r="AM18" s="19"/>
      <c r="AN18" s="274"/>
      <c r="AO18" s="173"/>
      <c r="AP18" s="374">
        <f>+AP38+AP43+AP58+AP83+AP88+AP93+AP33+AP28+AP23</f>
        <v>5008164</v>
      </c>
      <c r="AQ18" s="475"/>
      <c r="AR18" s="19"/>
      <c r="AS18" s="274"/>
      <c r="AT18" s="173"/>
      <c r="AU18" s="374">
        <f>+AU38+AU43+AU57+AU83+AU88+AU93+AU33+AU28+AU23</f>
        <v>0</v>
      </c>
      <c r="AV18" s="475"/>
      <c r="AW18" s="19"/>
      <c r="AX18" s="274"/>
      <c r="AY18" s="173"/>
      <c r="AZ18" s="374">
        <f>+AZ38+AZ43+AZ57+AZ83+AZ88+AZ93+AZ33+AZ28+AZ23</f>
        <v>0</v>
      </c>
      <c r="BA18" s="475"/>
      <c r="BB18" s="19"/>
      <c r="BC18" s="274"/>
      <c r="BD18" s="173"/>
      <c r="BE18" s="374">
        <f>+BE38+BE43+BE57+BE83+BE88+BE93+BE33+BE28+BE23</f>
        <v>0</v>
      </c>
      <c r="BF18" s="475"/>
      <c r="BG18" s="19"/>
      <c r="BH18" s="274"/>
      <c r="BI18" s="173"/>
      <c r="BJ18" s="374">
        <f>+BJ38+BJ43+BJ57+BJ83+BJ88+BJ93+BJ33+BJ28+BJ23</f>
        <v>0</v>
      </c>
      <c r="BK18" s="475"/>
      <c r="BL18" s="19"/>
      <c r="BM18" s="274"/>
      <c r="BN18" s="173"/>
      <c r="BO18" s="374">
        <f>+BO38+BO43+BO57+BO83+BO88+BO93+BO33+BO28+BO23</f>
        <v>0</v>
      </c>
      <c r="BP18" s="475"/>
      <c r="BQ18" s="19"/>
      <c r="BR18" s="274"/>
      <c r="BS18" s="173"/>
      <c r="BT18" s="374">
        <f>+BT38+BT43+BT58+BT83+BT88+BT93+BT33+BT28+BT23</f>
        <v>91919748</v>
      </c>
      <c r="BU18" s="475"/>
      <c r="BV18" s="19"/>
      <c r="BW18" s="274"/>
      <c r="BX18" s="173"/>
      <c r="BY18" s="374">
        <v>76052000</v>
      </c>
      <c r="BZ18" s="475"/>
      <c r="CA18" s="19"/>
      <c r="CB18" s="274"/>
      <c r="CC18" s="173"/>
      <c r="CD18" s="374">
        <f>+CD38+CD43+CD57+CD83+CD88+CD93+CD33+CD28+CD23</f>
        <v>0</v>
      </c>
      <c r="CE18" s="475"/>
      <c r="CF18" s="19"/>
      <c r="CG18" s="274"/>
      <c r="CH18" s="173"/>
      <c r="CI18" s="374">
        <f>+CI38+CI43+CI57+CI83+CI88+CI93+CI33+CI28+CI23</f>
        <v>0</v>
      </c>
      <c r="CJ18" s="475"/>
      <c r="CK18" s="19"/>
      <c r="CL18" s="274"/>
      <c r="CM18" s="173"/>
      <c r="CN18" s="374">
        <f>+CN38+CN43+CN57+CN83+CN88+CN93+CN33+CN28+CN23</f>
        <v>0</v>
      </c>
      <c r="CO18" s="475"/>
      <c r="CP18" s="19"/>
      <c r="CQ18" s="274"/>
      <c r="CR18" s="173"/>
      <c r="CS18" s="374">
        <f>+CS38+CS43+CS57+CS83+CS88+CS93+CS33+CS28+CS23</f>
        <v>0</v>
      </c>
      <c r="CT18" s="475"/>
      <c r="CU18" s="19"/>
      <c r="CV18" s="274"/>
      <c r="CW18" s="173"/>
      <c r="CX18" s="374">
        <f>+CX38+CX43+CX57+CX83+CX88+CX93+CX33+CX28+CX23</f>
        <v>0</v>
      </c>
      <c r="CY18" s="475"/>
      <c r="CZ18" s="19"/>
      <c r="DA18" s="274"/>
      <c r="DB18" s="173"/>
      <c r="DC18" s="374">
        <f>+DC38+DC43+DC57+DC83+DC88+DC93+DC33+DC28+DC23</f>
        <v>76052000</v>
      </c>
      <c r="DD18" s="475"/>
      <c r="DE18" s="19"/>
      <c r="DF18" s="274"/>
      <c r="DG18" s="173"/>
      <c r="DH18" s="374">
        <f>+DH38+DH43+DH57+DH83+DH88+DH93+DH33+DH28+DH23</f>
        <v>0</v>
      </c>
      <c r="DI18" s="475"/>
      <c r="DJ18" s="19"/>
      <c r="DK18" s="274"/>
      <c r="DL18" s="173"/>
      <c r="DM18" s="374">
        <f>+DM38+DM43+DM57+DM83+DM88+DM93+DM33+DM28+DM23</f>
        <v>0</v>
      </c>
      <c r="DN18" s="475"/>
      <c r="DO18" s="19"/>
      <c r="DP18" s="274"/>
      <c r="DQ18" s="173"/>
      <c r="DR18" s="374">
        <f>+DR38+DR43+DR57+DR83+DR88+DR93+DR33+DR28+DR23</f>
        <v>0</v>
      </c>
      <c r="DS18" s="475"/>
      <c r="DT18" s="19"/>
      <c r="DU18" s="274"/>
      <c r="DV18" s="173"/>
      <c r="DW18" s="374">
        <f>+DW38+DW43+DW57+DW83+DW88+DW93+DW33+DW28+DW23</f>
        <v>0</v>
      </c>
      <c r="DX18" s="475"/>
      <c r="DY18" s="19"/>
      <c r="DZ18" s="274"/>
      <c r="EA18" s="173"/>
      <c r="EB18" s="374">
        <f>+EB38+EB43+EB57+EB83+EB88+EB93+EB33+EB28+EB23</f>
        <v>0</v>
      </c>
      <c r="EC18" s="475"/>
      <c r="ED18" s="19"/>
      <c r="EE18" s="274"/>
      <c r="EF18" s="173"/>
      <c r="EG18" s="374">
        <f>+EG38+EG43+EG57+EG83+EG88+EG93+EG33+EG28+EG23</f>
        <v>0</v>
      </c>
      <c r="EH18" s="475"/>
      <c r="EI18" s="19"/>
      <c r="EJ18" s="274"/>
      <c r="EK18" s="173"/>
      <c r="EL18" s="374">
        <f>+EL38+EL43+EL57+EL83+EL88+EL93+EL33+EL28+EL23</f>
        <v>76052000</v>
      </c>
      <c r="EM18" s="475"/>
      <c r="EN18" s="19"/>
      <c r="EO18" s="244"/>
    </row>
    <row r="19" spans="4:148" x14ac:dyDescent="0.2">
      <c r="D19" s="244" t="s">
        <v>346</v>
      </c>
      <c r="E19" s="82"/>
      <c r="F19" s="82"/>
      <c r="G19" s="19">
        <v>0</v>
      </c>
      <c r="H19" s="18"/>
      <c r="I19" s="19"/>
      <c r="J19" s="274"/>
      <c r="K19" s="274"/>
      <c r="L19" s="19">
        <f>+L39+L44+L84+L89+L94+L34+L29+L24</f>
        <v>0</v>
      </c>
      <c r="M19" s="18"/>
      <c r="N19" s="19"/>
      <c r="O19" s="274"/>
      <c r="P19" s="274"/>
      <c r="Q19" s="19">
        <f>+Q39+Q44+Q84+Q89+Q94+Q34+Q29+Q24</f>
        <v>0</v>
      </c>
      <c r="R19" s="18"/>
      <c r="S19" s="19"/>
      <c r="T19" s="274"/>
      <c r="U19" s="274"/>
      <c r="V19" s="19">
        <f>+V39+V44+V84+V89+V94+V34+V29+V24</f>
        <v>0</v>
      </c>
      <c r="W19" s="18"/>
      <c r="X19" s="19"/>
      <c r="Y19" s="274"/>
      <c r="Z19" s="274"/>
      <c r="AA19" s="19">
        <f>+AA39+AA44+AA84+AA89+AA94+AA34+AA29+AA24</f>
        <v>0</v>
      </c>
      <c r="AB19" s="18"/>
      <c r="AC19" s="19"/>
      <c r="AD19" s="274"/>
      <c r="AE19" s="274"/>
      <c r="AF19" s="19">
        <f>+AF39+AF44+AF84+AF89+AF94+AF34+AF29+AF24</f>
        <v>0</v>
      </c>
      <c r="AG19" s="18"/>
      <c r="AH19" s="19"/>
      <c r="AI19" s="274"/>
      <c r="AJ19" s="274"/>
      <c r="AK19" s="19">
        <f>+AK39+AK44+AK84+AK89+AK94+AK34+AK29+AK24+AK59</f>
        <v>0</v>
      </c>
      <c r="AL19" s="18"/>
      <c r="AM19" s="19"/>
      <c r="AN19" s="274"/>
      <c r="AO19" s="274"/>
      <c r="AP19" s="19">
        <f>+AP39+AP44+AP84+AP89+AP94+AP34+AP29+AP24+AP59</f>
        <v>0</v>
      </c>
      <c r="AQ19" s="18"/>
      <c r="AR19" s="19"/>
      <c r="AS19" s="274"/>
      <c r="AT19" s="274"/>
      <c r="AU19" s="19">
        <f>+AU39+AU44+AU84+AU89+AU94+AU34+AU29+AU24</f>
        <v>0</v>
      </c>
      <c r="AV19" s="18"/>
      <c r="AW19" s="19"/>
      <c r="AX19" s="274"/>
      <c r="AY19" s="274"/>
      <c r="AZ19" s="19">
        <f>+AZ39+AZ44+AZ84+AZ89+AZ94+AZ34+AZ29+AZ24</f>
        <v>0</v>
      </c>
      <c r="BA19" s="18"/>
      <c r="BB19" s="19"/>
      <c r="BC19" s="274"/>
      <c r="BD19" s="274"/>
      <c r="BE19" s="19">
        <f>+BE39+BE44+BE84+BE89+BE94+BE34+BE29+BE24</f>
        <v>0</v>
      </c>
      <c r="BF19" s="18"/>
      <c r="BG19" s="19"/>
      <c r="BH19" s="274"/>
      <c r="BI19" s="274"/>
      <c r="BJ19" s="19">
        <f>+BJ39+BJ44+BJ84+BJ89+BJ94+BJ34+BJ29+BJ24</f>
        <v>0</v>
      </c>
      <c r="BK19" s="18"/>
      <c r="BL19" s="19"/>
      <c r="BM19" s="274"/>
      <c r="BN19" s="274"/>
      <c r="BO19" s="19">
        <f>+BO39+BO44+BO84+BO89+BO94+BO34+BO29+BO24</f>
        <v>0</v>
      </c>
      <c r="BP19" s="18"/>
      <c r="BQ19" s="19"/>
      <c r="BR19" s="274"/>
      <c r="BS19" s="274"/>
      <c r="BT19" s="19">
        <f>+BT39+BT44+BT84+BT89+BT94+BT34+BT29+BT24+BT59</f>
        <v>0</v>
      </c>
      <c r="BU19" s="18"/>
      <c r="BV19" s="19"/>
      <c r="BW19" s="274"/>
      <c r="BX19" s="274"/>
      <c r="BY19" s="19">
        <f>+BY39+BY44+BY84+BY89+BY94+BY34+BY49+BY54</f>
        <v>0</v>
      </c>
      <c r="BZ19" s="18"/>
      <c r="CA19" s="19"/>
      <c r="CB19" s="274"/>
      <c r="CC19" s="274"/>
      <c r="CD19" s="19">
        <f>+CD39+CD44+CD84+CD89+CD94+CD34+CD29+CD24</f>
        <v>0</v>
      </c>
      <c r="CE19" s="18"/>
      <c r="CF19" s="19"/>
      <c r="CG19" s="274"/>
      <c r="CH19" s="274"/>
      <c r="CI19" s="19">
        <f>+CI39+CI44+CI84+CI89+CI94+CI34+CI29+CI24</f>
        <v>0</v>
      </c>
      <c r="CJ19" s="18"/>
      <c r="CK19" s="19"/>
      <c r="CL19" s="274"/>
      <c r="CM19" s="274"/>
      <c r="CN19" s="19">
        <f>+CN39+CN44+CN84+CN89+CN94+CN34+CN29+CN24</f>
        <v>0</v>
      </c>
      <c r="CO19" s="18"/>
      <c r="CP19" s="19"/>
      <c r="CQ19" s="274"/>
      <c r="CR19" s="274"/>
      <c r="CS19" s="19">
        <f>+CS39+CS44+CS84+CS89+CS94+CS34+CS29+CS24</f>
        <v>0</v>
      </c>
      <c r="CT19" s="18"/>
      <c r="CU19" s="19"/>
      <c r="CV19" s="274"/>
      <c r="CW19" s="274"/>
      <c r="CX19" s="19">
        <f>+CX39+CX44+CX84+CX89+CX94+CX34+CX29+CX24</f>
        <v>0</v>
      </c>
      <c r="CY19" s="18"/>
      <c r="CZ19" s="19"/>
      <c r="DA19" s="274"/>
      <c r="DB19" s="274"/>
      <c r="DC19" s="19">
        <f>+DC39+DC44+DC84+DC89+DC94+DC34+DC29+DC24</f>
        <v>0</v>
      </c>
      <c r="DD19" s="18"/>
      <c r="DE19" s="19"/>
      <c r="DF19" s="274"/>
      <c r="DG19" s="274"/>
      <c r="DH19" s="19">
        <f>+DH39+DH44+DH84+DH89+DH94+DH34+DH29+DH24</f>
        <v>0</v>
      </c>
      <c r="DI19" s="18"/>
      <c r="DJ19" s="19"/>
      <c r="DK19" s="274"/>
      <c r="DL19" s="274"/>
      <c r="DM19" s="19">
        <f>+DM39+DM44+DM84+DM89+DM94+DM34+DM29+DM24</f>
        <v>0</v>
      </c>
      <c r="DN19" s="18"/>
      <c r="DO19" s="19"/>
      <c r="DP19" s="274"/>
      <c r="DQ19" s="274"/>
      <c r="DR19" s="19">
        <f>+DR39+DR44+DR84+DR89+DR94+DR34+DR29+DR24</f>
        <v>0</v>
      </c>
      <c r="DS19" s="18"/>
      <c r="DT19" s="19"/>
      <c r="DU19" s="274"/>
      <c r="DV19" s="274"/>
      <c r="DW19" s="19">
        <f>+DW39+DW44+DW84+DW89+DW94+DW34+DW29+DW24</f>
        <v>0</v>
      </c>
      <c r="DX19" s="18"/>
      <c r="DY19" s="19"/>
      <c r="DZ19" s="274"/>
      <c r="EA19" s="274"/>
      <c r="EB19" s="19">
        <f>+EB39+EB44+EB84+EB89+EB94+EB34+EB29+EB24</f>
        <v>0</v>
      </c>
      <c r="EC19" s="18"/>
      <c r="ED19" s="19"/>
      <c r="EE19" s="274"/>
      <c r="EF19" s="274"/>
      <c r="EG19" s="19">
        <f>+EG39+EG44+EG84+EG89+EG94+EG34+EG29+EG24</f>
        <v>0</v>
      </c>
      <c r="EH19" s="18"/>
      <c r="EI19" s="19"/>
      <c r="EJ19" s="274"/>
      <c r="EK19" s="274"/>
      <c r="EL19" s="19">
        <f>+EL39+EL44+EL84+EL89+EL94+EL34+EL29+EL24</f>
        <v>0</v>
      </c>
      <c r="EM19" s="18"/>
      <c r="EN19" s="19"/>
      <c r="EO19" s="244"/>
    </row>
    <row r="20" spans="4:148" x14ac:dyDescent="0.2">
      <c r="D20" s="244" t="s">
        <v>354</v>
      </c>
      <c r="E20" s="82"/>
      <c r="F20" s="276"/>
      <c r="G20" s="37">
        <v>0</v>
      </c>
      <c r="H20" s="36"/>
      <c r="I20" s="19"/>
      <c r="J20" s="274"/>
      <c r="K20" s="231"/>
      <c r="L20" s="37">
        <f>+L40+L45+L85+L90+L95+L35+L30+L25</f>
        <v>0</v>
      </c>
      <c r="M20" s="36"/>
      <c r="N20" s="19"/>
      <c r="O20" s="274"/>
      <c r="P20" s="231"/>
      <c r="Q20" s="37">
        <f>+Q40+Q45+Q85+Q90+Q95+Q35+Q30+Q25</f>
        <v>0</v>
      </c>
      <c r="R20" s="36"/>
      <c r="S20" s="19"/>
      <c r="T20" s="274"/>
      <c r="U20" s="231"/>
      <c r="V20" s="37">
        <f>+V40+V45+V85+V90+V95+V35+V30+V25</f>
        <v>0</v>
      </c>
      <c r="W20" s="36"/>
      <c r="X20" s="19"/>
      <c r="Y20" s="274"/>
      <c r="Z20" s="231"/>
      <c r="AA20" s="37">
        <f>+AA40+AA45+AA85+AA90+AA95+AA35+AA30+AA25</f>
        <v>0</v>
      </c>
      <c r="AB20" s="36"/>
      <c r="AC20" s="19"/>
      <c r="AD20" s="274"/>
      <c r="AE20" s="231"/>
      <c r="AF20" s="37">
        <f>+AF40+AF45+AF85+AF90+AF95+AF35+AF30+AF25</f>
        <v>0</v>
      </c>
      <c r="AG20" s="36"/>
      <c r="AH20" s="19"/>
      <c r="AI20" s="274"/>
      <c r="AJ20" s="231"/>
      <c r="AK20" s="37">
        <f>+AK40+AK45+AK85+AK90+AK95+AK35+AK30+AK25+AK60</f>
        <v>0</v>
      </c>
      <c r="AL20" s="36"/>
      <c r="AM20" s="19"/>
      <c r="AN20" s="274"/>
      <c r="AO20" s="231"/>
      <c r="AP20" s="37">
        <f>+AP40+AP45+AP85+AP90+AP95+AP35+AP30+AP25+AP60</f>
        <v>0</v>
      </c>
      <c r="AQ20" s="36"/>
      <c r="AR20" s="19"/>
      <c r="AS20" s="274"/>
      <c r="AT20" s="231"/>
      <c r="AU20" s="37">
        <f>+AU40+AU45+AU85+AU90+AU95+AU35+AU30+AU25</f>
        <v>0</v>
      </c>
      <c r="AV20" s="36"/>
      <c r="AW20" s="19"/>
      <c r="AX20" s="274"/>
      <c r="AY20" s="231"/>
      <c r="AZ20" s="37">
        <f>+AZ40+AZ45+AZ85+AZ90+AZ95+AZ35+AZ30+AZ25</f>
        <v>0</v>
      </c>
      <c r="BA20" s="36"/>
      <c r="BB20" s="19"/>
      <c r="BC20" s="274"/>
      <c r="BD20" s="231"/>
      <c r="BE20" s="37">
        <f>+BE40+BE45+BE85+BE90+BE95+BE35+BE30+BE25</f>
        <v>0</v>
      </c>
      <c r="BF20" s="36"/>
      <c r="BG20" s="19"/>
      <c r="BH20" s="274"/>
      <c r="BI20" s="231"/>
      <c r="BJ20" s="37">
        <f>+BJ40+BJ45+BJ85+BJ90+BJ95+BJ35+BJ30+BJ25</f>
        <v>0</v>
      </c>
      <c r="BK20" s="36"/>
      <c r="BL20" s="19"/>
      <c r="BM20" s="274"/>
      <c r="BN20" s="231"/>
      <c r="BO20" s="37">
        <f>+BO40+BO45+BO85+BO90+BO95+BO35+BO30+BO25</f>
        <v>0</v>
      </c>
      <c r="BP20" s="36"/>
      <c r="BQ20" s="19"/>
      <c r="BR20" s="274"/>
      <c r="BS20" s="231"/>
      <c r="BT20" s="37">
        <f>+BT40+BT45+BT85+BT90+BT95+BT35+BT30+BT25+BT60</f>
        <v>0</v>
      </c>
      <c r="BU20" s="36"/>
      <c r="BV20" s="19"/>
      <c r="BW20" s="274"/>
      <c r="BX20" s="231"/>
      <c r="BY20" s="37">
        <v>0</v>
      </c>
      <c r="BZ20" s="36"/>
      <c r="CA20" s="19"/>
      <c r="CB20" s="274"/>
      <c r="CC20" s="231"/>
      <c r="CD20" s="37">
        <f>+CD40+CD45+CD85+CD90+CD95+CD35+CD30+CD25</f>
        <v>0</v>
      </c>
      <c r="CE20" s="36"/>
      <c r="CF20" s="19"/>
      <c r="CG20" s="274"/>
      <c r="CH20" s="231"/>
      <c r="CI20" s="37">
        <f>+CI40+CI45+CI85+CI90+CI95+CI35+CI30+CI25</f>
        <v>0</v>
      </c>
      <c r="CJ20" s="36"/>
      <c r="CK20" s="19"/>
      <c r="CL20" s="274"/>
      <c r="CM20" s="231"/>
      <c r="CN20" s="37">
        <f>+CN40+CN45+CN85+CN90+CN95+CN35+CN30+CN25</f>
        <v>0</v>
      </c>
      <c r="CO20" s="36"/>
      <c r="CP20" s="19"/>
      <c r="CQ20" s="274"/>
      <c r="CR20" s="231"/>
      <c r="CS20" s="37">
        <f>+CS40+CS45+CS85+CS90+CS95+CS35+CS30+CS25</f>
        <v>0</v>
      </c>
      <c r="CT20" s="36"/>
      <c r="CU20" s="19"/>
      <c r="CV20" s="274"/>
      <c r="CW20" s="231"/>
      <c r="CX20" s="37">
        <f>+CX40+CX45+CX85+CX90+CX95+CX35+CX30+CX25</f>
        <v>0</v>
      </c>
      <c r="CY20" s="36"/>
      <c r="CZ20" s="19"/>
      <c r="DA20" s="274"/>
      <c r="DB20" s="231"/>
      <c r="DC20" s="37">
        <f>+DC40+DC45+DC85+DC90+DC95+DC35+DC30+DC25</f>
        <v>0</v>
      </c>
      <c r="DD20" s="36"/>
      <c r="DE20" s="19"/>
      <c r="DF20" s="274"/>
      <c r="DG20" s="231"/>
      <c r="DH20" s="37">
        <f>+DH40+DH45+DH85+DH90+DH95+DH35+DH30+DH25</f>
        <v>0</v>
      </c>
      <c r="DI20" s="36"/>
      <c r="DJ20" s="19"/>
      <c r="DK20" s="274"/>
      <c r="DL20" s="231"/>
      <c r="DM20" s="37">
        <f>+DM40+DM45+DM85+DM90+DM95+DM35+DM30+DM25</f>
        <v>0</v>
      </c>
      <c r="DN20" s="36"/>
      <c r="DO20" s="19"/>
      <c r="DP20" s="274"/>
      <c r="DQ20" s="231"/>
      <c r="DR20" s="37">
        <f>+DR40+DR45+DR85+DR90+DR95+DR35+DR30+DR25</f>
        <v>0</v>
      </c>
      <c r="DS20" s="36"/>
      <c r="DT20" s="19"/>
      <c r="DU20" s="274"/>
      <c r="DV20" s="231"/>
      <c r="DW20" s="37">
        <f>+DW40+DW45+DW85+DW90+DW95+DW35+DW30+DW25</f>
        <v>0</v>
      </c>
      <c r="DX20" s="36"/>
      <c r="DY20" s="19"/>
      <c r="DZ20" s="274"/>
      <c r="EA20" s="231"/>
      <c r="EB20" s="37">
        <f>+EB40+EB45+EB85+EB90+EB95+EB35+EB30+EB25</f>
        <v>0</v>
      </c>
      <c r="EC20" s="36"/>
      <c r="ED20" s="19"/>
      <c r="EE20" s="274"/>
      <c r="EF20" s="231"/>
      <c r="EG20" s="37">
        <f>+EG40+EG45+EG85+EG90+EG95+EG35+EG30+EG25</f>
        <v>0</v>
      </c>
      <c r="EH20" s="36"/>
      <c r="EI20" s="19"/>
      <c r="EJ20" s="274"/>
      <c r="EK20" s="231"/>
      <c r="EL20" s="37">
        <f>+EL40+EL45+EL85+EL90+EL95+EL35+EL30+EL25</f>
        <v>0</v>
      </c>
      <c r="EM20" s="36"/>
      <c r="EN20" s="19"/>
      <c r="EO20" s="244"/>
    </row>
    <row r="21" spans="4:148" x14ac:dyDescent="0.2">
      <c r="D21" s="244"/>
      <c r="E21" s="82"/>
      <c r="G21" s="19"/>
      <c r="H21" s="19"/>
      <c r="I21" s="19"/>
      <c r="J21" s="274"/>
      <c r="K21" s="19"/>
      <c r="L21" s="19"/>
      <c r="M21" s="19"/>
      <c r="N21" s="19"/>
      <c r="O21" s="274"/>
      <c r="P21" s="19"/>
      <c r="Q21" s="19"/>
      <c r="R21" s="19"/>
      <c r="S21" s="19"/>
      <c r="T21" s="274"/>
      <c r="U21" s="19"/>
      <c r="V21" s="19"/>
      <c r="W21" s="19"/>
      <c r="X21" s="19"/>
      <c r="Y21" s="274"/>
      <c r="Z21" s="19"/>
      <c r="AA21" s="19"/>
      <c r="AB21" s="19"/>
      <c r="AC21" s="19"/>
      <c r="AD21" s="274"/>
      <c r="AE21" s="19"/>
      <c r="AF21" s="19"/>
      <c r="AG21" s="19"/>
      <c r="AH21" s="19"/>
      <c r="AI21" s="274"/>
      <c r="AJ21" s="19"/>
      <c r="AK21" s="19"/>
      <c r="AL21" s="19"/>
      <c r="AM21" s="19"/>
      <c r="AN21" s="274"/>
      <c r="AO21" s="19"/>
      <c r="AP21" s="19"/>
      <c r="AQ21" s="19"/>
      <c r="AR21" s="19"/>
      <c r="AS21" s="274"/>
      <c r="AT21" s="19"/>
      <c r="AU21" s="19"/>
      <c r="AV21" s="19"/>
      <c r="AW21" s="19"/>
      <c r="AX21" s="274"/>
      <c r="AY21" s="19"/>
      <c r="AZ21" s="19"/>
      <c r="BA21" s="19"/>
      <c r="BB21" s="19"/>
      <c r="BC21" s="274"/>
      <c r="BD21" s="19"/>
      <c r="BE21" s="19"/>
      <c r="BF21" s="19"/>
      <c r="BG21" s="19"/>
      <c r="BH21" s="274"/>
      <c r="BI21" s="19"/>
      <c r="BJ21" s="19"/>
      <c r="BK21" s="19"/>
      <c r="BL21" s="19"/>
      <c r="BM21" s="274"/>
      <c r="BN21" s="19"/>
      <c r="BO21" s="19"/>
      <c r="BP21" s="19"/>
      <c r="BQ21" s="19"/>
      <c r="BR21" s="274"/>
      <c r="BS21" s="19"/>
      <c r="BT21" s="19"/>
      <c r="BU21" s="19"/>
      <c r="BV21" s="19"/>
      <c r="BW21" s="274"/>
      <c r="BX21" s="19"/>
      <c r="BY21" s="19"/>
      <c r="BZ21" s="19"/>
      <c r="CA21" s="19"/>
      <c r="CB21" s="274"/>
      <c r="CC21" s="19"/>
      <c r="CD21" s="19"/>
      <c r="CE21" s="19"/>
      <c r="CF21" s="19"/>
      <c r="CG21" s="274"/>
      <c r="CH21" s="19"/>
      <c r="CI21" s="19"/>
      <c r="CJ21" s="19"/>
      <c r="CK21" s="19"/>
      <c r="CL21" s="274"/>
      <c r="CM21" s="19"/>
      <c r="CN21" s="19"/>
      <c r="CO21" s="19"/>
      <c r="CP21" s="19"/>
      <c r="CQ21" s="274"/>
      <c r="CR21" s="19"/>
      <c r="CS21" s="19"/>
      <c r="CT21" s="19"/>
      <c r="CU21" s="19"/>
      <c r="CV21" s="274"/>
      <c r="CW21" s="19"/>
      <c r="CX21" s="19"/>
      <c r="CY21" s="19"/>
      <c r="CZ21" s="19"/>
      <c r="DA21" s="274"/>
      <c r="DB21" s="19"/>
      <c r="DC21" s="19"/>
      <c r="DD21" s="19"/>
      <c r="DE21" s="19"/>
      <c r="DF21" s="274"/>
      <c r="DG21" s="19"/>
      <c r="DH21" s="19"/>
      <c r="DI21" s="19"/>
      <c r="DJ21" s="19"/>
      <c r="DK21" s="274"/>
      <c r="DL21" s="19"/>
      <c r="DM21" s="19"/>
      <c r="DN21" s="19"/>
      <c r="DO21" s="19"/>
      <c r="DP21" s="274"/>
      <c r="DQ21" s="19"/>
      <c r="DR21" s="19"/>
      <c r="DS21" s="19"/>
      <c r="DT21" s="19"/>
      <c r="DU21" s="274"/>
      <c r="DV21" s="19"/>
      <c r="DW21" s="19"/>
      <c r="DX21" s="19"/>
      <c r="DY21" s="19"/>
      <c r="DZ21" s="274"/>
      <c r="EA21" s="19"/>
      <c r="EB21" s="19"/>
      <c r="EC21" s="19"/>
      <c r="ED21" s="19"/>
      <c r="EE21" s="274"/>
      <c r="EF21" s="19"/>
      <c r="EG21" s="19"/>
      <c r="EH21" s="19"/>
      <c r="EI21" s="19"/>
      <c r="EJ21" s="274"/>
      <c r="EK21" s="19"/>
      <c r="EL21" s="19"/>
      <c r="EM21" s="19"/>
      <c r="EN21" s="19"/>
      <c r="EO21" s="244"/>
    </row>
    <row r="22" spans="4:148" x14ac:dyDescent="0.2">
      <c r="D22" s="244" t="s">
        <v>446</v>
      </c>
      <c r="E22" s="82"/>
      <c r="G22" s="19">
        <f>SUM(G23:G25)</f>
        <v>0</v>
      </c>
      <c r="H22" s="19"/>
      <c r="I22" s="19"/>
      <c r="J22" s="274"/>
      <c r="K22" s="19"/>
      <c r="L22" s="19">
        <f>L23+L25</f>
        <v>0</v>
      </c>
      <c r="M22" s="19"/>
      <c r="N22" s="19"/>
      <c r="O22" s="274"/>
      <c r="P22" s="19"/>
      <c r="Q22" s="19">
        <f>Q23+Q25</f>
        <v>0</v>
      </c>
      <c r="R22" s="19"/>
      <c r="S22" s="19"/>
      <c r="T22" s="274"/>
      <c r="U22" s="19"/>
      <c r="V22" s="19">
        <f>V23+V25</f>
        <v>0</v>
      </c>
      <c r="W22" s="19"/>
      <c r="X22" s="19"/>
      <c r="Y22" s="274"/>
      <c r="Z22" s="19"/>
      <c r="AA22" s="19">
        <f>AA23+AA25</f>
        <v>0</v>
      </c>
      <c r="AB22" s="19"/>
      <c r="AC22" s="19"/>
      <c r="AD22" s="274"/>
      <c r="AE22" s="19"/>
      <c r="AF22" s="19">
        <f>AF23+AF25</f>
        <v>0</v>
      </c>
      <c r="AG22" s="19"/>
      <c r="AH22" s="19"/>
      <c r="AI22" s="274"/>
      <c r="AJ22" s="19"/>
      <c r="AK22" s="19">
        <f>AK23+AK25</f>
        <v>0</v>
      </c>
      <c r="AL22" s="19"/>
      <c r="AM22" s="19"/>
      <c r="AN22" s="274"/>
      <c r="AO22" s="19"/>
      <c r="AP22" s="19">
        <f>AP23+AP25</f>
        <v>0</v>
      </c>
      <c r="AQ22" s="19"/>
      <c r="AR22" s="19"/>
      <c r="AS22" s="274"/>
      <c r="AT22" s="19"/>
      <c r="AU22" s="19">
        <f>AU23+AU25</f>
        <v>0</v>
      </c>
      <c r="AV22" s="19"/>
      <c r="AW22" s="19"/>
      <c r="AX22" s="274"/>
      <c r="AY22" s="19"/>
      <c r="AZ22" s="19">
        <f>AZ23+AZ25</f>
        <v>0</v>
      </c>
      <c r="BA22" s="19"/>
      <c r="BB22" s="19"/>
      <c r="BC22" s="274"/>
      <c r="BD22" s="19"/>
      <c r="BE22" s="19">
        <f>BE23+BE25</f>
        <v>0</v>
      </c>
      <c r="BF22" s="19"/>
      <c r="BG22" s="19"/>
      <c r="BH22" s="274"/>
      <c r="BI22" s="19"/>
      <c r="BJ22" s="19">
        <f>BJ23+BJ25</f>
        <v>0</v>
      </c>
      <c r="BK22" s="19"/>
      <c r="BL22" s="19"/>
      <c r="BM22" s="274"/>
      <c r="BN22" s="19"/>
      <c r="BO22" s="19">
        <f>BO23+BO25</f>
        <v>0</v>
      </c>
      <c r="BP22" s="19"/>
      <c r="BQ22" s="19"/>
      <c r="BR22" s="274"/>
      <c r="BS22" s="19"/>
      <c r="BT22" s="19">
        <f>SUM(BT23:BT25)</f>
        <v>0</v>
      </c>
      <c r="BU22" s="19"/>
      <c r="BV22" s="19"/>
      <c r="BW22" s="274"/>
      <c r="BX22" s="19"/>
      <c r="BY22" s="19">
        <f>SUM(BY23:BY25)</f>
        <v>30420800</v>
      </c>
      <c r="BZ22" s="19"/>
      <c r="CA22" s="19"/>
      <c r="CB22" s="274"/>
      <c r="CC22" s="19"/>
      <c r="CD22" s="19">
        <f>CD23+CD25</f>
        <v>0</v>
      </c>
      <c r="CE22" s="19"/>
      <c r="CF22" s="19"/>
      <c r="CG22" s="274"/>
      <c r="CH22" s="19"/>
      <c r="CI22" s="19">
        <f>CI23+CI25</f>
        <v>0</v>
      </c>
      <c r="CJ22" s="19"/>
      <c r="CK22" s="19"/>
      <c r="CL22" s="274"/>
      <c r="CM22" s="19"/>
      <c r="CN22" s="19">
        <f>CN23+CN25</f>
        <v>0</v>
      </c>
      <c r="CO22" s="19"/>
      <c r="CP22" s="19"/>
      <c r="CQ22" s="274"/>
      <c r="CR22" s="19"/>
      <c r="CS22" s="19">
        <f>CS23+CS25</f>
        <v>0</v>
      </c>
      <c r="CT22" s="19"/>
      <c r="CU22" s="19"/>
      <c r="CV22" s="274"/>
      <c r="CW22" s="19"/>
      <c r="CX22" s="19">
        <f>CX23+CX25</f>
        <v>0</v>
      </c>
      <c r="CY22" s="19"/>
      <c r="CZ22" s="19"/>
      <c r="DA22" s="274"/>
      <c r="DB22" s="19"/>
      <c r="DC22" s="19">
        <f>DC23+DC25</f>
        <v>30420800</v>
      </c>
      <c r="DD22" s="19"/>
      <c r="DE22" s="19"/>
      <c r="DF22" s="274"/>
      <c r="DG22" s="19"/>
      <c r="DH22" s="19">
        <f>DH23+DH25</f>
        <v>0</v>
      </c>
      <c r="DI22" s="19"/>
      <c r="DJ22" s="19"/>
      <c r="DK22" s="274"/>
      <c r="DL22" s="19"/>
      <c r="DM22" s="19">
        <f>DM23+DM25</f>
        <v>0</v>
      </c>
      <c r="DN22" s="19"/>
      <c r="DO22" s="19"/>
      <c r="DP22" s="274"/>
      <c r="DQ22" s="19"/>
      <c r="DR22" s="19">
        <f>DR23+DR25</f>
        <v>0</v>
      </c>
      <c r="DS22" s="19"/>
      <c r="DT22" s="19"/>
      <c r="DU22" s="274"/>
      <c r="DV22" s="19"/>
      <c r="DW22" s="19">
        <f>DW23+DW25</f>
        <v>0</v>
      </c>
      <c r="DX22" s="19"/>
      <c r="DY22" s="19"/>
      <c r="DZ22" s="274"/>
      <c r="EA22" s="19"/>
      <c r="EB22" s="19">
        <f>EB23+EB25</f>
        <v>0</v>
      </c>
      <c r="EC22" s="19"/>
      <c r="ED22" s="19"/>
      <c r="EE22" s="274"/>
      <c r="EF22" s="19"/>
      <c r="EG22" s="19">
        <f>EG23+EG25</f>
        <v>0</v>
      </c>
      <c r="EH22" s="19"/>
      <c r="EI22" s="19"/>
      <c r="EJ22" s="274"/>
      <c r="EK22" s="19"/>
      <c r="EL22" s="19">
        <f>SUM(EL23:EL25)</f>
        <v>30420800</v>
      </c>
      <c r="EM22" s="19"/>
      <c r="EN22" s="19"/>
      <c r="EO22" s="244"/>
    </row>
    <row r="23" spans="4:148" x14ac:dyDescent="0.2">
      <c r="D23" s="244" t="s">
        <v>344</v>
      </c>
      <c r="E23" s="82"/>
      <c r="F23" s="112"/>
      <c r="G23" s="374">
        <v>0</v>
      </c>
      <c r="H23" s="475"/>
      <c r="I23" s="19"/>
      <c r="J23" s="274"/>
      <c r="K23" s="173"/>
      <c r="L23" s="374">
        <v>0</v>
      </c>
      <c r="M23" s="475"/>
      <c r="N23" s="19"/>
      <c r="O23" s="274"/>
      <c r="P23" s="173"/>
      <c r="Q23" s="374">
        <v>0</v>
      </c>
      <c r="R23" s="475"/>
      <c r="S23" s="19"/>
      <c r="T23" s="274"/>
      <c r="U23" s="173"/>
      <c r="V23" s="374">
        <v>0</v>
      </c>
      <c r="W23" s="475"/>
      <c r="X23" s="19"/>
      <c r="Y23" s="274"/>
      <c r="Z23" s="173"/>
      <c r="AA23" s="374">
        <v>0</v>
      </c>
      <c r="AB23" s="475"/>
      <c r="AC23" s="19"/>
      <c r="AD23" s="274"/>
      <c r="AE23" s="173"/>
      <c r="AF23" s="374">
        <v>0</v>
      </c>
      <c r="AG23" s="475"/>
      <c r="AH23" s="19"/>
      <c r="AI23" s="274"/>
      <c r="AJ23" s="173"/>
      <c r="AK23" s="374">
        <v>0</v>
      </c>
      <c r="AL23" s="475"/>
      <c r="AM23" s="19"/>
      <c r="AN23" s="274"/>
      <c r="AO23" s="173"/>
      <c r="AP23" s="374">
        <v>0</v>
      </c>
      <c r="AQ23" s="475"/>
      <c r="AR23" s="19"/>
      <c r="AS23" s="274"/>
      <c r="AT23" s="173"/>
      <c r="AU23" s="374">
        <v>0</v>
      </c>
      <c r="AV23" s="475"/>
      <c r="AW23" s="19"/>
      <c r="AX23" s="274"/>
      <c r="AY23" s="173"/>
      <c r="AZ23" s="374">
        <v>0</v>
      </c>
      <c r="BA23" s="475"/>
      <c r="BB23" s="19"/>
      <c r="BC23" s="274"/>
      <c r="BD23" s="173"/>
      <c r="BE23" s="374">
        <v>0</v>
      </c>
      <c r="BF23" s="475"/>
      <c r="BG23" s="19"/>
      <c r="BH23" s="274"/>
      <c r="BI23" s="173"/>
      <c r="BJ23" s="374">
        <v>0</v>
      </c>
      <c r="BK23" s="475"/>
      <c r="BL23" s="19"/>
      <c r="BM23" s="274"/>
      <c r="BN23" s="173"/>
      <c r="BO23" s="374">
        <v>0</v>
      </c>
      <c r="BP23" s="475"/>
      <c r="BQ23" s="19"/>
      <c r="BR23" s="274"/>
      <c r="BS23" s="173"/>
      <c r="BT23" s="374">
        <f>SUM(L23:BO23)</f>
        <v>0</v>
      </c>
      <c r="BU23" s="475"/>
      <c r="BV23" s="19"/>
      <c r="BW23" s="274"/>
      <c r="BX23" s="173"/>
      <c r="BY23" s="374">
        <v>30420800</v>
      </c>
      <c r="BZ23" s="475"/>
      <c r="CA23" s="19"/>
      <c r="CB23" s="274"/>
      <c r="CC23" s="173"/>
      <c r="CD23" s="374">
        <v>0</v>
      </c>
      <c r="CE23" s="475"/>
      <c r="CF23" s="19"/>
      <c r="CG23" s="274"/>
      <c r="CH23" s="173"/>
      <c r="CI23" s="374">
        <v>0</v>
      </c>
      <c r="CJ23" s="475"/>
      <c r="CK23" s="19"/>
      <c r="CL23" s="274"/>
      <c r="CM23" s="173"/>
      <c r="CN23" s="374">
        <v>0</v>
      </c>
      <c r="CO23" s="475"/>
      <c r="CP23" s="19"/>
      <c r="CQ23" s="274"/>
      <c r="CR23" s="173"/>
      <c r="CS23" s="374">
        <v>0</v>
      </c>
      <c r="CT23" s="475"/>
      <c r="CU23" s="19"/>
      <c r="CV23" s="274"/>
      <c r="CW23" s="173"/>
      <c r="CX23" s="374">
        <v>0</v>
      </c>
      <c r="CY23" s="475"/>
      <c r="CZ23" s="19"/>
      <c r="DA23" s="274"/>
      <c r="DB23" s="173"/>
      <c r="DC23" s="374">
        <v>30420800</v>
      </c>
      <c r="DD23" s="475"/>
      <c r="DE23" s="19"/>
      <c r="DF23" s="274"/>
      <c r="DG23" s="173"/>
      <c r="DH23" s="374">
        <v>0</v>
      </c>
      <c r="DI23" s="475"/>
      <c r="DJ23" s="19"/>
      <c r="DK23" s="274"/>
      <c r="DL23" s="173"/>
      <c r="DM23" s="374">
        <v>0</v>
      </c>
      <c r="DN23" s="475"/>
      <c r="DO23" s="19"/>
      <c r="DP23" s="274"/>
      <c r="DQ23" s="173"/>
      <c r="DR23" s="374">
        <v>0</v>
      </c>
      <c r="DS23" s="475"/>
      <c r="DT23" s="19"/>
      <c r="DU23" s="274"/>
      <c r="DV23" s="173"/>
      <c r="DW23" s="374">
        <v>0</v>
      </c>
      <c r="DX23" s="475"/>
      <c r="DY23" s="19"/>
      <c r="DZ23" s="274"/>
      <c r="EA23" s="173"/>
      <c r="EB23" s="374">
        <v>0</v>
      </c>
      <c r="EC23" s="475"/>
      <c r="ED23" s="19"/>
      <c r="EE23" s="274"/>
      <c r="EF23" s="173"/>
      <c r="EG23" s="374">
        <v>0</v>
      </c>
      <c r="EH23" s="475"/>
      <c r="EI23" s="19"/>
      <c r="EJ23" s="274"/>
      <c r="EK23" s="173"/>
      <c r="EL23" s="374">
        <f>SUM(CD23:EG23)</f>
        <v>30420800</v>
      </c>
      <c r="EM23" s="475"/>
      <c r="EN23" s="19"/>
      <c r="EO23" s="244"/>
    </row>
    <row r="24" spans="4:148" x14ac:dyDescent="0.2">
      <c r="D24" s="244" t="s">
        <v>346</v>
      </c>
      <c r="E24" s="82"/>
      <c r="F24" s="82"/>
      <c r="G24" s="19">
        <v>0</v>
      </c>
      <c r="H24" s="18"/>
      <c r="I24" s="19"/>
      <c r="J24" s="274"/>
      <c r="K24" s="274"/>
      <c r="L24" s="19">
        <v>0</v>
      </c>
      <c r="M24" s="18"/>
      <c r="N24" s="19"/>
      <c r="O24" s="274"/>
      <c r="P24" s="274"/>
      <c r="Q24" s="19">
        <v>0</v>
      </c>
      <c r="R24" s="18"/>
      <c r="S24" s="19"/>
      <c r="T24" s="274"/>
      <c r="U24" s="274"/>
      <c r="V24" s="19">
        <v>0</v>
      </c>
      <c r="W24" s="18"/>
      <c r="X24" s="19"/>
      <c r="Y24" s="274"/>
      <c r="Z24" s="274"/>
      <c r="AA24" s="19">
        <v>0</v>
      </c>
      <c r="AB24" s="18"/>
      <c r="AC24" s="19"/>
      <c r="AD24" s="274"/>
      <c r="AE24" s="274"/>
      <c r="AF24" s="19">
        <v>0</v>
      </c>
      <c r="AG24" s="18"/>
      <c r="AH24" s="19"/>
      <c r="AI24" s="274"/>
      <c r="AJ24" s="274"/>
      <c r="AK24" s="19">
        <v>0</v>
      </c>
      <c r="AL24" s="18"/>
      <c r="AM24" s="19"/>
      <c r="AN24" s="274"/>
      <c r="AO24" s="274"/>
      <c r="AP24" s="19">
        <v>0</v>
      </c>
      <c r="AQ24" s="18"/>
      <c r="AR24" s="19"/>
      <c r="AS24" s="274"/>
      <c r="AT24" s="274"/>
      <c r="AU24" s="19">
        <v>0</v>
      </c>
      <c r="AV24" s="18"/>
      <c r="AW24" s="19"/>
      <c r="AX24" s="274"/>
      <c r="AY24" s="274"/>
      <c r="AZ24" s="19">
        <v>0</v>
      </c>
      <c r="BA24" s="18"/>
      <c r="BB24" s="19"/>
      <c r="BC24" s="274"/>
      <c r="BD24" s="274"/>
      <c r="BE24" s="19">
        <v>0</v>
      </c>
      <c r="BF24" s="18"/>
      <c r="BG24" s="19"/>
      <c r="BH24" s="274"/>
      <c r="BI24" s="274"/>
      <c r="BJ24" s="19">
        <v>0</v>
      </c>
      <c r="BK24" s="18"/>
      <c r="BL24" s="19"/>
      <c r="BM24" s="274"/>
      <c r="BN24" s="274"/>
      <c r="BO24" s="19">
        <v>0</v>
      </c>
      <c r="BP24" s="18"/>
      <c r="BQ24" s="19"/>
      <c r="BR24" s="274"/>
      <c r="BS24" s="274"/>
      <c r="BT24" s="19">
        <f>SUM(L24:BO24)</f>
        <v>0</v>
      </c>
      <c r="BU24" s="18"/>
      <c r="BV24" s="19"/>
      <c r="BW24" s="274"/>
      <c r="BX24" s="274"/>
      <c r="BY24" s="19">
        <v>0</v>
      </c>
      <c r="BZ24" s="18"/>
      <c r="CA24" s="19"/>
      <c r="CB24" s="274"/>
      <c r="CC24" s="274"/>
      <c r="CD24" s="19">
        <v>0</v>
      </c>
      <c r="CE24" s="18"/>
      <c r="CF24" s="19"/>
      <c r="CG24" s="274"/>
      <c r="CH24" s="274"/>
      <c r="CI24" s="19">
        <v>0</v>
      </c>
      <c r="CJ24" s="18"/>
      <c r="CK24" s="19"/>
      <c r="CL24" s="274"/>
      <c r="CM24" s="274"/>
      <c r="CN24" s="19">
        <v>0</v>
      </c>
      <c r="CO24" s="18"/>
      <c r="CP24" s="19"/>
      <c r="CQ24" s="274"/>
      <c r="CR24" s="274"/>
      <c r="CS24" s="19">
        <v>0</v>
      </c>
      <c r="CT24" s="18"/>
      <c r="CU24" s="19"/>
      <c r="CV24" s="274"/>
      <c r="CW24" s="274"/>
      <c r="CX24" s="19">
        <v>0</v>
      </c>
      <c r="CY24" s="18"/>
      <c r="CZ24" s="19"/>
      <c r="DA24" s="274"/>
      <c r="DB24" s="274"/>
      <c r="DC24" s="19">
        <v>0</v>
      </c>
      <c r="DD24" s="18"/>
      <c r="DE24" s="19"/>
      <c r="DF24" s="274"/>
      <c r="DG24" s="274"/>
      <c r="DH24" s="19">
        <v>0</v>
      </c>
      <c r="DI24" s="18"/>
      <c r="DJ24" s="19"/>
      <c r="DK24" s="274"/>
      <c r="DL24" s="274"/>
      <c r="DM24" s="19">
        <v>0</v>
      </c>
      <c r="DN24" s="18"/>
      <c r="DO24" s="19"/>
      <c r="DP24" s="274"/>
      <c r="DQ24" s="274"/>
      <c r="DR24" s="19">
        <v>0</v>
      </c>
      <c r="DS24" s="18"/>
      <c r="DT24" s="19"/>
      <c r="DU24" s="274"/>
      <c r="DV24" s="274"/>
      <c r="DW24" s="19">
        <v>0</v>
      </c>
      <c r="DX24" s="18"/>
      <c r="DY24" s="19"/>
      <c r="DZ24" s="274"/>
      <c r="EA24" s="274"/>
      <c r="EB24" s="19">
        <v>0</v>
      </c>
      <c r="EC24" s="18"/>
      <c r="ED24" s="19"/>
      <c r="EE24" s="274"/>
      <c r="EF24" s="274"/>
      <c r="EG24" s="19">
        <v>0</v>
      </c>
      <c r="EH24" s="18"/>
      <c r="EI24" s="19"/>
      <c r="EJ24" s="274"/>
      <c r="EK24" s="274"/>
      <c r="EL24" s="19">
        <f>SUM(CD24:EG24)</f>
        <v>0</v>
      </c>
      <c r="EM24" s="18"/>
      <c r="EN24" s="19"/>
      <c r="EO24" s="244"/>
    </row>
    <row r="25" spans="4:148" x14ac:dyDescent="0.2">
      <c r="D25" s="244" t="s">
        <v>354</v>
      </c>
      <c r="E25" s="82"/>
      <c r="F25" s="276"/>
      <c r="G25" s="37">
        <v>0</v>
      </c>
      <c r="H25" s="36"/>
      <c r="I25" s="19"/>
      <c r="J25" s="274"/>
      <c r="K25" s="231"/>
      <c r="L25" s="37">
        <v>0</v>
      </c>
      <c r="M25" s="36"/>
      <c r="N25" s="19"/>
      <c r="O25" s="274"/>
      <c r="P25" s="231"/>
      <c r="Q25" s="37">
        <v>0</v>
      </c>
      <c r="R25" s="36"/>
      <c r="S25" s="19"/>
      <c r="T25" s="274"/>
      <c r="U25" s="231"/>
      <c r="V25" s="37">
        <v>0</v>
      </c>
      <c r="W25" s="36"/>
      <c r="X25" s="19"/>
      <c r="Y25" s="274"/>
      <c r="Z25" s="231"/>
      <c r="AA25" s="37">
        <v>0</v>
      </c>
      <c r="AB25" s="36"/>
      <c r="AC25" s="19"/>
      <c r="AD25" s="274"/>
      <c r="AE25" s="231"/>
      <c r="AF25" s="37">
        <v>0</v>
      </c>
      <c r="AG25" s="36"/>
      <c r="AH25" s="19"/>
      <c r="AI25" s="274"/>
      <c r="AJ25" s="231"/>
      <c r="AK25" s="37">
        <v>0</v>
      </c>
      <c r="AL25" s="36"/>
      <c r="AM25" s="19"/>
      <c r="AN25" s="274"/>
      <c r="AO25" s="231"/>
      <c r="AP25" s="37">
        <v>0</v>
      </c>
      <c r="AQ25" s="36"/>
      <c r="AR25" s="19"/>
      <c r="AS25" s="274"/>
      <c r="AT25" s="231"/>
      <c r="AU25" s="37">
        <v>0</v>
      </c>
      <c r="AV25" s="36"/>
      <c r="AW25" s="19"/>
      <c r="AX25" s="274"/>
      <c r="AY25" s="231"/>
      <c r="AZ25" s="37">
        <v>0</v>
      </c>
      <c r="BA25" s="36"/>
      <c r="BB25" s="19"/>
      <c r="BC25" s="274"/>
      <c r="BD25" s="231"/>
      <c r="BE25" s="37">
        <v>0</v>
      </c>
      <c r="BF25" s="36"/>
      <c r="BG25" s="19"/>
      <c r="BH25" s="274"/>
      <c r="BI25" s="231"/>
      <c r="BJ25" s="37">
        <v>0</v>
      </c>
      <c r="BK25" s="36"/>
      <c r="BL25" s="19"/>
      <c r="BM25" s="274"/>
      <c r="BN25" s="231"/>
      <c r="BO25" s="37">
        <v>0</v>
      </c>
      <c r="BP25" s="36"/>
      <c r="BQ25" s="19"/>
      <c r="BR25" s="274"/>
      <c r="BS25" s="231"/>
      <c r="BT25" s="37">
        <f>SUM(L25:BO25)</f>
        <v>0</v>
      </c>
      <c r="BU25" s="36"/>
      <c r="BV25" s="19"/>
      <c r="BW25" s="274"/>
      <c r="BX25" s="231"/>
      <c r="BY25" s="37">
        <v>0</v>
      </c>
      <c r="BZ25" s="36"/>
      <c r="CA25" s="19"/>
      <c r="CB25" s="274"/>
      <c r="CC25" s="231"/>
      <c r="CD25" s="37">
        <v>0</v>
      </c>
      <c r="CE25" s="36"/>
      <c r="CF25" s="19"/>
      <c r="CG25" s="274"/>
      <c r="CH25" s="231"/>
      <c r="CI25" s="37">
        <v>0</v>
      </c>
      <c r="CJ25" s="36"/>
      <c r="CK25" s="19"/>
      <c r="CL25" s="274"/>
      <c r="CM25" s="231"/>
      <c r="CN25" s="37">
        <v>0</v>
      </c>
      <c r="CO25" s="36"/>
      <c r="CP25" s="19"/>
      <c r="CQ25" s="274"/>
      <c r="CR25" s="231"/>
      <c r="CS25" s="37">
        <v>0</v>
      </c>
      <c r="CT25" s="36"/>
      <c r="CU25" s="19"/>
      <c r="CV25" s="274"/>
      <c r="CW25" s="231"/>
      <c r="CX25" s="37">
        <v>0</v>
      </c>
      <c r="CY25" s="36"/>
      <c r="CZ25" s="19"/>
      <c r="DA25" s="274"/>
      <c r="DB25" s="231"/>
      <c r="DC25" s="37">
        <v>0</v>
      </c>
      <c r="DD25" s="36"/>
      <c r="DE25" s="19"/>
      <c r="DF25" s="274"/>
      <c r="DG25" s="231"/>
      <c r="DH25" s="37">
        <v>0</v>
      </c>
      <c r="DI25" s="36"/>
      <c r="DJ25" s="19"/>
      <c r="DK25" s="274"/>
      <c r="DL25" s="231"/>
      <c r="DM25" s="37">
        <v>0</v>
      </c>
      <c r="DN25" s="36"/>
      <c r="DO25" s="19"/>
      <c r="DP25" s="274"/>
      <c r="DQ25" s="231"/>
      <c r="DR25" s="37">
        <v>0</v>
      </c>
      <c r="DS25" s="36"/>
      <c r="DT25" s="19"/>
      <c r="DU25" s="274"/>
      <c r="DV25" s="231"/>
      <c r="DW25" s="37">
        <v>0</v>
      </c>
      <c r="DX25" s="36"/>
      <c r="DY25" s="19"/>
      <c r="DZ25" s="274"/>
      <c r="EA25" s="231"/>
      <c r="EB25" s="37">
        <v>0</v>
      </c>
      <c r="EC25" s="36"/>
      <c r="ED25" s="19"/>
      <c r="EE25" s="274"/>
      <c r="EF25" s="231"/>
      <c r="EG25" s="37">
        <v>0</v>
      </c>
      <c r="EH25" s="36"/>
      <c r="EI25" s="19"/>
      <c r="EJ25" s="274"/>
      <c r="EK25" s="231"/>
      <c r="EL25" s="37">
        <f>SUM(CD25:EG25)</f>
        <v>0</v>
      </c>
      <c r="EM25" s="36"/>
      <c r="EN25" s="19"/>
      <c r="EO25" s="244"/>
    </row>
    <row r="26" spans="4:148" x14ac:dyDescent="0.2">
      <c r="D26" s="244"/>
      <c r="E26" s="82"/>
      <c r="G26" s="19"/>
      <c r="H26" s="19"/>
      <c r="I26" s="19"/>
      <c r="J26" s="274"/>
      <c r="K26" s="19"/>
      <c r="L26" s="19"/>
      <c r="M26" s="19"/>
      <c r="N26" s="19"/>
      <c r="O26" s="274"/>
      <c r="P26" s="19"/>
      <c r="Q26" s="19"/>
      <c r="R26" s="19"/>
      <c r="S26" s="19"/>
      <c r="T26" s="274"/>
      <c r="U26" s="19"/>
      <c r="V26" s="19"/>
      <c r="W26" s="19"/>
      <c r="X26" s="19"/>
      <c r="Y26" s="274"/>
      <c r="Z26" s="19"/>
      <c r="AA26" s="19"/>
      <c r="AB26" s="19"/>
      <c r="AC26" s="19"/>
      <c r="AD26" s="274"/>
      <c r="AE26" s="19"/>
      <c r="AF26" s="19"/>
      <c r="AG26" s="19"/>
      <c r="AH26" s="19"/>
      <c r="AI26" s="274"/>
      <c r="AJ26" s="19"/>
      <c r="AK26" s="19"/>
      <c r="AL26" s="19"/>
      <c r="AM26" s="19"/>
      <c r="AN26" s="274"/>
      <c r="AO26" s="19"/>
      <c r="AP26" s="19"/>
      <c r="AQ26" s="19"/>
      <c r="AR26" s="19"/>
      <c r="AS26" s="274"/>
      <c r="AT26" s="19"/>
      <c r="AU26" s="19"/>
      <c r="AV26" s="19"/>
      <c r="AW26" s="19"/>
      <c r="AX26" s="274"/>
      <c r="AY26" s="19"/>
      <c r="AZ26" s="19"/>
      <c r="BA26" s="19"/>
      <c r="BB26" s="19"/>
      <c r="BC26" s="274"/>
      <c r="BD26" s="19"/>
      <c r="BE26" s="19"/>
      <c r="BF26" s="19"/>
      <c r="BG26" s="19"/>
      <c r="BH26" s="274"/>
      <c r="BI26" s="19"/>
      <c r="BJ26" s="19"/>
      <c r="BK26" s="19"/>
      <c r="BL26" s="19"/>
      <c r="BM26" s="274"/>
      <c r="BN26" s="19"/>
      <c r="BO26" s="19"/>
      <c r="BP26" s="19"/>
      <c r="BQ26" s="19"/>
      <c r="BR26" s="274"/>
      <c r="BS26" s="19"/>
      <c r="BT26" s="19"/>
      <c r="BU26" s="19"/>
      <c r="BV26" s="19"/>
      <c r="BW26" s="274"/>
      <c r="BX26" s="19"/>
      <c r="BY26" s="19"/>
      <c r="BZ26" s="19"/>
      <c r="CA26" s="19"/>
      <c r="CB26" s="274"/>
      <c r="CC26" s="19"/>
      <c r="CD26" s="19"/>
      <c r="CE26" s="19"/>
      <c r="CF26" s="19"/>
      <c r="CG26" s="274"/>
      <c r="CH26" s="19"/>
      <c r="CI26" s="19"/>
      <c r="CJ26" s="19"/>
      <c r="CK26" s="19"/>
      <c r="CL26" s="274"/>
      <c r="CM26" s="19"/>
      <c r="CN26" s="19"/>
      <c r="CO26" s="19"/>
      <c r="CP26" s="19"/>
      <c r="CQ26" s="274"/>
      <c r="CR26" s="19"/>
      <c r="CS26" s="19"/>
      <c r="CT26" s="19"/>
      <c r="CU26" s="19"/>
      <c r="CV26" s="274"/>
      <c r="CW26" s="19"/>
      <c r="CX26" s="19"/>
      <c r="CY26" s="19"/>
      <c r="CZ26" s="19"/>
      <c r="DA26" s="274"/>
      <c r="DB26" s="19"/>
      <c r="DC26" s="19"/>
      <c r="DD26" s="19"/>
      <c r="DE26" s="19"/>
      <c r="DF26" s="274"/>
      <c r="DG26" s="19"/>
      <c r="DH26" s="19"/>
      <c r="DI26" s="19"/>
      <c r="DJ26" s="19"/>
      <c r="DK26" s="274"/>
      <c r="DL26" s="19"/>
      <c r="DM26" s="19"/>
      <c r="DN26" s="19"/>
      <c r="DO26" s="19"/>
      <c r="DP26" s="274"/>
      <c r="DQ26" s="19"/>
      <c r="DR26" s="19"/>
      <c r="DS26" s="19"/>
      <c r="DT26" s="19"/>
      <c r="DU26" s="274"/>
      <c r="DV26" s="19"/>
      <c r="DW26" s="19"/>
      <c r="DX26" s="19"/>
      <c r="DY26" s="19"/>
      <c r="DZ26" s="274"/>
      <c r="EA26" s="19"/>
      <c r="EB26" s="19"/>
      <c r="EC26" s="19"/>
      <c r="ED26" s="19"/>
      <c r="EE26" s="274"/>
      <c r="EF26" s="19"/>
      <c r="EG26" s="19"/>
      <c r="EH26" s="19"/>
      <c r="EI26" s="19"/>
      <c r="EJ26" s="274"/>
      <c r="EK26" s="19"/>
      <c r="EL26" s="19"/>
      <c r="EM26" s="19"/>
      <c r="EN26" s="19"/>
      <c r="EO26" s="244"/>
    </row>
    <row r="27" spans="4:148" x14ac:dyDescent="0.2">
      <c r="D27" s="244" t="s">
        <v>447</v>
      </c>
      <c r="E27" s="82"/>
      <c r="G27" s="19">
        <f>SUM(G28:G30)</f>
        <v>0</v>
      </c>
      <c r="H27" s="19"/>
      <c r="I27" s="19"/>
      <c r="J27" s="274"/>
      <c r="K27" s="19"/>
      <c r="L27" s="19">
        <f>L28+L30</f>
        <v>0</v>
      </c>
      <c r="M27" s="19"/>
      <c r="N27" s="19"/>
      <c r="O27" s="274"/>
      <c r="P27" s="19"/>
      <c r="Q27" s="19">
        <f>Q28+Q30</f>
        <v>0</v>
      </c>
      <c r="R27" s="19"/>
      <c r="S27" s="19"/>
      <c r="T27" s="274"/>
      <c r="U27" s="19"/>
      <c r="V27" s="19">
        <f>V28+V30</f>
        <v>0</v>
      </c>
      <c r="W27" s="19"/>
      <c r="X27" s="19"/>
      <c r="Y27" s="274"/>
      <c r="Z27" s="19"/>
      <c r="AA27" s="19">
        <f>AA28+AA30</f>
        <v>0</v>
      </c>
      <c r="AB27" s="19"/>
      <c r="AC27" s="19"/>
      <c r="AD27" s="274"/>
      <c r="AE27" s="19"/>
      <c r="AF27" s="19">
        <f>AF28+AF30</f>
        <v>0</v>
      </c>
      <c r="AG27" s="19"/>
      <c r="AH27" s="19"/>
      <c r="AI27" s="274"/>
      <c r="AJ27" s="19"/>
      <c r="AK27" s="19">
        <f>AK28+AK30</f>
        <v>0</v>
      </c>
      <c r="AL27" s="19"/>
      <c r="AM27" s="19"/>
      <c r="AN27" s="274"/>
      <c r="AO27" s="19"/>
      <c r="AP27" s="19">
        <f>AP28+AP30</f>
        <v>0</v>
      </c>
      <c r="AQ27" s="19"/>
      <c r="AR27" s="19"/>
      <c r="AS27" s="274"/>
      <c r="AT27" s="19"/>
      <c r="AU27" s="19">
        <f>AU28+AU30</f>
        <v>0</v>
      </c>
      <c r="AV27" s="19"/>
      <c r="AW27" s="19"/>
      <c r="AX27" s="274"/>
      <c r="AY27" s="19"/>
      <c r="AZ27" s="19">
        <f>AZ28+AZ30</f>
        <v>0</v>
      </c>
      <c r="BA27" s="19"/>
      <c r="BB27" s="19"/>
      <c r="BC27" s="274"/>
      <c r="BD27" s="19"/>
      <c r="BE27" s="19">
        <f>BE28+BE30</f>
        <v>0</v>
      </c>
      <c r="BF27" s="19"/>
      <c r="BG27" s="19"/>
      <c r="BH27" s="274"/>
      <c r="BI27" s="19"/>
      <c r="BJ27" s="19">
        <f>BJ28+BJ30</f>
        <v>0</v>
      </c>
      <c r="BK27" s="19"/>
      <c r="BL27" s="19"/>
      <c r="BM27" s="274"/>
      <c r="BN27" s="19"/>
      <c r="BO27" s="19">
        <f>BO28+BO30</f>
        <v>0</v>
      </c>
      <c r="BP27" s="19"/>
      <c r="BQ27" s="19"/>
      <c r="BR27" s="274"/>
      <c r="BS27" s="19"/>
      <c r="BT27" s="19">
        <f>SUM(BT28:BT30)</f>
        <v>0</v>
      </c>
      <c r="BU27" s="19"/>
      <c r="BV27" s="19"/>
      <c r="BW27" s="274"/>
      <c r="BX27" s="19"/>
      <c r="BY27" s="19">
        <f>SUM(BY28:BY30)</f>
        <v>45631200</v>
      </c>
      <c r="BZ27" s="19"/>
      <c r="CA27" s="19"/>
      <c r="CB27" s="274"/>
      <c r="CC27" s="19"/>
      <c r="CD27" s="19">
        <f>CD28+CD30</f>
        <v>0</v>
      </c>
      <c r="CE27" s="19"/>
      <c r="CF27" s="19"/>
      <c r="CG27" s="274"/>
      <c r="CH27" s="19"/>
      <c r="CI27" s="19">
        <f>CI28+CI30</f>
        <v>0</v>
      </c>
      <c r="CJ27" s="19"/>
      <c r="CK27" s="19"/>
      <c r="CL27" s="274"/>
      <c r="CM27" s="19"/>
      <c r="CN27" s="19">
        <f>CN28+CN30</f>
        <v>0</v>
      </c>
      <c r="CO27" s="19"/>
      <c r="CP27" s="19"/>
      <c r="CQ27" s="274"/>
      <c r="CR27" s="19"/>
      <c r="CS27" s="19">
        <f>CS28+CS30</f>
        <v>0</v>
      </c>
      <c r="CT27" s="19"/>
      <c r="CU27" s="19"/>
      <c r="CV27" s="274"/>
      <c r="CW27" s="19"/>
      <c r="CX27" s="19">
        <f>CX28+CX30</f>
        <v>0</v>
      </c>
      <c r="CY27" s="19"/>
      <c r="CZ27" s="19"/>
      <c r="DA27" s="274"/>
      <c r="DB27" s="19"/>
      <c r="DC27" s="19">
        <f>DC28+DC30</f>
        <v>45631200</v>
      </c>
      <c r="DD27" s="19"/>
      <c r="DE27" s="19"/>
      <c r="DF27" s="274"/>
      <c r="DG27" s="19"/>
      <c r="DH27" s="19">
        <f>DH28+DH30</f>
        <v>0</v>
      </c>
      <c r="DI27" s="19"/>
      <c r="DJ27" s="19"/>
      <c r="DK27" s="274"/>
      <c r="DL27" s="19"/>
      <c r="DM27" s="19">
        <f>DM28+DM30</f>
        <v>0</v>
      </c>
      <c r="DN27" s="19"/>
      <c r="DO27" s="19"/>
      <c r="DP27" s="274"/>
      <c r="DQ27" s="19"/>
      <c r="DR27" s="19">
        <f>DR28+DR30</f>
        <v>0</v>
      </c>
      <c r="DS27" s="19"/>
      <c r="DT27" s="19"/>
      <c r="DU27" s="274"/>
      <c r="DV27" s="19"/>
      <c r="DW27" s="19">
        <f>DW28+DW30</f>
        <v>0</v>
      </c>
      <c r="DX27" s="19"/>
      <c r="DY27" s="19"/>
      <c r="DZ27" s="274"/>
      <c r="EA27" s="19"/>
      <c r="EB27" s="19">
        <f>EB28+EB30</f>
        <v>0</v>
      </c>
      <c r="EC27" s="19"/>
      <c r="ED27" s="19"/>
      <c r="EE27" s="274"/>
      <c r="EF27" s="19"/>
      <c r="EG27" s="19">
        <f>EG28+EG30</f>
        <v>0</v>
      </c>
      <c r="EH27" s="19"/>
      <c r="EI27" s="19"/>
      <c r="EJ27" s="274"/>
      <c r="EK27" s="19"/>
      <c r="EL27" s="19">
        <f>SUM(EL28:EL30)</f>
        <v>45631200</v>
      </c>
      <c r="EM27" s="19"/>
      <c r="EN27" s="19"/>
      <c r="EO27" s="244"/>
    </row>
    <row r="28" spans="4:148" x14ac:dyDescent="0.2">
      <c r="D28" s="244" t="s">
        <v>344</v>
      </c>
      <c r="E28" s="82"/>
      <c r="F28" s="112"/>
      <c r="G28" s="374">
        <v>0</v>
      </c>
      <c r="H28" s="475"/>
      <c r="I28" s="19"/>
      <c r="J28" s="274"/>
      <c r="K28" s="173"/>
      <c r="L28" s="374">
        <v>0</v>
      </c>
      <c r="M28" s="475"/>
      <c r="N28" s="19"/>
      <c r="O28" s="274"/>
      <c r="P28" s="173"/>
      <c r="Q28" s="374">
        <v>0</v>
      </c>
      <c r="R28" s="475"/>
      <c r="S28" s="19"/>
      <c r="T28" s="274"/>
      <c r="U28" s="173"/>
      <c r="V28" s="374">
        <v>0</v>
      </c>
      <c r="W28" s="475"/>
      <c r="X28" s="19"/>
      <c r="Y28" s="274"/>
      <c r="Z28" s="173"/>
      <c r="AA28" s="374">
        <v>0</v>
      </c>
      <c r="AB28" s="475"/>
      <c r="AC28" s="19"/>
      <c r="AD28" s="274"/>
      <c r="AE28" s="173"/>
      <c r="AF28" s="374">
        <v>0</v>
      </c>
      <c r="AG28" s="475"/>
      <c r="AH28" s="19"/>
      <c r="AI28" s="274"/>
      <c r="AJ28" s="173"/>
      <c r="AK28" s="374">
        <v>0</v>
      </c>
      <c r="AL28" s="475"/>
      <c r="AM28" s="19"/>
      <c r="AN28" s="274"/>
      <c r="AO28" s="173"/>
      <c r="AP28" s="374">
        <v>0</v>
      </c>
      <c r="AQ28" s="475"/>
      <c r="AR28" s="19"/>
      <c r="AS28" s="274"/>
      <c r="AT28" s="173"/>
      <c r="AU28" s="374">
        <v>0</v>
      </c>
      <c r="AV28" s="475"/>
      <c r="AW28" s="19"/>
      <c r="AX28" s="274"/>
      <c r="AY28" s="173"/>
      <c r="AZ28" s="374">
        <v>0</v>
      </c>
      <c r="BA28" s="475"/>
      <c r="BB28" s="19"/>
      <c r="BC28" s="274"/>
      <c r="BD28" s="173"/>
      <c r="BE28" s="374">
        <v>0</v>
      </c>
      <c r="BF28" s="475"/>
      <c r="BG28" s="19"/>
      <c r="BH28" s="274"/>
      <c r="BI28" s="173"/>
      <c r="BJ28" s="374">
        <v>0</v>
      </c>
      <c r="BK28" s="475"/>
      <c r="BL28" s="19"/>
      <c r="BM28" s="274"/>
      <c r="BN28" s="173"/>
      <c r="BO28" s="374">
        <v>0</v>
      </c>
      <c r="BP28" s="475"/>
      <c r="BQ28" s="19"/>
      <c r="BR28" s="274"/>
      <c r="BS28" s="173"/>
      <c r="BT28" s="374">
        <f>SUM(L28:BO28)</f>
        <v>0</v>
      </c>
      <c r="BU28" s="475"/>
      <c r="BV28" s="19"/>
      <c r="BW28" s="274"/>
      <c r="BX28" s="173"/>
      <c r="BY28" s="374">
        <v>45631200</v>
      </c>
      <c r="BZ28" s="475"/>
      <c r="CA28" s="19"/>
      <c r="CB28" s="274"/>
      <c r="CC28" s="173"/>
      <c r="CD28" s="374">
        <v>0</v>
      </c>
      <c r="CE28" s="475"/>
      <c r="CF28" s="19"/>
      <c r="CG28" s="274"/>
      <c r="CH28" s="173"/>
      <c r="CI28" s="374">
        <v>0</v>
      </c>
      <c r="CJ28" s="475"/>
      <c r="CK28" s="19"/>
      <c r="CL28" s="274"/>
      <c r="CM28" s="173"/>
      <c r="CN28" s="374">
        <v>0</v>
      </c>
      <c r="CO28" s="475"/>
      <c r="CP28" s="19"/>
      <c r="CQ28" s="274"/>
      <c r="CR28" s="173"/>
      <c r="CS28" s="374">
        <v>0</v>
      </c>
      <c r="CT28" s="475"/>
      <c r="CU28" s="19"/>
      <c r="CV28" s="274"/>
      <c r="CW28" s="173"/>
      <c r="CX28" s="374">
        <v>0</v>
      </c>
      <c r="CY28" s="475"/>
      <c r="CZ28" s="19"/>
      <c r="DA28" s="274"/>
      <c r="DB28" s="173"/>
      <c r="DC28" s="374">
        <v>45631200</v>
      </c>
      <c r="DD28" s="475"/>
      <c r="DE28" s="19"/>
      <c r="DF28" s="274"/>
      <c r="DG28" s="173"/>
      <c r="DH28" s="374">
        <v>0</v>
      </c>
      <c r="DI28" s="475"/>
      <c r="DJ28" s="19"/>
      <c r="DK28" s="274"/>
      <c r="DL28" s="173"/>
      <c r="DM28" s="374">
        <v>0</v>
      </c>
      <c r="DN28" s="475"/>
      <c r="DO28" s="19"/>
      <c r="DP28" s="274"/>
      <c r="DQ28" s="173"/>
      <c r="DR28" s="374">
        <v>0</v>
      </c>
      <c r="DS28" s="475"/>
      <c r="DT28" s="19"/>
      <c r="DU28" s="274"/>
      <c r="DV28" s="173"/>
      <c r="DW28" s="374">
        <v>0</v>
      </c>
      <c r="DX28" s="475"/>
      <c r="DY28" s="19"/>
      <c r="DZ28" s="274"/>
      <c r="EA28" s="173"/>
      <c r="EB28" s="374">
        <v>0</v>
      </c>
      <c r="EC28" s="475"/>
      <c r="ED28" s="19"/>
      <c r="EE28" s="274"/>
      <c r="EF28" s="173"/>
      <c r="EG28" s="374">
        <v>0</v>
      </c>
      <c r="EH28" s="475"/>
      <c r="EI28" s="19"/>
      <c r="EJ28" s="274"/>
      <c r="EK28" s="173"/>
      <c r="EL28" s="374">
        <f>SUM(CD28:EG28)</f>
        <v>45631200</v>
      </c>
      <c r="EM28" s="475"/>
      <c r="EN28" s="19"/>
      <c r="EO28" s="244"/>
    </row>
    <row r="29" spans="4:148" x14ac:dyDescent="0.2">
      <c r="D29" s="244" t="s">
        <v>346</v>
      </c>
      <c r="E29" s="82"/>
      <c r="F29" s="82"/>
      <c r="G29" s="19">
        <v>0</v>
      </c>
      <c r="H29" s="18"/>
      <c r="I29" s="19"/>
      <c r="J29" s="274"/>
      <c r="K29" s="274"/>
      <c r="L29" s="19">
        <v>0</v>
      </c>
      <c r="M29" s="18"/>
      <c r="N29" s="19"/>
      <c r="O29" s="274"/>
      <c r="P29" s="274"/>
      <c r="Q29" s="19">
        <v>0</v>
      </c>
      <c r="R29" s="18"/>
      <c r="S29" s="19"/>
      <c r="T29" s="274"/>
      <c r="U29" s="274"/>
      <c r="V29" s="19">
        <v>0</v>
      </c>
      <c r="W29" s="18"/>
      <c r="X29" s="19"/>
      <c r="Y29" s="274"/>
      <c r="Z29" s="274"/>
      <c r="AA29" s="19">
        <v>0</v>
      </c>
      <c r="AB29" s="18"/>
      <c r="AC29" s="19"/>
      <c r="AD29" s="274"/>
      <c r="AE29" s="274"/>
      <c r="AF29" s="19">
        <v>0</v>
      </c>
      <c r="AG29" s="18"/>
      <c r="AH29" s="19"/>
      <c r="AI29" s="274"/>
      <c r="AJ29" s="274"/>
      <c r="AK29" s="19">
        <v>0</v>
      </c>
      <c r="AL29" s="18"/>
      <c r="AM29" s="19"/>
      <c r="AN29" s="274"/>
      <c r="AO29" s="274"/>
      <c r="AP29" s="19">
        <v>0</v>
      </c>
      <c r="AQ29" s="18"/>
      <c r="AR29" s="19"/>
      <c r="AS29" s="274"/>
      <c r="AT29" s="274"/>
      <c r="AU29" s="19">
        <v>0</v>
      </c>
      <c r="AV29" s="18"/>
      <c r="AW29" s="19"/>
      <c r="AX29" s="274"/>
      <c r="AY29" s="274"/>
      <c r="AZ29" s="19">
        <v>0</v>
      </c>
      <c r="BA29" s="18"/>
      <c r="BB29" s="19"/>
      <c r="BC29" s="274"/>
      <c r="BD29" s="274"/>
      <c r="BE29" s="19">
        <v>0</v>
      </c>
      <c r="BF29" s="18"/>
      <c r="BG29" s="19"/>
      <c r="BH29" s="274"/>
      <c r="BI29" s="274"/>
      <c r="BJ29" s="19">
        <v>0</v>
      </c>
      <c r="BK29" s="18"/>
      <c r="BL29" s="19"/>
      <c r="BM29" s="274"/>
      <c r="BN29" s="274"/>
      <c r="BO29" s="19">
        <v>0</v>
      </c>
      <c r="BP29" s="18"/>
      <c r="BQ29" s="19"/>
      <c r="BR29" s="274"/>
      <c r="BS29" s="274"/>
      <c r="BT29" s="19">
        <f>SUM(L29:BO29)</f>
        <v>0</v>
      </c>
      <c r="BU29" s="18"/>
      <c r="BV29" s="19"/>
      <c r="BW29" s="274"/>
      <c r="BX29" s="274"/>
      <c r="BY29" s="19">
        <v>0</v>
      </c>
      <c r="BZ29" s="18"/>
      <c r="CA29" s="19"/>
      <c r="CB29" s="274"/>
      <c r="CC29" s="274"/>
      <c r="CD29" s="19">
        <v>0</v>
      </c>
      <c r="CE29" s="18"/>
      <c r="CF29" s="19"/>
      <c r="CG29" s="274"/>
      <c r="CH29" s="274"/>
      <c r="CI29" s="19">
        <v>0</v>
      </c>
      <c r="CJ29" s="18"/>
      <c r="CK29" s="19"/>
      <c r="CL29" s="274"/>
      <c r="CM29" s="274"/>
      <c r="CN29" s="19">
        <v>0</v>
      </c>
      <c r="CO29" s="18"/>
      <c r="CP29" s="19"/>
      <c r="CQ29" s="274"/>
      <c r="CR29" s="274"/>
      <c r="CS29" s="19">
        <v>0</v>
      </c>
      <c r="CT29" s="18"/>
      <c r="CU29" s="19"/>
      <c r="CV29" s="274"/>
      <c r="CW29" s="274"/>
      <c r="CX29" s="19">
        <v>0</v>
      </c>
      <c r="CY29" s="18"/>
      <c r="CZ29" s="19"/>
      <c r="DA29" s="274"/>
      <c r="DB29" s="274"/>
      <c r="DC29" s="19">
        <v>0</v>
      </c>
      <c r="DD29" s="18"/>
      <c r="DE29" s="19"/>
      <c r="DF29" s="274"/>
      <c r="DG29" s="274"/>
      <c r="DH29" s="19">
        <v>0</v>
      </c>
      <c r="DI29" s="18"/>
      <c r="DJ29" s="19"/>
      <c r="DK29" s="274"/>
      <c r="DL29" s="274"/>
      <c r="DM29" s="19">
        <v>0</v>
      </c>
      <c r="DN29" s="18"/>
      <c r="DO29" s="19"/>
      <c r="DP29" s="274"/>
      <c r="DQ29" s="274"/>
      <c r="DR29" s="19">
        <v>0</v>
      </c>
      <c r="DS29" s="18"/>
      <c r="DT29" s="19"/>
      <c r="DU29" s="274"/>
      <c r="DV29" s="274"/>
      <c r="DW29" s="19">
        <v>0</v>
      </c>
      <c r="DX29" s="18"/>
      <c r="DY29" s="19"/>
      <c r="DZ29" s="274"/>
      <c r="EA29" s="274"/>
      <c r="EB29" s="19">
        <v>0</v>
      </c>
      <c r="EC29" s="18"/>
      <c r="ED29" s="19"/>
      <c r="EE29" s="274"/>
      <c r="EF29" s="274"/>
      <c r="EG29" s="19">
        <v>0</v>
      </c>
      <c r="EH29" s="18"/>
      <c r="EI29" s="19"/>
      <c r="EJ29" s="274"/>
      <c r="EK29" s="274"/>
      <c r="EL29" s="19">
        <f>SUM(CD29:EG29)</f>
        <v>0</v>
      </c>
      <c r="EM29" s="18"/>
      <c r="EN29" s="19"/>
      <c r="EO29" s="244"/>
    </row>
    <row r="30" spans="4:148" x14ac:dyDescent="0.2">
      <c r="D30" s="244" t="s">
        <v>354</v>
      </c>
      <c r="E30" s="82"/>
      <c r="F30" s="276"/>
      <c r="G30" s="37">
        <v>0</v>
      </c>
      <c r="H30" s="36"/>
      <c r="I30" s="19"/>
      <c r="J30" s="274"/>
      <c r="K30" s="231"/>
      <c r="L30" s="37">
        <v>0</v>
      </c>
      <c r="M30" s="36"/>
      <c r="N30" s="19"/>
      <c r="O30" s="274"/>
      <c r="P30" s="231"/>
      <c r="Q30" s="37">
        <v>0</v>
      </c>
      <c r="R30" s="36"/>
      <c r="S30" s="19"/>
      <c r="T30" s="274"/>
      <c r="U30" s="231"/>
      <c r="V30" s="37">
        <v>0</v>
      </c>
      <c r="W30" s="36"/>
      <c r="X30" s="19"/>
      <c r="Y30" s="274"/>
      <c r="Z30" s="231"/>
      <c r="AA30" s="37">
        <v>0</v>
      </c>
      <c r="AB30" s="36"/>
      <c r="AC30" s="19"/>
      <c r="AD30" s="274"/>
      <c r="AE30" s="231"/>
      <c r="AF30" s="37">
        <v>0</v>
      </c>
      <c r="AG30" s="36"/>
      <c r="AH30" s="19"/>
      <c r="AI30" s="274"/>
      <c r="AJ30" s="231"/>
      <c r="AK30" s="37">
        <v>0</v>
      </c>
      <c r="AL30" s="36"/>
      <c r="AM30" s="19"/>
      <c r="AN30" s="274"/>
      <c r="AO30" s="231"/>
      <c r="AP30" s="37">
        <v>0</v>
      </c>
      <c r="AQ30" s="36"/>
      <c r="AR30" s="19"/>
      <c r="AS30" s="274"/>
      <c r="AT30" s="231"/>
      <c r="AU30" s="37">
        <v>0</v>
      </c>
      <c r="AV30" s="36"/>
      <c r="AW30" s="19"/>
      <c r="AX30" s="274"/>
      <c r="AY30" s="231"/>
      <c r="AZ30" s="37">
        <v>0</v>
      </c>
      <c r="BA30" s="36"/>
      <c r="BB30" s="19"/>
      <c r="BC30" s="274"/>
      <c r="BD30" s="231"/>
      <c r="BE30" s="37">
        <v>0</v>
      </c>
      <c r="BF30" s="36"/>
      <c r="BG30" s="19"/>
      <c r="BH30" s="274"/>
      <c r="BI30" s="231"/>
      <c r="BJ30" s="37">
        <v>0</v>
      </c>
      <c r="BK30" s="36"/>
      <c r="BL30" s="19"/>
      <c r="BM30" s="274"/>
      <c r="BN30" s="231"/>
      <c r="BO30" s="37">
        <v>0</v>
      </c>
      <c r="BP30" s="36"/>
      <c r="BQ30" s="19"/>
      <c r="BR30" s="274"/>
      <c r="BS30" s="231"/>
      <c r="BT30" s="37">
        <f>SUM(L30:BO30)</f>
        <v>0</v>
      </c>
      <c r="BU30" s="36"/>
      <c r="BV30" s="19"/>
      <c r="BW30" s="274"/>
      <c r="BX30" s="231"/>
      <c r="BY30" s="37">
        <v>0</v>
      </c>
      <c r="BZ30" s="36"/>
      <c r="CA30" s="19"/>
      <c r="CB30" s="274"/>
      <c r="CC30" s="231"/>
      <c r="CD30" s="37">
        <v>0</v>
      </c>
      <c r="CE30" s="36"/>
      <c r="CF30" s="19"/>
      <c r="CG30" s="274"/>
      <c r="CH30" s="231"/>
      <c r="CI30" s="37">
        <v>0</v>
      </c>
      <c r="CJ30" s="36"/>
      <c r="CK30" s="19"/>
      <c r="CL30" s="274"/>
      <c r="CM30" s="231"/>
      <c r="CN30" s="37">
        <v>0</v>
      </c>
      <c r="CO30" s="36"/>
      <c r="CP30" s="19"/>
      <c r="CQ30" s="274"/>
      <c r="CR30" s="231"/>
      <c r="CS30" s="37">
        <v>0</v>
      </c>
      <c r="CT30" s="36"/>
      <c r="CU30" s="19"/>
      <c r="CV30" s="274"/>
      <c r="CW30" s="231"/>
      <c r="CX30" s="37">
        <v>0</v>
      </c>
      <c r="CY30" s="36"/>
      <c r="CZ30" s="19"/>
      <c r="DA30" s="274"/>
      <c r="DB30" s="231"/>
      <c r="DC30" s="37">
        <v>0</v>
      </c>
      <c r="DD30" s="36"/>
      <c r="DE30" s="19"/>
      <c r="DF30" s="274"/>
      <c r="DG30" s="231"/>
      <c r="DH30" s="37">
        <v>0</v>
      </c>
      <c r="DI30" s="36"/>
      <c r="DJ30" s="19"/>
      <c r="DK30" s="274"/>
      <c r="DL30" s="231"/>
      <c r="DM30" s="37">
        <v>0</v>
      </c>
      <c r="DN30" s="36"/>
      <c r="DO30" s="19"/>
      <c r="DP30" s="274"/>
      <c r="DQ30" s="231"/>
      <c r="DR30" s="37">
        <v>0</v>
      </c>
      <c r="DS30" s="36"/>
      <c r="DT30" s="19"/>
      <c r="DU30" s="274"/>
      <c r="DV30" s="231"/>
      <c r="DW30" s="37">
        <v>0</v>
      </c>
      <c r="DX30" s="36"/>
      <c r="DY30" s="19"/>
      <c r="DZ30" s="274"/>
      <c r="EA30" s="231"/>
      <c r="EB30" s="37">
        <v>0</v>
      </c>
      <c r="EC30" s="36"/>
      <c r="ED30" s="19"/>
      <c r="EE30" s="274"/>
      <c r="EF30" s="231"/>
      <c r="EG30" s="37">
        <v>0</v>
      </c>
      <c r="EH30" s="36"/>
      <c r="EI30" s="19"/>
      <c r="EJ30" s="274"/>
      <c r="EK30" s="231"/>
      <c r="EL30" s="37">
        <f>SUM(CD30:EG30)</f>
        <v>0</v>
      </c>
      <c r="EM30" s="36"/>
      <c r="EN30" s="19"/>
      <c r="EO30" s="244"/>
    </row>
    <row r="31" spans="4:148" x14ac:dyDescent="0.2">
      <c r="D31" s="244"/>
      <c r="E31" s="82"/>
      <c r="G31" s="19"/>
      <c r="H31" s="19"/>
      <c r="I31" s="19"/>
      <c r="J31" s="274"/>
      <c r="K31" s="19"/>
      <c r="L31" s="19"/>
      <c r="M31" s="19"/>
      <c r="N31" s="19"/>
      <c r="O31" s="274"/>
      <c r="P31" s="19"/>
      <c r="Q31" s="19"/>
      <c r="R31" s="19"/>
      <c r="S31" s="19"/>
      <c r="T31" s="274"/>
      <c r="U31" s="19"/>
      <c r="V31" s="19"/>
      <c r="W31" s="19"/>
      <c r="X31" s="19"/>
      <c r="Y31" s="274"/>
      <c r="Z31" s="19"/>
      <c r="AA31" s="19"/>
      <c r="AB31" s="19"/>
      <c r="AC31" s="19"/>
      <c r="AD31" s="274"/>
      <c r="AE31" s="19"/>
      <c r="AF31" s="19"/>
      <c r="AG31" s="19"/>
      <c r="AH31" s="19"/>
      <c r="AI31" s="274"/>
      <c r="AJ31" s="19"/>
      <c r="AK31" s="19"/>
      <c r="AL31" s="19"/>
      <c r="AM31" s="19"/>
      <c r="AN31" s="274"/>
      <c r="AO31" s="19"/>
      <c r="AP31" s="19"/>
      <c r="AQ31" s="19"/>
      <c r="AR31" s="19"/>
      <c r="AS31" s="274"/>
      <c r="AT31" s="19"/>
      <c r="AU31" s="19"/>
      <c r="AV31" s="19"/>
      <c r="AW31" s="19"/>
      <c r="AX31" s="274"/>
      <c r="AY31" s="19"/>
      <c r="AZ31" s="19"/>
      <c r="BA31" s="19"/>
      <c r="BB31" s="19"/>
      <c r="BC31" s="274"/>
      <c r="BD31" s="19"/>
      <c r="BE31" s="19"/>
      <c r="BF31" s="19"/>
      <c r="BG31" s="19"/>
      <c r="BH31" s="274"/>
      <c r="BI31" s="19"/>
      <c r="BJ31" s="19"/>
      <c r="BK31" s="19"/>
      <c r="BL31" s="19"/>
      <c r="BM31" s="274"/>
      <c r="BN31" s="19"/>
      <c r="BO31" s="19"/>
      <c r="BP31" s="19"/>
      <c r="BQ31" s="19"/>
      <c r="BR31" s="274"/>
      <c r="BS31" s="19"/>
      <c r="BT31" s="19"/>
      <c r="BU31" s="19"/>
      <c r="BV31" s="19"/>
      <c r="BW31" s="274"/>
      <c r="BX31" s="19"/>
      <c r="BY31" s="19"/>
      <c r="BZ31" s="19"/>
      <c r="CA31" s="19"/>
      <c r="CB31" s="274"/>
      <c r="CC31" s="19"/>
      <c r="CD31" s="19"/>
      <c r="CE31" s="19"/>
      <c r="CF31" s="19"/>
      <c r="CG31" s="274"/>
      <c r="CH31" s="19"/>
      <c r="CI31" s="19"/>
      <c r="CJ31" s="19"/>
      <c r="CK31" s="19"/>
      <c r="CL31" s="274"/>
      <c r="CM31" s="19"/>
      <c r="CN31" s="19"/>
      <c r="CO31" s="19"/>
      <c r="CP31" s="19"/>
      <c r="CQ31" s="274"/>
      <c r="CR31" s="19"/>
      <c r="CS31" s="19"/>
      <c r="CT31" s="19"/>
      <c r="CU31" s="19"/>
      <c r="CV31" s="274"/>
      <c r="CW31" s="19"/>
      <c r="CX31" s="19"/>
      <c r="CY31" s="19"/>
      <c r="CZ31" s="19"/>
      <c r="DA31" s="274"/>
      <c r="DB31" s="19"/>
      <c r="DC31" s="19"/>
      <c r="DD31" s="19"/>
      <c r="DE31" s="19"/>
      <c r="DF31" s="274"/>
      <c r="DG31" s="19"/>
      <c r="DH31" s="19"/>
      <c r="DI31" s="19"/>
      <c r="DJ31" s="19"/>
      <c r="DK31" s="274"/>
      <c r="DL31" s="19"/>
      <c r="DM31" s="19"/>
      <c r="DN31" s="19"/>
      <c r="DO31" s="19"/>
      <c r="DP31" s="274"/>
      <c r="DQ31" s="19"/>
      <c r="DR31" s="19"/>
      <c r="DS31" s="19"/>
      <c r="DT31" s="19"/>
      <c r="DU31" s="274"/>
      <c r="DV31" s="19"/>
      <c r="DW31" s="19"/>
      <c r="DX31" s="19"/>
      <c r="DY31" s="19"/>
      <c r="DZ31" s="274"/>
      <c r="EA31" s="19"/>
      <c r="EB31" s="19"/>
      <c r="EC31" s="19"/>
      <c r="ED31" s="19"/>
      <c r="EE31" s="274"/>
      <c r="EF31" s="19"/>
      <c r="EG31" s="19"/>
      <c r="EH31" s="19"/>
      <c r="EI31" s="19"/>
      <c r="EJ31" s="274"/>
      <c r="EK31" s="19"/>
      <c r="EL31" s="19"/>
      <c r="EM31" s="19"/>
      <c r="EN31" s="19"/>
      <c r="EO31" s="244"/>
    </row>
    <row r="32" spans="4:148" hidden="1" x14ac:dyDescent="0.2">
      <c r="D32" s="244" t="s">
        <v>448</v>
      </c>
      <c r="E32" s="82"/>
      <c r="G32" s="19">
        <v>0</v>
      </c>
      <c r="H32" s="19"/>
      <c r="I32" s="19"/>
      <c r="J32" s="274"/>
      <c r="K32" s="19"/>
      <c r="L32" s="19">
        <f>L33+L35</f>
        <v>0</v>
      </c>
      <c r="M32" s="19"/>
      <c r="N32" s="19"/>
      <c r="O32" s="274"/>
      <c r="P32" s="19"/>
      <c r="Q32" s="19">
        <f>Q33+Q35</f>
        <v>0</v>
      </c>
      <c r="R32" s="19"/>
      <c r="S32" s="19"/>
      <c r="T32" s="274"/>
      <c r="U32" s="19"/>
      <c r="V32" s="19">
        <f>V33+V35</f>
        <v>0</v>
      </c>
      <c r="W32" s="19"/>
      <c r="X32" s="19"/>
      <c r="Y32" s="274"/>
      <c r="Z32" s="19"/>
      <c r="AA32" s="19">
        <f>AA33+AA35</f>
        <v>0</v>
      </c>
      <c r="AB32" s="19"/>
      <c r="AC32" s="19"/>
      <c r="AD32" s="274"/>
      <c r="AE32" s="19"/>
      <c r="AF32" s="19">
        <f>AF33+AF35</f>
        <v>0</v>
      </c>
      <c r="AG32" s="19"/>
      <c r="AH32" s="19"/>
      <c r="AI32" s="274"/>
      <c r="AJ32" s="19"/>
      <c r="AK32" s="19">
        <f>AK33+AK35</f>
        <v>0</v>
      </c>
      <c r="AL32" s="19"/>
      <c r="AM32" s="19"/>
      <c r="AN32" s="274"/>
      <c r="AO32" s="19"/>
      <c r="AP32" s="19">
        <f>AP33+AP35</f>
        <v>0</v>
      </c>
      <c r="AQ32" s="19"/>
      <c r="AR32" s="19"/>
      <c r="AS32" s="274"/>
      <c r="AT32" s="19"/>
      <c r="AU32" s="19">
        <f>AU33+AU35</f>
        <v>0</v>
      </c>
      <c r="AV32" s="19"/>
      <c r="AW32" s="19"/>
      <c r="AX32" s="274"/>
      <c r="AY32" s="19"/>
      <c r="AZ32" s="19">
        <f>AZ33+AZ35</f>
        <v>0</v>
      </c>
      <c r="BA32" s="19"/>
      <c r="BB32" s="19"/>
      <c r="BC32" s="274"/>
      <c r="BD32" s="19"/>
      <c r="BE32" s="19">
        <f>BE33+BE35</f>
        <v>0</v>
      </c>
      <c r="BF32" s="19"/>
      <c r="BG32" s="19"/>
      <c r="BH32" s="274"/>
      <c r="BI32" s="19"/>
      <c r="BJ32" s="19">
        <f>BJ33+BJ35</f>
        <v>0</v>
      </c>
      <c r="BK32" s="19"/>
      <c r="BL32" s="19"/>
      <c r="BM32" s="274"/>
      <c r="BN32" s="19"/>
      <c r="BO32" s="19">
        <f>BO33+BO35</f>
        <v>0</v>
      </c>
      <c r="BP32" s="19"/>
      <c r="BQ32" s="19"/>
      <c r="BR32" s="274"/>
      <c r="BS32" s="19"/>
      <c r="BT32" s="19">
        <f>SUM(BT33:BT35)</f>
        <v>0</v>
      </c>
      <c r="BU32" s="19"/>
      <c r="BV32" s="19"/>
      <c r="BW32" s="274"/>
      <c r="BX32" s="19"/>
      <c r="BY32" s="19">
        <f>SUM(BY33:BY35)</f>
        <v>0</v>
      </c>
      <c r="BZ32" s="19"/>
      <c r="CA32" s="19"/>
      <c r="CB32" s="274"/>
      <c r="CC32" s="19"/>
      <c r="CD32" s="19">
        <f>CD33+CD35</f>
        <v>0</v>
      </c>
      <c r="CE32" s="19"/>
      <c r="CF32" s="19"/>
      <c r="CG32" s="274"/>
      <c r="CH32" s="19"/>
      <c r="CI32" s="19">
        <f>CI33+CI35</f>
        <v>0</v>
      </c>
      <c r="CJ32" s="19"/>
      <c r="CK32" s="19"/>
      <c r="CL32" s="274"/>
      <c r="CM32" s="19"/>
      <c r="CN32" s="19">
        <f>CN33+CN35</f>
        <v>0</v>
      </c>
      <c r="CO32" s="19"/>
      <c r="CP32" s="19"/>
      <c r="CQ32" s="274"/>
      <c r="CR32" s="19"/>
      <c r="CS32" s="19">
        <f>CS33+CS35</f>
        <v>0</v>
      </c>
      <c r="CT32" s="19"/>
      <c r="CU32" s="19"/>
      <c r="CV32" s="274"/>
      <c r="CW32" s="19"/>
      <c r="CX32" s="19">
        <f>CX33+CX35</f>
        <v>0</v>
      </c>
      <c r="CY32" s="19"/>
      <c r="CZ32" s="19"/>
      <c r="DA32" s="274"/>
      <c r="DB32" s="19"/>
      <c r="DC32" s="19">
        <f>DC33+DC35</f>
        <v>0</v>
      </c>
      <c r="DD32" s="19"/>
      <c r="DE32" s="19"/>
      <c r="DF32" s="274"/>
      <c r="DG32" s="19"/>
      <c r="DH32" s="19">
        <f>DH33+DH35</f>
        <v>0</v>
      </c>
      <c r="DI32" s="19"/>
      <c r="DJ32" s="19"/>
      <c r="DK32" s="274"/>
      <c r="DL32" s="19"/>
      <c r="DM32" s="19">
        <f>DM33+DM35</f>
        <v>0</v>
      </c>
      <c r="DN32" s="19"/>
      <c r="DO32" s="19"/>
      <c r="DP32" s="274"/>
      <c r="DQ32" s="19"/>
      <c r="DR32" s="19">
        <f>DR33+DR35</f>
        <v>0</v>
      </c>
      <c r="DS32" s="19"/>
      <c r="DT32" s="19"/>
      <c r="DU32" s="274"/>
      <c r="DV32" s="19"/>
      <c r="DW32" s="19">
        <f>DW33+DW35</f>
        <v>0</v>
      </c>
      <c r="DX32" s="19"/>
      <c r="DY32" s="19"/>
      <c r="DZ32" s="274"/>
      <c r="EA32" s="19"/>
      <c r="EB32" s="19">
        <f>EB33+EB35</f>
        <v>0</v>
      </c>
      <c r="EC32" s="19"/>
      <c r="ED32" s="19"/>
      <c r="EE32" s="274"/>
      <c r="EF32" s="19"/>
      <c r="EG32" s="19">
        <f>EG33+EG35</f>
        <v>0</v>
      </c>
      <c r="EH32" s="19"/>
      <c r="EI32" s="19"/>
      <c r="EJ32" s="274"/>
      <c r="EK32" s="19"/>
      <c r="EL32" s="19">
        <f>SUM(EL33:EL35)</f>
        <v>0</v>
      </c>
      <c r="EM32" s="19"/>
      <c r="EN32" s="19"/>
      <c r="EO32" s="244"/>
    </row>
    <row r="33" spans="4:145" hidden="1" x14ac:dyDescent="0.2">
      <c r="D33" s="244" t="s">
        <v>344</v>
      </c>
      <c r="E33" s="82"/>
      <c r="F33" s="112"/>
      <c r="G33" s="374">
        <v>0</v>
      </c>
      <c r="H33" s="475"/>
      <c r="I33" s="19"/>
      <c r="J33" s="274"/>
      <c r="K33" s="173"/>
      <c r="L33" s="374">
        <v>0</v>
      </c>
      <c r="M33" s="475"/>
      <c r="N33" s="19"/>
      <c r="O33" s="274"/>
      <c r="P33" s="173"/>
      <c r="Q33" s="374">
        <v>0</v>
      </c>
      <c r="R33" s="475"/>
      <c r="S33" s="19"/>
      <c r="T33" s="274"/>
      <c r="U33" s="173"/>
      <c r="V33" s="374">
        <v>0</v>
      </c>
      <c r="W33" s="475"/>
      <c r="X33" s="19"/>
      <c r="Y33" s="274"/>
      <c r="Z33" s="173"/>
      <c r="AA33" s="374">
        <v>0</v>
      </c>
      <c r="AB33" s="475"/>
      <c r="AC33" s="19"/>
      <c r="AD33" s="274"/>
      <c r="AE33" s="173"/>
      <c r="AF33" s="374">
        <v>0</v>
      </c>
      <c r="AG33" s="475"/>
      <c r="AH33" s="19"/>
      <c r="AI33" s="274"/>
      <c r="AJ33" s="173"/>
      <c r="AK33" s="374">
        <v>0</v>
      </c>
      <c r="AL33" s="475"/>
      <c r="AM33" s="19"/>
      <c r="AN33" s="274"/>
      <c r="AO33" s="173"/>
      <c r="AP33" s="374">
        <v>0</v>
      </c>
      <c r="AQ33" s="475"/>
      <c r="AR33" s="19"/>
      <c r="AS33" s="274"/>
      <c r="AT33" s="173"/>
      <c r="AU33" s="374">
        <v>0</v>
      </c>
      <c r="AV33" s="475"/>
      <c r="AW33" s="19"/>
      <c r="AX33" s="274"/>
      <c r="AY33" s="173"/>
      <c r="AZ33" s="374">
        <v>0</v>
      </c>
      <c r="BA33" s="475"/>
      <c r="BB33" s="19"/>
      <c r="BC33" s="274"/>
      <c r="BD33" s="173"/>
      <c r="BE33" s="374">
        <v>0</v>
      </c>
      <c r="BF33" s="475"/>
      <c r="BG33" s="19"/>
      <c r="BH33" s="274"/>
      <c r="BI33" s="173"/>
      <c r="BJ33" s="374">
        <v>0</v>
      </c>
      <c r="BK33" s="475"/>
      <c r="BL33" s="19"/>
      <c r="BM33" s="274"/>
      <c r="BN33" s="173"/>
      <c r="BO33" s="374">
        <v>0</v>
      </c>
      <c r="BP33" s="475"/>
      <c r="BQ33" s="19"/>
      <c r="BR33" s="274"/>
      <c r="BS33" s="173"/>
      <c r="BT33" s="374">
        <f>SUM(L33:BO33)</f>
        <v>0</v>
      </c>
      <c r="BU33" s="475"/>
      <c r="BV33" s="19"/>
      <c r="BW33" s="274"/>
      <c r="BX33" s="173"/>
      <c r="BY33" s="374">
        <v>0</v>
      </c>
      <c r="BZ33" s="475"/>
      <c r="CA33" s="19"/>
      <c r="CB33" s="274"/>
      <c r="CC33" s="173"/>
      <c r="CD33" s="374">
        <v>0</v>
      </c>
      <c r="CE33" s="475"/>
      <c r="CF33" s="19"/>
      <c r="CG33" s="274"/>
      <c r="CH33" s="173"/>
      <c r="CI33" s="374">
        <v>0</v>
      </c>
      <c r="CJ33" s="475"/>
      <c r="CK33" s="19"/>
      <c r="CL33" s="274"/>
      <c r="CM33" s="173"/>
      <c r="CN33" s="374">
        <v>0</v>
      </c>
      <c r="CO33" s="475"/>
      <c r="CP33" s="19"/>
      <c r="CQ33" s="274"/>
      <c r="CR33" s="173"/>
      <c r="CS33" s="374">
        <v>0</v>
      </c>
      <c r="CT33" s="475"/>
      <c r="CU33" s="19"/>
      <c r="CV33" s="274"/>
      <c r="CW33" s="173"/>
      <c r="CX33" s="374">
        <v>0</v>
      </c>
      <c r="CY33" s="475"/>
      <c r="CZ33" s="19"/>
      <c r="DA33" s="274"/>
      <c r="DB33" s="173"/>
      <c r="DC33" s="374">
        <v>0</v>
      </c>
      <c r="DD33" s="475"/>
      <c r="DE33" s="19"/>
      <c r="DF33" s="274"/>
      <c r="DG33" s="173"/>
      <c r="DH33" s="374">
        <v>0</v>
      </c>
      <c r="DI33" s="475"/>
      <c r="DJ33" s="19"/>
      <c r="DK33" s="274"/>
      <c r="DL33" s="173"/>
      <c r="DM33" s="374">
        <v>0</v>
      </c>
      <c r="DN33" s="475"/>
      <c r="DO33" s="19"/>
      <c r="DP33" s="274"/>
      <c r="DQ33" s="173"/>
      <c r="DR33" s="374">
        <v>0</v>
      </c>
      <c r="DS33" s="475"/>
      <c r="DT33" s="19"/>
      <c r="DU33" s="274"/>
      <c r="DV33" s="173"/>
      <c r="DW33" s="374">
        <v>0</v>
      </c>
      <c r="DX33" s="475"/>
      <c r="DY33" s="19"/>
      <c r="DZ33" s="274"/>
      <c r="EA33" s="173"/>
      <c r="EB33" s="374">
        <v>0</v>
      </c>
      <c r="EC33" s="475"/>
      <c r="ED33" s="19"/>
      <c r="EE33" s="274"/>
      <c r="EF33" s="173"/>
      <c r="EG33" s="374">
        <v>0</v>
      </c>
      <c r="EH33" s="475"/>
      <c r="EI33" s="19"/>
      <c r="EJ33" s="274"/>
      <c r="EK33" s="173"/>
      <c r="EL33" s="374">
        <f>SUM(CD33:EG33)</f>
        <v>0</v>
      </c>
      <c r="EM33" s="475"/>
      <c r="EN33" s="19"/>
      <c r="EO33" s="244"/>
    </row>
    <row r="34" spans="4:145" hidden="1" x14ac:dyDescent="0.2">
      <c r="D34" s="244" t="s">
        <v>346</v>
      </c>
      <c r="E34" s="82"/>
      <c r="F34" s="82"/>
      <c r="G34" s="19">
        <v>0</v>
      </c>
      <c r="H34" s="18"/>
      <c r="I34" s="19"/>
      <c r="J34" s="274"/>
      <c r="K34" s="274"/>
      <c r="L34" s="19">
        <v>0</v>
      </c>
      <c r="M34" s="18"/>
      <c r="N34" s="19"/>
      <c r="O34" s="274"/>
      <c r="P34" s="274"/>
      <c r="Q34" s="19">
        <v>0</v>
      </c>
      <c r="R34" s="18"/>
      <c r="S34" s="19"/>
      <c r="T34" s="274"/>
      <c r="U34" s="274"/>
      <c r="V34" s="19">
        <v>0</v>
      </c>
      <c r="W34" s="18"/>
      <c r="X34" s="19"/>
      <c r="Y34" s="274"/>
      <c r="Z34" s="274"/>
      <c r="AA34" s="19">
        <v>0</v>
      </c>
      <c r="AB34" s="18"/>
      <c r="AC34" s="19"/>
      <c r="AD34" s="274"/>
      <c r="AE34" s="274"/>
      <c r="AF34" s="19">
        <v>0</v>
      </c>
      <c r="AG34" s="18"/>
      <c r="AH34" s="19"/>
      <c r="AI34" s="274"/>
      <c r="AJ34" s="274"/>
      <c r="AK34" s="19">
        <v>0</v>
      </c>
      <c r="AL34" s="18"/>
      <c r="AM34" s="19"/>
      <c r="AN34" s="274"/>
      <c r="AO34" s="274"/>
      <c r="AP34" s="19">
        <v>0</v>
      </c>
      <c r="AQ34" s="18"/>
      <c r="AR34" s="19"/>
      <c r="AS34" s="274"/>
      <c r="AT34" s="274"/>
      <c r="AU34" s="19">
        <v>0</v>
      </c>
      <c r="AV34" s="18"/>
      <c r="AW34" s="19"/>
      <c r="AX34" s="274"/>
      <c r="AY34" s="274"/>
      <c r="AZ34" s="19">
        <v>0</v>
      </c>
      <c r="BA34" s="18"/>
      <c r="BB34" s="19"/>
      <c r="BC34" s="274"/>
      <c r="BD34" s="274"/>
      <c r="BE34" s="19">
        <v>0</v>
      </c>
      <c r="BF34" s="18"/>
      <c r="BG34" s="19"/>
      <c r="BH34" s="274"/>
      <c r="BI34" s="274"/>
      <c r="BJ34" s="19">
        <v>0</v>
      </c>
      <c r="BK34" s="18"/>
      <c r="BL34" s="19"/>
      <c r="BM34" s="274"/>
      <c r="BN34" s="274"/>
      <c r="BO34" s="19">
        <v>0</v>
      </c>
      <c r="BP34" s="18"/>
      <c r="BQ34" s="19"/>
      <c r="BR34" s="274"/>
      <c r="BS34" s="274"/>
      <c r="BT34" s="19">
        <f>SUM(L34:BO34)</f>
        <v>0</v>
      </c>
      <c r="BU34" s="18"/>
      <c r="BV34" s="19"/>
      <c r="BW34" s="274"/>
      <c r="BX34" s="274"/>
      <c r="BY34" s="19">
        <v>0</v>
      </c>
      <c r="BZ34" s="18"/>
      <c r="CA34" s="19"/>
      <c r="CB34" s="274"/>
      <c r="CC34" s="274"/>
      <c r="CD34" s="19">
        <v>0</v>
      </c>
      <c r="CE34" s="18"/>
      <c r="CF34" s="19"/>
      <c r="CG34" s="274"/>
      <c r="CH34" s="274"/>
      <c r="CI34" s="19">
        <v>0</v>
      </c>
      <c r="CJ34" s="18"/>
      <c r="CK34" s="19"/>
      <c r="CL34" s="274"/>
      <c r="CM34" s="274"/>
      <c r="CN34" s="19">
        <v>0</v>
      </c>
      <c r="CO34" s="18"/>
      <c r="CP34" s="19"/>
      <c r="CQ34" s="274"/>
      <c r="CR34" s="274"/>
      <c r="CS34" s="19">
        <v>0</v>
      </c>
      <c r="CT34" s="18"/>
      <c r="CU34" s="19"/>
      <c r="CV34" s="274"/>
      <c r="CW34" s="274"/>
      <c r="CX34" s="19">
        <v>0</v>
      </c>
      <c r="CY34" s="18"/>
      <c r="CZ34" s="19"/>
      <c r="DA34" s="274"/>
      <c r="DB34" s="274"/>
      <c r="DC34" s="19">
        <v>0</v>
      </c>
      <c r="DD34" s="18"/>
      <c r="DE34" s="19"/>
      <c r="DF34" s="274"/>
      <c r="DG34" s="274"/>
      <c r="DH34" s="19">
        <v>0</v>
      </c>
      <c r="DI34" s="18"/>
      <c r="DJ34" s="19"/>
      <c r="DK34" s="274"/>
      <c r="DL34" s="274"/>
      <c r="DM34" s="19">
        <v>0</v>
      </c>
      <c r="DN34" s="18"/>
      <c r="DO34" s="19"/>
      <c r="DP34" s="274"/>
      <c r="DQ34" s="274"/>
      <c r="DR34" s="19">
        <v>0</v>
      </c>
      <c r="DS34" s="18"/>
      <c r="DT34" s="19"/>
      <c r="DU34" s="274"/>
      <c r="DV34" s="274"/>
      <c r="DW34" s="19">
        <v>0</v>
      </c>
      <c r="DX34" s="18"/>
      <c r="DY34" s="19"/>
      <c r="DZ34" s="274"/>
      <c r="EA34" s="274"/>
      <c r="EB34" s="19">
        <v>0</v>
      </c>
      <c r="EC34" s="18"/>
      <c r="ED34" s="19"/>
      <c r="EE34" s="274"/>
      <c r="EF34" s="274"/>
      <c r="EG34" s="19">
        <v>0</v>
      </c>
      <c r="EH34" s="18"/>
      <c r="EI34" s="19"/>
      <c r="EJ34" s="274"/>
      <c r="EK34" s="274"/>
      <c r="EL34" s="19">
        <f>SUM(CD34:EG34)</f>
        <v>0</v>
      </c>
      <c r="EM34" s="18"/>
      <c r="EN34" s="19"/>
      <c r="EO34" s="244"/>
    </row>
    <row r="35" spans="4:145" hidden="1" x14ac:dyDescent="0.2">
      <c r="D35" s="244" t="s">
        <v>354</v>
      </c>
      <c r="E35" s="82"/>
      <c r="F35" s="276"/>
      <c r="G35" s="37">
        <v>0</v>
      </c>
      <c r="H35" s="36"/>
      <c r="I35" s="19"/>
      <c r="J35" s="274"/>
      <c r="K35" s="231"/>
      <c r="L35" s="37">
        <v>0</v>
      </c>
      <c r="M35" s="36"/>
      <c r="N35" s="19"/>
      <c r="O35" s="274"/>
      <c r="P35" s="231"/>
      <c r="Q35" s="37">
        <v>0</v>
      </c>
      <c r="R35" s="36"/>
      <c r="S35" s="19"/>
      <c r="T35" s="274"/>
      <c r="U35" s="231"/>
      <c r="V35" s="37">
        <v>0</v>
      </c>
      <c r="W35" s="36"/>
      <c r="X35" s="19"/>
      <c r="Y35" s="274"/>
      <c r="Z35" s="231"/>
      <c r="AA35" s="37">
        <v>0</v>
      </c>
      <c r="AB35" s="36"/>
      <c r="AC35" s="19"/>
      <c r="AD35" s="274"/>
      <c r="AE35" s="231"/>
      <c r="AF35" s="37">
        <v>0</v>
      </c>
      <c r="AG35" s="36"/>
      <c r="AH35" s="19"/>
      <c r="AI35" s="274"/>
      <c r="AJ35" s="231"/>
      <c r="AK35" s="37">
        <v>0</v>
      </c>
      <c r="AL35" s="36"/>
      <c r="AM35" s="19"/>
      <c r="AN35" s="274"/>
      <c r="AO35" s="231"/>
      <c r="AP35" s="37">
        <v>0</v>
      </c>
      <c r="AQ35" s="36"/>
      <c r="AR35" s="19"/>
      <c r="AS35" s="274"/>
      <c r="AT35" s="231"/>
      <c r="AU35" s="37">
        <v>0</v>
      </c>
      <c r="AV35" s="36"/>
      <c r="AW35" s="19"/>
      <c r="AX35" s="274"/>
      <c r="AY35" s="231"/>
      <c r="AZ35" s="37">
        <v>0</v>
      </c>
      <c r="BA35" s="36"/>
      <c r="BB35" s="19"/>
      <c r="BC35" s="274"/>
      <c r="BD35" s="231"/>
      <c r="BE35" s="37">
        <v>0</v>
      </c>
      <c r="BF35" s="36"/>
      <c r="BG35" s="19"/>
      <c r="BH35" s="274"/>
      <c r="BI35" s="231"/>
      <c r="BJ35" s="37">
        <v>0</v>
      </c>
      <c r="BK35" s="36"/>
      <c r="BL35" s="19"/>
      <c r="BM35" s="274"/>
      <c r="BN35" s="231"/>
      <c r="BO35" s="37">
        <v>0</v>
      </c>
      <c r="BP35" s="36"/>
      <c r="BQ35" s="19"/>
      <c r="BR35" s="274"/>
      <c r="BS35" s="231"/>
      <c r="BT35" s="37">
        <f>SUM(L35:BO35)</f>
        <v>0</v>
      </c>
      <c r="BU35" s="36"/>
      <c r="BV35" s="19"/>
      <c r="BW35" s="274"/>
      <c r="BX35" s="231"/>
      <c r="BY35" s="37">
        <v>0</v>
      </c>
      <c r="BZ35" s="36"/>
      <c r="CA35" s="19"/>
      <c r="CB35" s="274"/>
      <c r="CC35" s="231"/>
      <c r="CD35" s="37">
        <v>0</v>
      </c>
      <c r="CE35" s="36"/>
      <c r="CF35" s="19"/>
      <c r="CG35" s="274"/>
      <c r="CH35" s="231"/>
      <c r="CI35" s="37">
        <v>0</v>
      </c>
      <c r="CJ35" s="36"/>
      <c r="CK35" s="19"/>
      <c r="CL35" s="274"/>
      <c r="CM35" s="231"/>
      <c r="CN35" s="37">
        <v>0</v>
      </c>
      <c r="CO35" s="36"/>
      <c r="CP35" s="19"/>
      <c r="CQ35" s="274"/>
      <c r="CR35" s="231"/>
      <c r="CS35" s="37">
        <v>0</v>
      </c>
      <c r="CT35" s="36"/>
      <c r="CU35" s="19"/>
      <c r="CV35" s="274"/>
      <c r="CW35" s="231"/>
      <c r="CX35" s="37">
        <v>0</v>
      </c>
      <c r="CY35" s="36"/>
      <c r="CZ35" s="19"/>
      <c r="DA35" s="274"/>
      <c r="DB35" s="231"/>
      <c r="DC35" s="37">
        <v>0</v>
      </c>
      <c r="DD35" s="36"/>
      <c r="DE35" s="19"/>
      <c r="DF35" s="274"/>
      <c r="DG35" s="231"/>
      <c r="DH35" s="37">
        <v>0</v>
      </c>
      <c r="DI35" s="36"/>
      <c r="DJ35" s="19"/>
      <c r="DK35" s="274"/>
      <c r="DL35" s="231"/>
      <c r="DM35" s="37">
        <v>0</v>
      </c>
      <c r="DN35" s="36"/>
      <c r="DO35" s="19"/>
      <c r="DP35" s="274"/>
      <c r="DQ35" s="231"/>
      <c r="DR35" s="37">
        <v>0</v>
      </c>
      <c r="DS35" s="36"/>
      <c r="DT35" s="19"/>
      <c r="DU35" s="274"/>
      <c r="DV35" s="231"/>
      <c r="DW35" s="37">
        <v>0</v>
      </c>
      <c r="DX35" s="36"/>
      <c r="DY35" s="19"/>
      <c r="DZ35" s="274"/>
      <c r="EA35" s="231"/>
      <c r="EB35" s="37">
        <v>0</v>
      </c>
      <c r="EC35" s="36"/>
      <c r="ED35" s="19"/>
      <c r="EE35" s="274"/>
      <c r="EF35" s="231"/>
      <c r="EG35" s="37">
        <v>0</v>
      </c>
      <c r="EH35" s="36"/>
      <c r="EI35" s="19"/>
      <c r="EJ35" s="274"/>
      <c r="EK35" s="231"/>
      <c r="EL35" s="37">
        <f>SUM(CD35:EG35)</f>
        <v>0</v>
      </c>
      <c r="EM35" s="36"/>
      <c r="EN35" s="19"/>
      <c r="EO35" s="244"/>
    </row>
    <row r="36" spans="4:145" hidden="1" x14ac:dyDescent="0.2">
      <c r="D36" s="244"/>
      <c r="E36" s="82"/>
      <c r="G36" s="19"/>
      <c r="H36" s="19"/>
      <c r="I36" s="19"/>
      <c r="J36" s="274"/>
      <c r="K36" s="19"/>
      <c r="L36" s="19"/>
      <c r="M36" s="19"/>
      <c r="N36" s="19"/>
      <c r="O36" s="274"/>
      <c r="P36" s="19"/>
      <c r="Q36" s="19"/>
      <c r="R36" s="19"/>
      <c r="S36" s="19"/>
      <c r="T36" s="274"/>
      <c r="U36" s="19"/>
      <c r="V36" s="19"/>
      <c r="W36" s="19"/>
      <c r="X36" s="19"/>
      <c r="Y36" s="274"/>
      <c r="Z36" s="19"/>
      <c r="AA36" s="19"/>
      <c r="AB36" s="19"/>
      <c r="AC36" s="19"/>
      <c r="AD36" s="274"/>
      <c r="AE36" s="19"/>
      <c r="AF36" s="19"/>
      <c r="AG36" s="19"/>
      <c r="AH36" s="19"/>
      <c r="AI36" s="274"/>
      <c r="AJ36" s="19"/>
      <c r="AK36" s="19"/>
      <c r="AL36" s="19"/>
      <c r="AM36" s="19"/>
      <c r="AN36" s="274"/>
      <c r="AO36" s="19"/>
      <c r="AP36" s="19"/>
      <c r="AQ36" s="19"/>
      <c r="AR36" s="19"/>
      <c r="AS36" s="274"/>
      <c r="AT36" s="19"/>
      <c r="AU36" s="19"/>
      <c r="AV36" s="19"/>
      <c r="AW36" s="19"/>
      <c r="AX36" s="274"/>
      <c r="AY36" s="19"/>
      <c r="AZ36" s="19"/>
      <c r="BA36" s="19"/>
      <c r="BB36" s="19"/>
      <c r="BC36" s="274"/>
      <c r="BD36" s="19"/>
      <c r="BE36" s="19"/>
      <c r="BF36" s="19"/>
      <c r="BG36" s="19"/>
      <c r="BH36" s="274"/>
      <c r="BI36" s="19"/>
      <c r="BJ36" s="19"/>
      <c r="BK36" s="19"/>
      <c r="BL36" s="19"/>
      <c r="BM36" s="274"/>
      <c r="BN36" s="19"/>
      <c r="BO36" s="19"/>
      <c r="BP36" s="19"/>
      <c r="BQ36" s="19"/>
      <c r="BR36" s="274"/>
      <c r="BS36" s="19"/>
      <c r="BT36" s="19"/>
      <c r="BU36" s="19"/>
      <c r="BV36" s="19"/>
      <c r="BW36" s="274"/>
      <c r="BX36" s="19"/>
      <c r="BY36" s="19"/>
      <c r="BZ36" s="19"/>
      <c r="CA36" s="19"/>
      <c r="CB36" s="274"/>
      <c r="CC36" s="19"/>
      <c r="CD36" s="19"/>
      <c r="CE36" s="19"/>
      <c r="CF36" s="19"/>
      <c r="CG36" s="274"/>
      <c r="CH36" s="19"/>
      <c r="CI36" s="19"/>
      <c r="CJ36" s="19"/>
      <c r="CK36" s="19"/>
      <c r="CL36" s="274"/>
      <c r="CM36" s="19"/>
      <c r="CN36" s="19"/>
      <c r="CO36" s="19"/>
      <c r="CP36" s="19"/>
      <c r="CQ36" s="274"/>
      <c r="CR36" s="19"/>
      <c r="CS36" s="19"/>
      <c r="CT36" s="19"/>
      <c r="CU36" s="19"/>
      <c r="CV36" s="274"/>
      <c r="CW36" s="19"/>
      <c r="CX36" s="19"/>
      <c r="CY36" s="19"/>
      <c r="CZ36" s="19"/>
      <c r="DA36" s="274"/>
      <c r="DB36" s="19"/>
      <c r="DC36" s="19"/>
      <c r="DD36" s="19"/>
      <c r="DE36" s="19"/>
      <c r="DF36" s="274"/>
      <c r="DG36" s="19"/>
      <c r="DH36" s="19"/>
      <c r="DI36" s="19"/>
      <c r="DJ36" s="19"/>
      <c r="DK36" s="274"/>
      <c r="DL36" s="19"/>
      <c r="DM36" s="19"/>
      <c r="DN36" s="19"/>
      <c r="DO36" s="19"/>
      <c r="DP36" s="274"/>
      <c r="DQ36" s="19"/>
      <c r="DR36" s="19"/>
      <c r="DS36" s="19"/>
      <c r="DT36" s="19"/>
      <c r="DU36" s="274"/>
      <c r="DV36" s="19"/>
      <c r="DW36" s="19"/>
      <c r="DX36" s="19"/>
      <c r="DY36" s="19"/>
      <c r="DZ36" s="274"/>
      <c r="EA36" s="19"/>
      <c r="EB36" s="19"/>
      <c r="EC36" s="19"/>
      <c r="ED36" s="19"/>
      <c r="EE36" s="274"/>
      <c r="EF36" s="19"/>
      <c r="EG36" s="19"/>
      <c r="EH36" s="19"/>
      <c r="EI36" s="19"/>
      <c r="EJ36" s="274"/>
      <c r="EK36" s="19"/>
      <c r="EL36" s="19"/>
      <c r="EM36" s="19"/>
      <c r="EN36" s="19"/>
      <c r="EO36" s="244"/>
    </row>
    <row r="37" spans="4:145" x14ac:dyDescent="0.2">
      <c r="D37" s="244" t="s">
        <v>449</v>
      </c>
      <c r="E37" s="82"/>
      <c r="G37" s="19">
        <v>0</v>
      </c>
      <c r="H37" s="19"/>
      <c r="I37" s="19"/>
      <c r="J37" s="274"/>
      <c r="K37" s="19"/>
      <c r="L37" s="19">
        <f>L38+L40</f>
        <v>0</v>
      </c>
      <c r="M37" s="19"/>
      <c r="N37" s="19"/>
      <c r="O37" s="274"/>
      <c r="P37" s="19"/>
      <c r="Q37" s="19">
        <f>SUM(Q38:Q40)</f>
        <v>0</v>
      </c>
      <c r="R37" s="19"/>
      <c r="S37" s="19"/>
      <c r="T37" s="274"/>
      <c r="U37" s="19"/>
      <c r="V37" s="19">
        <f>V38+V40</f>
        <v>0</v>
      </c>
      <c r="W37" s="19"/>
      <c r="X37" s="19"/>
      <c r="Y37" s="274"/>
      <c r="Z37" s="19"/>
      <c r="AA37" s="19">
        <f>AA38+AA40</f>
        <v>16390000</v>
      </c>
      <c r="AB37" s="19"/>
      <c r="AC37" s="19"/>
      <c r="AD37" s="274"/>
      <c r="AE37" s="19"/>
      <c r="AF37" s="19">
        <f>AF38+AF40</f>
        <v>0</v>
      </c>
      <c r="AG37" s="19"/>
      <c r="AH37" s="19"/>
      <c r="AI37" s="274"/>
      <c r="AJ37" s="19"/>
      <c r="AK37" s="19">
        <f>AK38+AK40</f>
        <v>0</v>
      </c>
      <c r="AL37" s="19"/>
      <c r="AM37" s="19"/>
      <c r="AN37" s="274"/>
      <c r="AO37" s="19"/>
      <c r="AP37" s="19">
        <f>AP38+AP40</f>
        <v>0</v>
      </c>
      <c r="AQ37" s="19"/>
      <c r="AR37" s="19"/>
      <c r="AS37" s="274"/>
      <c r="AT37" s="19"/>
      <c r="AU37" s="19">
        <f>AU38+AU40</f>
        <v>0</v>
      </c>
      <c r="AV37" s="19"/>
      <c r="AW37" s="19"/>
      <c r="AX37" s="274"/>
      <c r="AY37" s="19"/>
      <c r="AZ37" s="19">
        <f>AZ38+AZ40</f>
        <v>0</v>
      </c>
      <c r="BA37" s="19"/>
      <c r="BB37" s="19"/>
      <c r="BC37" s="274"/>
      <c r="BD37" s="19"/>
      <c r="BE37" s="19">
        <f>BE38+BE40</f>
        <v>0</v>
      </c>
      <c r="BF37" s="19"/>
      <c r="BG37" s="19"/>
      <c r="BH37" s="274"/>
      <c r="BI37" s="19"/>
      <c r="BJ37" s="19">
        <f>BJ38+BJ40</f>
        <v>0</v>
      </c>
      <c r="BK37" s="19"/>
      <c r="BL37" s="19"/>
      <c r="BM37" s="274"/>
      <c r="BN37" s="19"/>
      <c r="BO37" s="19">
        <f>BO38+BO40</f>
        <v>0</v>
      </c>
      <c r="BP37" s="19"/>
      <c r="BQ37" s="19"/>
      <c r="BR37" s="274"/>
      <c r="BS37" s="19"/>
      <c r="BT37" s="19">
        <f>SUM(BT38:BT40)</f>
        <v>16390000</v>
      </c>
      <c r="BU37" s="19"/>
      <c r="BV37" s="19"/>
      <c r="BW37" s="274"/>
      <c r="BX37" s="19"/>
      <c r="BY37" s="19">
        <f>SUM(BY38:BY40)</f>
        <v>0</v>
      </c>
      <c r="BZ37" s="19"/>
      <c r="CA37" s="19"/>
      <c r="CB37" s="274"/>
      <c r="CC37" s="19"/>
      <c r="CD37" s="19">
        <f>CD38+CD40</f>
        <v>0</v>
      </c>
      <c r="CE37" s="19"/>
      <c r="CF37" s="19"/>
      <c r="CG37" s="274"/>
      <c r="CH37" s="19"/>
      <c r="CI37" s="19">
        <f>SUM(CI38:CI40)</f>
        <v>0</v>
      </c>
      <c r="CJ37" s="19"/>
      <c r="CK37" s="19"/>
      <c r="CL37" s="274"/>
      <c r="CM37" s="19"/>
      <c r="CN37" s="19">
        <f>CN38+CN40</f>
        <v>0</v>
      </c>
      <c r="CO37" s="19"/>
      <c r="CP37" s="19"/>
      <c r="CQ37" s="274"/>
      <c r="CR37" s="19"/>
      <c r="CS37" s="19">
        <f>CS38+CS40</f>
        <v>0</v>
      </c>
      <c r="CT37" s="19"/>
      <c r="CU37" s="19"/>
      <c r="CV37" s="274"/>
      <c r="CW37" s="19"/>
      <c r="CX37" s="19">
        <f>CX38+CX40</f>
        <v>0</v>
      </c>
      <c r="CY37" s="19"/>
      <c r="CZ37" s="19"/>
      <c r="DA37" s="274"/>
      <c r="DB37" s="19"/>
      <c r="DC37" s="19">
        <f>DC38+DC40</f>
        <v>0</v>
      </c>
      <c r="DD37" s="19"/>
      <c r="DE37" s="19"/>
      <c r="DF37" s="274"/>
      <c r="DG37" s="19"/>
      <c r="DH37" s="19">
        <f>DH38+DH40</f>
        <v>0</v>
      </c>
      <c r="DI37" s="19"/>
      <c r="DJ37" s="19"/>
      <c r="DK37" s="274"/>
      <c r="DL37" s="19"/>
      <c r="DM37" s="19">
        <f>DM38+DM40</f>
        <v>0</v>
      </c>
      <c r="DN37" s="19"/>
      <c r="DO37" s="19"/>
      <c r="DP37" s="274"/>
      <c r="DQ37" s="19"/>
      <c r="DR37" s="19">
        <f>DR38+DR40</f>
        <v>0</v>
      </c>
      <c r="DS37" s="19"/>
      <c r="DT37" s="19"/>
      <c r="DU37" s="274"/>
      <c r="DV37" s="19"/>
      <c r="DW37" s="19">
        <f>DW38+DW40</f>
        <v>0</v>
      </c>
      <c r="DX37" s="19"/>
      <c r="DY37" s="19"/>
      <c r="DZ37" s="274"/>
      <c r="EA37" s="19"/>
      <c r="EB37" s="19">
        <f>EB38+EB40</f>
        <v>0</v>
      </c>
      <c r="EC37" s="19"/>
      <c r="ED37" s="19"/>
      <c r="EE37" s="274"/>
      <c r="EF37" s="19"/>
      <c r="EG37" s="19">
        <f>EG38+EG40</f>
        <v>0</v>
      </c>
      <c r="EH37" s="19"/>
      <c r="EI37" s="19"/>
      <c r="EJ37" s="274"/>
      <c r="EK37" s="19"/>
      <c r="EL37" s="19">
        <f>SUM(EL38:EL40)</f>
        <v>0</v>
      </c>
      <c r="EM37" s="19"/>
      <c r="EN37" s="19"/>
      <c r="EO37" s="244"/>
    </row>
    <row r="38" spans="4:145" x14ac:dyDescent="0.2">
      <c r="D38" s="244" t="s">
        <v>344</v>
      </c>
      <c r="E38" s="82"/>
      <c r="F38" s="112"/>
      <c r="G38" s="374">
        <v>0</v>
      </c>
      <c r="H38" s="475"/>
      <c r="I38" s="19"/>
      <c r="J38" s="274"/>
      <c r="K38" s="173"/>
      <c r="L38" s="374">
        <v>0</v>
      </c>
      <c r="M38" s="475"/>
      <c r="N38" s="19"/>
      <c r="O38" s="274"/>
      <c r="P38" s="173"/>
      <c r="Q38" s="374">
        <v>0</v>
      </c>
      <c r="R38" s="475"/>
      <c r="S38" s="19"/>
      <c r="T38" s="274"/>
      <c r="U38" s="173"/>
      <c r="V38" s="374">
        <v>0</v>
      </c>
      <c r="W38" s="475"/>
      <c r="X38" s="19"/>
      <c r="Y38" s="274"/>
      <c r="Z38" s="173"/>
      <c r="AA38" s="374">
        <v>16390000</v>
      </c>
      <c r="AB38" s="475"/>
      <c r="AC38" s="19"/>
      <c r="AD38" s="274"/>
      <c r="AE38" s="173"/>
      <c r="AF38" s="374">
        <v>0</v>
      </c>
      <c r="AG38" s="475"/>
      <c r="AH38" s="19"/>
      <c r="AI38" s="274"/>
      <c r="AJ38" s="173"/>
      <c r="AK38" s="374">
        <v>0</v>
      </c>
      <c r="AL38" s="475"/>
      <c r="AM38" s="19"/>
      <c r="AN38" s="274"/>
      <c r="AO38" s="173"/>
      <c r="AP38" s="374">
        <v>0</v>
      </c>
      <c r="AQ38" s="475"/>
      <c r="AR38" s="19"/>
      <c r="AS38" s="274"/>
      <c r="AT38" s="173"/>
      <c r="AU38" s="374">
        <v>0</v>
      </c>
      <c r="AV38" s="475"/>
      <c r="AW38" s="19"/>
      <c r="AX38" s="274"/>
      <c r="AY38" s="173"/>
      <c r="AZ38" s="374">
        <v>0</v>
      </c>
      <c r="BA38" s="475"/>
      <c r="BB38" s="19"/>
      <c r="BC38" s="274"/>
      <c r="BD38" s="173"/>
      <c r="BE38" s="374">
        <v>0</v>
      </c>
      <c r="BF38" s="475"/>
      <c r="BG38" s="19"/>
      <c r="BH38" s="274"/>
      <c r="BI38" s="173"/>
      <c r="BJ38" s="374">
        <v>0</v>
      </c>
      <c r="BK38" s="475"/>
      <c r="BL38" s="19"/>
      <c r="BM38" s="274"/>
      <c r="BN38" s="173"/>
      <c r="BO38" s="374">
        <v>0</v>
      </c>
      <c r="BP38" s="475"/>
      <c r="BQ38" s="19"/>
      <c r="BR38" s="274"/>
      <c r="BS38" s="173"/>
      <c r="BT38" s="374">
        <f>SUM(L38:BO38)</f>
        <v>16390000</v>
      </c>
      <c r="BU38" s="475"/>
      <c r="BV38" s="19"/>
      <c r="BW38" s="274"/>
      <c r="BX38" s="173"/>
      <c r="BY38" s="374">
        <v>0</v>
      </c>
      <c r="BZ38" s="475"/>
      <c r="CA38" s="19"/>
      <c r="CB38" s="274"/>
      <c r="CC38" s="173"/>
      <c r="CD38" s="374">
        <v>0</v>
      </c>
      <c r="CE38" s="475"/>
      <c r="CF38" s="19"/>
      <c r="CG38" s="274"/>
      <c r="CH38" s="173"/>
      <c r="CI38" s="374">
        <v>0</v>
      </c>
      <c r="CJ38" s="475"/>
      <c r="CK38" s="19"/>
      <c r="CL38" s="274"/>
      <c r="CM38" s="173"/>
      <c r="CN38" s="374">
        <v>0</v>
      </c>
      <c r="CO38" s="475"/>
      <c r="CP38" s="19"/>
      <c r="CQ38" s="274"/>
      <c r="CR38" s="173"/>
      <c r="CS38" s="374">
        <v>0</v>
      </c>
      <c r="CT38" s="475"/>
      <c r="CU38" s="19"/>
      <c r="CV38" s="274"/>
      <c r="CW38" s="173"/>
      <c r="CX38" s="374">
        <v>0</v>
      </c>
      <c r="CY38" s="475"/>
      <c r="CZ38" s="19"/>
      <c r="DA38" s="274"/>
      <c r="DB38" s="173"/>
      <c r="DC38" s="374">
        <v>0</v>
      </c>
      <c r="DD38" s="475"/>
      <c r="DE38" s="19"/>
      <c r="DF38" s="274"/>
      <c r="DG38" s="173"/>
      <c r="DH38" s="374">
        <v>0</v>
      </c>
      <c r="DI38" s="475"/>
      <c r="DJ38" s="19"/>
      <c r="DK38" s="274"/>
      <c r="DL38" s="173"/>
      <c r="DM38" s="374">
        <v>0</v>
      </c>
      <c r="DN38" s="475"/>
      <c r="DO38" s="19"/>
      <c r="DP38" s="274"/>
      <c r="DQ38" s="173"/>
      <c r="DR38" s="374">
        <v>0</v>
      </c>
      <c r="DS38" s="475"/>
      <c r="DT38" s="19"/>
      <c r="DU38" s="274"/>
      <c r="DV38" s="173"/>
      <c r="DW38" s="374">
        <v>0</v>
      </c>
      <c r="DX38" s="475"/>
      <c r="DY38" s="19"/>
      <c r="DZ38" s="274"/>
      <c r="EA38" s="173"/>
      <c r="EB38" s="374">
        <v>0</v>
      </c>
      <c r="EC38" s="475"/>
      <c r="ED38" s="19"/>
      <c r="EE38" s="274"/>
      <c r="EF38" s="173"/>
      <c r="EG38" s="374">
        <v>0</v>
      </c>
      <c r="EH38" s="475"/>
      <c r="EI38" s="19"/>
      <c r="EJ38" s="274"/>
      <c r="EK38" s="173"/>
      <c r="EL38" s="374">
        <f>SUM(CD38:EG38)</f>
        <v>0</v>
      </c>
      <c r="EM38" s="475"/>
      <c r="EN38" s="19"/>
      <c r="EO38" s="244"/>
    </row>
    <row r="39" spans="4:145" x14ac:dyDescent="0.2">
      <c r="D39" s="244" t="s">
        <v>346</v>
      </c>
      <c r="E39" s="82"/>
      <c r="F39" s="82"/>
      <c r="G39" s="19">
        <v>0</v>
      </c>
      <c r="H39" s="18"/>
      <c r="I39" s="19"/>
      <c r="J39" s="274"/>
      <c r="K39" s="274"/>
      <c r="L39" s="19">
        <v>0</v>
      </c>
      <c r="M39" s="18"/>
      <c r="N39" s="19"/>
      <c r="O39" s="274"/>
      <c r="P39" s="274"/>
      <c r="Q39" s="19">
        <v>0</v>
      </c>
      <c r="R39" s="18"/>
      <c r="S39" s="19"/>
      <c r="T39" s="274"/>
      <c r="U39" s="274"/>
      <c r="V39" s="19">
        <v>0</v>
      </c>
      <c r="W39" s="18"/>
      <c r="X39" s="19"/>
      <c r="Y39" s="274"/>
      <c r="Z39" s="274"/>
      <c r="AA39" s="19">
        <v>0</v>
      </c>
      <c r="AB39" s="18"/>
      <c r="AC39" s="19"/>
      <c r="AD39" s="274"/>
      <c r="AE39" s="274"/>
      <c r="AF39" s="19">
        <v>0</v>
      </c>
      <c r="AG39" s="18"/>
      <c r="AH39" s="19"/>
      <c r="AI39" s="274"/>
      <c r="AJ39" s="274"/>
      <c r="AK39" s="19">
        <v>0</v>
      </c>
      <c r="AL39" s="18"/>
      <c r="AM39" s="19"/>
      <c r="AN39" s="274"/>
      <c r="AO39" s="274"/>
      <c r="AP39" s="19">
        <v>0</v>
      </c>
      <c r="AQ39" s="18"/>
      <c r="AR39" s="19"/>
      <c r="AS39" s="274"/>
      <c r="AT39" s="274"/>
      <c r="AU39" s="19">
        <v>0</v>
      </c>
      <c r="AV39" s="18"/>
      <c r="AW39" s="19"/>
      <c r="AX39" s="274"/>
      <c r="AY39" s="274"/>
      <c r="AZ39" s="19">
        <v>0</v>
      </c>
      <c r="BA39" s="18"/>
      <c r="BB39" s="19"/>
      <c r="BC39" s="274"/>
      <c r="BD39" s="274"/>
      <c r="BE39" s="19">
        <v>0</v>
      </c>
      <c r="BF39" s="18"/>
      <c r="BG39" s="19"/>
      <c r="BH39" s="274"/>
      <c r="BI39" s="274"/>
      <c r="BJ39" s="19">
        <v>0</v>
      </c>
      <c r="BK39" s="18"/>
      <c r="BL39" s="19"/>
      <c r="BM39" s="274"/>
      <c r="BN39" s="274"/>
      <c r="BO39" s="19">
        <v>0</v>
      </c>
      <c r="BP39" s="18"/>
      <c r="BQ39" s="19"/>
      <c r="BR39" s="274"/>
      <c r="BS39" s="274"/>
      <c r="BT39" s="19">
        <f>SUM(L39:BO39)</f>
        <v>0</v>
      </c>
      <c r="BU39" s="18"/>
      <c r="BV39" s="19"/>
      <c r="BW39" s="274"/>
      <c r="BX39" s="274"/>
      <c r="BY39" s="19">
        <v>0</v>
      </c>
      <c r="BZ39" s="18"/>
      <c r="CA39" s="19"/>
      <c r="CB39" s="274"/>
      <c r="CC39" s="274"/>
      <c r="CD39" s="19">
        <v>0</v>
      </c>
      <c r="CE39" s="18"/>
      <c r="CF39" s="19"/>
      <c r="CG39" s="274"/>
      <c r="CH39" s="274"/>
      <c r="CI39" s="19">
        <v>0</v>
      </c>
      <c r="CJ39" s="18"/>
      <c r="CK39" s="19"/>
      <c r="CL39" s="274"/>
      <c r="CM39" s="274"/>
      <c r="CN39" s="19">
        <v>0</v>
      </c>
      <c r="CO39" s="18"/>
      <c r="CP39" s="19"/>
      <c r="CQ39" s="274"/>
      <c r="CR39" s="274"/>
      <c r="CS39" s="19">
        <v>0</v>
      </c>
      <c r="CT39" s="18"/>
      <c r="CU39" s="19"/>
      <c r="CV39" s="274"/>
      <c r="CW39" s="274"/>
      <c r="CX39" s="19">
        <v>0</v>
      </c>
      <c r="CY39" s="18"/>
      <c r="CZ39" s="19"/>
      <c r="DA39" s="274"/>
      <c r="DB39" s="274"/>
      <c r="DC39" s="19">
        <v>0</v>
      </c>
      <c r="DD39" s="18"/>
      <c r="DE39" s="19"/>
      <c r="DF39" s="274"/>
      <c r="DG39" s="274"/>
      <c r="DH39" s="19">
        <v>0</v>
      </c>
      <c r="DI39" s="18"/>
      <c r="DJ39" s="19"/>
      <c r="DK39" s="274"/>
      <c r="DL39" s="274"/>
      <c r="DM39" s="19">
        <v>0</v>
      </c>
      <c r="DN39" s="18"/>
      <c r="DO39" s="19"/>
      <c r="DP39" s="274"/>
      <c r="DQ39" s="274"/>
      <c r="DR39" s="19">
        <v>0</v>
      </c>
      <c r="DS39" s="18"/>
      <c r="DT39" s="19"/>
      <c r="DU39" s="274"/>
      <c r="DV39" s="274"/>
      <c r="DW39" s="19">
        <v>0</v>
      </c>
      <c r="DX39" s="18"/>
      <c r="DY39" s="19"/>
      <c r="DZ39" s="274"/>
      <c r="EA39" s="274"/>
      <c r="EB39" s="19">
        <v>0</v>
      </c>
      <c r="EC39" s="18"/>
      <c r="ED39" s="19"/>
      <c r="EE39" s="274"/>
      <c r="EF39" s="274"/>
      <c r="EG39" s="19">
        <v>0</v>
      </c>
      <c r="EH39" s="18"/>
      <c r="EI39" s="19"/>
      <c r="EJ39" s="274"/>
      <c r="EK39" s="274"/>
      <c r="EL39" s="19">
        <f>SUM(CD39:EG39)</f>
        <v>0</v>
      </c>
      <c r="EM39" s="18"/>
      <c r="EN39" s="19"/>
      <c r="EO39" s="244"/>
    </row>
    <row r="40" spans="4:145" x14ac:dyDescent="0.2">
      <c r="D40" s="244" t="s">
        <v>354</v>
      </c>
      <c r="E40" s="82"/>
      <c r="F40" s="276"/>
      <c r="G40" s="37">
        <v>0</v>
      </c>
      <c r="H40" s="36"/>
      <c r="I40" s="19"/>
      <c r="J40" s="274"/>
      <c r="K40" s="231"/>
      <c r="L40" s="37">
        <v>0</v>
      </c>
      <c r="M40" s="36"/>
      <c r="N40" s="19"/>
      <c r="O40" s="274"/>
      <c r="P40" s="231"/>
      <c r="Q40" s="37">
        <v>0</v>
      </c>
      <c r="R40" s="36"/>
      <c r="S40" s="19"/>
      <c r="T40" s="274"/>
      <c r="U40" s="231"/>
      <c r="V40" s="37">
        <v>0</v>
      </c>
      <c r="W40" s="36"/>
      <c r="X40" s="19"/>
      <c r="Y40" s="274"/>
      <c r="Z40" s="231"/>
      <c r="AA40" s="37">
        <v>0</v>
      </c>
      <c r="AB40" s="36"/>
      <c r="AC40" s="19"/>
      <c r="AD40" s="274"/>
      <c r="AE40" s="231"/>
      <c r="AF40" s="37">
        <v>0</v>
      </c>
      <c r="AG40" s="36"/>
      <c r="AH40" s="19"/>
      <c r="AI40" s="274"/>
      <c r="AJ40" s="231"/>
      <c r="AK40" s="37">
        <v>0</v>
      </c>
      <c r="AL40" s="36"/>
      <c r="AM40" s="19"/>
      <c r="AN40" s="274"/>
      <c r="AO40" s="231"/>
      <c r="AP40" s="37">
        <v>0</v>
      </c>
      <c r="AQ40" s="36"/>
      <c r="AR40" s="19"/>
      <c r="AS40" s="274"/>
      <c r="AT40" s="231"/>
      <c r="AU40" s="37">
        <v>0</v>
      </c>
      <c r="AV40" s="36"/>
      <c r="AW40" s="19"/>
      <c r="AX40" s="274"/>
      <c r="AY40" s="231"/>
      <c r="AZ40" s="37">
        <v>0</v>
      </c>
      <c r="BA40" s="36"/>
      <c r="BB40" s="19"/>
      <c r="BC40" s="274"/>
      <c r="BD40" s="231"/>
      <c r="BE40" s="37">
        <v>0</v>
      </c>
      <c r="BF40" s="36"/>
      <c r="BG40" s="19"/>
      <c r="BH40" s="274"/>
      <c r="BI40" s="231"/>
      <c r="BJ40" s="37">
        <v>0</v>
      </c>
      <c r="BK40" s="36"/>
      <c r="BL40" s="19"/>
      <c r="BM40" s="274"/>
      <c r="BN40" s="231"/>
      <c r="BO40" s="37">
        <v>0</v>
      </c>
      <c r="BP40" s="36"/>
      <c r="BQ40" s="19"/>
      <c r="BR40" s="274"/>
      <c r="BS40" s="231"/>
      <c r="BT40" s="37">
        <f>SUM(L40:BO40)</f>
        <v>0</v>
      </c>
      <c r="BU40" s="36"/>
      <c r="BV40" s="19"/>
      <c r="BW40" s="274"/>
      <c r="BX40" s="231"/>
      <c r="BY40" s="37">
        <v>0</v>
      </c>
      <c r="BZ40" s="36"/>
      <c r="CA40" s="19"/>
      <c r="CB40" s="274"/>
      <c r="CC40" s="231"/>
      <c r="CD40" s="37">
        <v>0</v>
      </c>
      <c r="CE40" s="36"/>
      <c r="CF40" s="19"/>
      <c r="CG40" s="274"/>
      <c r="CH40" s="231"/>
      <c r="CI40" s="37">
        <v>0</v>
      </c>
      <c r="CJ40" s="36"/>
      <c r="CK40" s="19"/>
      <c r="CL40" s="274"/>
      <c r="CM40" s="231"/>
      <c r="CN40" s="37">
        <v>0</v>
      </c>
      <c r="CO40" s="36"/>
      <c r="CP40" s="19"/>
      <c r="CQ40" s="274"/>
      <c r="CR40" s="231"/>
      <c r="CS40" s="37">
        <v>0</v>
      </c>
      <c r="CT40" s="36"/>
      <c r="CU40" s="19"/>
      <c r="CV40" s="274"/>
      <c r="CW40" s="231"/>
      <c r="CX40" s="37">
        <v>0</v>
      </c>
      <c r="CY40" s="36"/>
      <c r="CZ40" s="19"/>
      <c r="DA40" s="274"/>
      <c r="DB40" s="231"/>
      <c r="DC40" s="37">
        <v>0</v>
      </c>
      <c r="DD40" s="36"/>
      <c r="DE40" s="19"/>
      <c r="DF40" s="274"/>
      <c r="DG40" s="231"/>
      <c r="DH40" s="37">
        <v>0</v>
      </c>
      <c r="DI40" s="36"/>
      <c r="DJ40" s="19"/>
      <c r="DK40" s="274"/>
      <c r="DL40" s="231"/>
      <c r="DM40" s="37">
        <v>0</v>
      </c>
      <c r="DN40" s="36"/>
      <c r="DO40" s="19"/>
      <c r="DP40" s="274"/>
      <c r="DQ40" s="231"/>
      <c r="DR40" s="37">
        <v>0</v>
      </c>
      <c r="DS40" s="36"/>
      <c r="DT40" s="19"/>
      <c r="DU40" s="274"/>
      <c r="DV40" s="231"/>
      <c r="DW40" s="37">
        <v>0</v>
      </c>
      <c r="DX40" s="36"/>
      <c r="DY40" s="19"/>
      <c r="DZ40" s="274"/>
      <c r="EA40" s="231"/>
      <c r="EB40" s="37">
        <v>0</v>
      </c>
      <c r="EC40" s="36"/>
      <c r="ED40" s="19"/>
      <c r="EE40" s="274"/>
      <c r="EF40" s="231"/>
      <c r="EG40" s="37">
        <v>0</v>
      </c>
      <c r="EH40" s="36"/>
      <c r="EI40" s="19"/>
      <c r="EJ40" s="274"/>
      <c r="EK40" s="231"/>
      <c r="EL40" s="37">
        <f>SUM(CD40:EG40)</f>
        <v>0</v>
      </c>
      <c r="EM40" s="36"/>
      <c r="EN40" s="19"/>
      <c r="EO40" s="244"/>
    </row>
    <row r="41" spans="4:145" ht="12.75" customHeight="1" x14ac:dyDescent="0.2">
      <c r="D41" s="268"/>
      <c r="E41" s="222"/>
      <c r="F41" s="310"/>
      <c r="G41" s="19"/>
      <c r="H41" s="19"/>
      <c r="I41" s="19"/>
      <c r="J41" s="274"/>
      <c r="K41" s="19"/>
      <c r="L41" s="19"/>
      <c r="M41" s="19"/>
      <c r="N41" s="19"/>
      <c r="O41" s="274"/>
      <c r="P41" s="19"/>
      <c r="Q41" s="19"/>
      <c r="R41" s="19"/>
      <c r="S41" s="19"/>
      <c r="T41" s="274"/>
      <c r="U41" s="19"/>
      <c r="V41" s="19"/>
      <c r="W41" s="19"/>
      <c r="X41" s="19"/>
      <c r="Y41" s="274"/>
      <c r="Z41" s="19"/>
      <c r="AA41" s="19"/>
      <c r="AB41" s="19"/>
      <c r="AC41" s="19"/>
      <c r="AD41" s="274"/>
      <c r="AE41" s="19"/>
      <c r="AF41" s="19"/>
      <c r="AG41" s="19"/>
      <c r="AH41" s="19"/>
      <c r="AI41" s="274"/>
      <c r="AJ41" s="19"/>
      <c r="AK41" s="19"/>
      <c r="AL41" s="19"/>
      <c r="AM41" s="19"/>
      <c r="AN41" s="274"/>
      <c r="AO41" s="19"/>
      <c r="AP41" s="19"/>
      <c r="AQ41" s="19"/>
      <c r="AR41" s="19"/>
      <c r="AS41" s="274"/>
      <c r="AT41" s="19"/>
      <c r="AU41" s="19"/>
      <c r="AV41" s="19"/>
      <c r="AW41" s="19"/>
      <c r="AX41" s="274"/>
      <c r="AY41" s="19"/>
      <c r="AZ41" s="19"/>
      <c r="BA41" s="19"/>
      <c r="BB41" s="19"/>
      <c r="BC41" s="274"/>
      <c r="BD41" s="19"/>
      <c r="BE41" s="19"/>
      <c r="BF41" s="19"/>
      <c r="BG41" s="19"/>
      <c r="BH41" s="274"/>
      <c r="BI41" s="19"/>
      <c r="BJ41" s="19"/>
      <c r="BK41" s="19"/>
      <c r="BL41" s="19"/>
      <c r="BM41" s="274"/>
      <c r="BN41" s="19"/>
      <c r="BO41" s="19"/>
      <c r="BP41" s="19"/>
      <c r="BQ41" s="19"/>
      <c r="BR41" s="274"/>
      <c r="BS41" s="19"/>
      <c r="BT41" s="19"/>
      <c r="BU41" s="19"/>
      <c r="BV41" s="19"/>
      <c r="BW41" s="274"/>
      <c r="BX41" s="19"/>
      <c r="BY41" s="19"/>
      <c r="BZ41" s="19"/>
      <c r="CA41" s="19"/>
      <c r="CB41" s="274"/>
      <c r="CC41" s="19"/>
      <c r="CD41" s="19"/>
      <c r="CE41" s="19"/>
      <c r="CF41" s="19"/>
      <c r="CG41" s="274"/>
      <c r="CH41" s="19"/>
      <c r="CI41" s="19"/>
      <c r="CJ41" s="19"/>
      <c r="CK41" s="19"/>
      <c r="CL41" s="274"/>
      <c r="CM41" s="19"/>
      <c r="CN41" s="19"/>
      <c r="CO41" s="19"/>
      <c r="CP41" s="19"/>
      <c r="CQ41" s="274"/>
      <c r="CR41" s="19"/>
      <c r="CS41" s="19"/>
      <c r="CT41" s="19"/>
      <c r="CU41" s="19"/>
      <c r="CV41" s="274"/>
      <c r="CW41" s="19"/>
      <c r="CX41" s="19"/>
      <c r="CY41" s="19"/>
      <c r="CZ41" s="19"/>
      <c r="DA41" s="274"/>
      <c r="DB41" s="19"/>
      <c r="DC41" s="19"/>
      <c r="DD41" s="19"/>
      <c r="DE41" s="19"/>
      <c r="DF41" s="274"/>
      <c r="DG41" s="19"/>
      <c r="DH41" s="19"/>
      <c r="DI41" s="19"/>
      <c r="DJ41" s="19"/>
      <c r="DK41" s="274"/>
      <c r="DL41" s="19"/>
      <c r="DM41" s="19"/>
      <c r="DN41" s="19"/>
      <c r="DO41" s="19"/>
      <c r="DP41" s="274"/>
      <c r="DQ41" s="19"/>
      <c r="DR41" s="19"/>
      <c r="DS41" s="19"/>
      <c r="DT41" s="19"/>
      <c r="DU41" s="274"/>
      <c r="DV41" s="19"/>
      <c r="DW41" s="19"/>
      <c r="DX41" s="19"/>
      <c r="DY41" s="19"/>
      <c r="DZ41" s="274"/>
      <c r="EA41" s="19"/>
      <c r="EB41" s="19"/>
      <c r="EC41" s="19"/>
      <c r="ED41" s="19"/>
      <c r="EE41" s="274"/>
      <c r="EF41" s="19"/>
      <c r="EG41" s="19"/>
      <c r="EH41" s="19"/>
      <c r="EI41" s="19"/>
      <c r="EJ41" s="274"/>
      <c r="EK41" s="19"/>
      <c r="EL41" s="19"/>
      <c r="EM41" s="19"/>
      <c r="EN41" s="19"/>
      <c r="EO41" s="244"/>
    </row>
    <row r="42" spans="4:145" ht="12.75" customHeight="1" x14ac:dyDescent="0.2">
      <c r="D42" s="244" t="s">
        <v>450</v>
      </c>
      <c r="E42" s="82"/>
      <c r="G42" s="19">
        <v>0</v>
      </c>
      <c r="H42" s="19"/>
      <c r="I42" s="19"/>
      <c r="J42" s="274"/>
      <c r="K42" s="19"/>
      <c r="L42" s="19">
        <f>L43+L45</f>
        <v>0</v>
      </c>
      <c r="M42" s="19"/>
      <c r="N42" s="19"/>
      <c r="O42" s="274"/>
      <c r="P42" s="19"/>
      <c r="Q42" s="19">
        <f>SUM(Q43:Q45)</f>
        <v>0</v>
      </c>
      <c r="R42" s="19"/>
      <c r="S42" s="19"/>
      <c r="T42" s="274"/>
      <c r="U42" s="19"/>
      <c r="V42" s="19">
        <f>V43+V45</f>
        <v>0</v>
      </c>
      <c r="W42" s="19"/>
      <c r="X42" s="19"/>
      <c r="Y42" s="274"/>
      <c r="Z42" s="19"/>
      <c r="AA42" s="19">
        <f>AA43+AA45</f>
        <v>70521584</v>
      </c>
      <c r="AB42" s="19"/>
      <c r="AC42" s="19"/>
      <c r="AD42" s="274"/>
      <c r="AE42" s="19"/>
      <c r="AF42" s="19">
        <f>AF43+AF45</f>
        <v>0</v>
      </c>
      <c r="AG42" s="19"/>
      <c r="AH42" s="19"/>
      <c r="AI42" s="274"/>
      <c r="AJ42" s="19"/>
      <c r="AK42" s="19">
        <f>AK43+AK45</f>
        <v>0</v>
      </c>
      <c r="AL42" s="19"/>
      <c r="AM42" s="19"/>
      <c r="AN42" s="274"/>
      <c r="AO42" s="19"/>
      <c r="AP42" s="19">
        <f>AP43+AP45</f>
        <v>0</v>
      </c>
      <c r="AQ42" s="19"/>
      <c r="AR42" s="19"/>
      <c r="AS42" s="274"/>
      <c r="AT42" s="19"/>
      <c r="AU42" s="19">
        <f>AU43+AU45</f>
        <v>0</v>
      </c>
      <c r="AV42" s="19"/>
      <c r="AW42" s="19"/>
      <c r="AX42" s="274"/>
      <c r="AY42" s="19"/>
      <c r="AZ42" s="19">
        <f>AZ43+AZ45</f>
        <v>0</v>
      </c>
      <c r="BA42" s="19"/>
      <c r="BB42" s="19"/>
      <c r="BC42" s="274"/>
      <c r="BD42" s="19"/>
      <c r="BE42" s="19">
        <f>BE43+BE45</f>
        <v>0</v>
      </c>
      <c r="BF42" s="19"/>
      <c r="BG42" s="19"/>
      <c r="BH42" s="274"/>
      <c r="BI42" s="19"/>
      <c r="BJ42" s="19">
        <f>BJ43+BJ45</f>
        <v>0</v>
      </c>
      <c r="BK42" s="19"/>
      <c r="BL42" s="19"/>
      <c r="BM42" s="274"/>
      <c r="BN42" s="19"/>
      <c r="BO42" s="19">
        <f>BO43+BO45</f>
        <v>0</v>
      </c>
      <c r="BP42" s="19"/>
      <c r="BQ42" s="19"/>
      <c r="BR42" s="274"/>
      <c r="BS42" s="19"/>
      <c r="BT42" s="19">
        <f>SUM(BT43:BT45)</f>
        <v>70521584</v>
      </c>
      <c r="BU42" s="19"/>
      <c r="BV42" s="19"/>
      <c r="BW42" s="274"/>
      <c r="BX42" s="19"/>
      <c r="BY42" s="19">
        <f>SUM(BY43:BY45)</f>
        <v>0</v>
      </c>
      <c r="BZ42" s="19"/>
      <c r="CA42" s="19"/>
      <c r="CB42" s="274"/>
      <c r="CC42" s="19"/>
      <c r="CD42" s="19">
        <f>CD43+CD45</f>
        <v>0</v>
      </c>
      <c r="CE42" s="19"/>
      <c r="CF42" s="19"/>
      <c r="CG42" s="274"/>
      <c r="CH42" s="19"/>
      <c r="CI42" s="19">
        <f>SUM(CI43:CI45)</f>
        <v>0</v>
      </c>
      <c r="CJ42" s="19"/>
      <c r="CK42" s="19"/>
      <c r="CL42" s="274"/>
      <c r="CM42" s="19"/>
      <c r="CN42" s="19">
        <f>CN43+CN45</f>
        <v>0</v>
      </c>
      <c r="CO42" s="19"/>
      <c r="CP42" s="19"/>
      <c r="CQ42" s="274"/>
      <c r="CR42" s="19"/>
      <c r="CS42" s="19">
        <f>CS43+CS45</f>
        <v>0</v>
      </c>
      <c r="CT42" s="19"/>
      <c r="CU42" s="19"/>
      <c r="CV42" s="274"/>
      <c r="CW42" s="19"/>
      <c r="CX42" s="19">
        <f>CX43+CX45</f>
        <v>0</v>
      </c>
      <c r="CY42" s="19"/>
      <c r="CZ42" s="19"/>
      <c r="DA42" s="274"/>
      <c r="DB42" s="19"/>
      <c r="DC42" s="19">
        <f>DC43+DC45</f>
        <v>0</v>
      </c>
      <c r="DD42" s="19"/>
      <c r="DE42" s="19"/>
      <c r="DF42" s="274"/>
      <c r="DG42" s="19"/>
      <c r="DH42" s="19">
        <f>DH43+DH45</f>
        <v>0</v>
      </c>
      <c r="DI42" s="19"/>
      <c r="DJ42" s="19"/>
      <c r="DK42" s="274"/>
      <c r="DL42" s="19"/>
      <c r="DM42" s="19">
        <f>DM43+DM45</f>
        <v>0</v>
      </c>
      <c r="DN42" s="19"/>
      <c r="DO42" s="19"/>
      <c r="DP42" s="274"/>
      <c r="DQ42" s="19"/>
      <c r="DR42" s="19">
        <f>DR43+DR45</f>
        <v>0</v>
      </c>
      <c r="DS42" s="19"/>
      <c r="DT42" s="19"/>
      <c r="DU42" s="274"/>
      <c r="DV42" s="19"/>
      <c r="DW42" s="19">
        <f>DW43+DW45</f>
        <v>0</v>
      </c>
      <c r="DX42" s="19"/>
      <c r="DY42" s="19"/>
      <c r="DZ42" s="274"/>
      <c r="EA42" s="19"/>
      <c r="EB42" s="19">
        <f>EB43+EB45</f>
        <v>0</v>
      </c>
      <c r="EC42" s="19"/>
      <c r="ED42" s="19"/>
      <c r="EE42" s="274"/>
      <c r="EF42" s="19"/>
      <c r="EG42" s="19">
        <f>EG43+EG45</f>
        <v>0</v>
      </c>
      <c r="EH42" s="19"/>
      <c r="EI42" s="19"/>
      <c r="EJ42" s="274"/>
      <c r="EK42" s="19"/>
      <c r="EL42" s="19">
        <f>SUM(EL43:EL45)</f>
        <v>0</v>
      </c>
      <c r="EM42" s="19"/>
      <c r="EN42" s="19"/>
      <c r="EO42" s="244"/>
    </row>
    <row r="43" spans="4:145" ht="12.75" customHeight="1" x14ac:dyDescent="0.2">
      <c r="D43" s="244" t="s">
        <v>344</v>
      </c>
      <c r="E43" s="82"/>
      <c r="F43" s="112"/>
      <c r="G43" s="374">
        <v>0</v>
      </c>
      <c r="H43" s="475"/>
      <c r="I43" s="19"/>
      <c r="J43" s="274"/>
      <c r="K43" s="173"/>
      <c r="L43" s="374">
        <v>0</v>
      </c>
      <c r="M43" s="475"/>
      <c r="N43" s="19"/>
      <c r="O43" s="274"/>
      <c r="P43" s="173"/>
      <c r="Q43" s="374">
        <v>0</v>
      </c>
      <c r="R43" s="475"/>
      <c r="S43" s="19"/>
      <c r="T43" s="274"/>
      <c r="U43" s="173"/>
      <c r="V43" s="374">
        <v>0</v>
      </c>
      <c r="W43" s="475"/>
      <c r="X43" s="19"/>
      <c r="Y43" s="274"/>
      <c r="Z43" s="173"/>
      <c r="AA43" s="374">
        <v>70521584</v>
      </c>
      <c r="AB43" s="475"/>
      <c r="AC43" s="19"/>
      <c r="AD43" s="274"/>
      <c r="AE43" s="173"/>
      <c r="AF43" s="374">
        <v>0</v>
      </c>
      <c r="AG43" s="475"/>
      <c r="AH43" s="19"/>
      <c r="AI43" s="274"/>
      <c r="AJ43" s="173"/>
      <c r="AK43" s="374">
        <v>0</v>
      </c>
      <c r="AL43" s="475"/>
      <c r="AM43" s="19"/>
      <c r="AN43" s="274"/>
      <c r="AO43" s="173"/>
      <c r="AP43" s="374">
        <v>0</v>
      </c>
      <c r="AQ43" s="475"/>
      <c r="AR43" s="19"/>
      <c r="AS43" s="274"/>
      <c r="AT43" s="173"/>
      <c r="AU43" s="374">
        <v>0</v>
      </c>
      <c r="AV43" s="475"/>
      <c r="AW43" s="19"/>
      <c r="AX43" s="274"/>
      <c r="AY43" s="173"/>
      <c r="AZ43" s="374">
        <v>0</v>
      </c>
      <c r="BA43" s="475"/>
      <c r="BB43" s="19"/>
      <c r="BC43" s="274"/>
      <c r="BD43" s="173"/>
      <c r="BE43" s="374">
        <v>0</v>
      </c>
      <c r="BF43" s="475"/>
      <c r="BG43" s="19"/>
      <c r="BH43" s="274"/>
      <c r="BI43" s="173"/>
      <c r="BJ43" s="374">
        <v>0</v>
      </c>
      <c r="BK43" s="475"/>
      <c r="BL43" s="19"/>
      <c r="BM43" s="274"/>
      <c r="BN43" s="173"/>
      <c r="BO43" s="374">
        <v>0</v>
      </c>
      <c r="BP43" s="475"/>
      <c r="BQ43" s="19"/>
      <c r="BR43" s="274"/>
      <c r="BS43" s="173"/>
      <c r="BT43" s="374">
        <f>SUM(L43:BO43)</f>
        <v>70521584</v>
      </c>
      <c r="BU43" s="475"/>
      <c r="BV43" s="19"/>
      <c r="BW43" s="274"/>
      <c r="BX43" s="173"/>
      <c r="BY43" s="374">
        <v>0</v>
      </c>
      <c r="BZ43" s="475"/>
      <c r="CA43" s="19"/>
      <c r="CB43" s="274"/>
      <c r="CC43" s="173"/>
      <c r="CD43" s="374">
        <v>0</v>
      </c>
      <c r="CE43" s="475"/>
      <c r="CF43" s="19"/>
      <c r="CG43" s="274"/>
      <c r="CH43" s="173"/>
      <c r="CI43" s="374">
        <v>0</v>
      </c>
      <c r="CJ43" s="475"/>
      <c r="CK43" s="19"/>
      <c r="CL43" s="274"/>
      <c r="CM43" s="173"/>
      <c r="CN43" s="374">
        <v>0</v>
      </c>
      <c r="CO43" s="475"/>
      <c r="CP43" s="19"/>
      <c r="CQ43" s="274"/>
      <c r="CR43" s="173"/>
      <c r="CS43" s="374">
        <v>0</v>
      </c>
      <c r="CT43" s="475"/>
      <c r="CU43" s="19"/>
      <c r="CV43" s="274"/>
      <c r="CW43" s="173"/>
      <c r="CX43" s="374">
        <v>0</v>
      </c>
      <c r="CY43" s="475"/>
      <c r="CZ43" s="19"/>
      <c r="DA43" s="274"/>
      <c r="DB43" s="173"/>
      <c r="DC43" s="374">
        <v>0</v>
      </c>
      <c r="DD43" s="475"/>
      <c r="DE43" s="19"/>
      <c r="DF43" s="274"/>
      <c r="DG43" s="173"/>
      <c r="DH43" s="374">
        <v>0</v>
      </c>
      <c r="DI43" s="475"/>
      <c r="DJ43" s="19"/>
      <c r="DK43" s="274"/>
      <c r="DL43" s="173"/>
      <c r="DM43" s="374">
        <v>0</v>
      </c>
      <c r="DN43" s="475"/>
      <c r="DO43" s="19"/>
      <c r="DP43" s="274"/>
      <c r="DQ43" s="173"/>
      <c r="DR43" s="374">
        <v>0</v>
      </c>
      <c r="DS43" s="475"/>
      <c r="DT43" s="19"/>
      <c r="DU43" s="274"/>
      <c r="DV43" s="173"/>
      <c r="DW43" s="374">
        <v>0</v>
      </c>
      <c r="DX43" s="475"/>
      <c r="DY43" s="19"/>
      <c r="DZ43" s="274"/>
      <c r="EA43" s="173"/>
      <c r="EB43" s="374">
        <v>0</v>
      </c>
      <c r="EC43" s="475"/>
      <c r="ED43" s="19"/>
      <c r="EE43" s="274"/>
      <c r="EF43" s="173"/>
      <c r="EG43" s="374">
        <v>0</v>
      </c>
      <c r="EH43" s="475"/>
      <c r="EI43" s="19"/>
      <c r="EJ43" s="274"/>
      <c r="EK43" s="173"/>
      <c r="EL43" s="374">
        <f>SUM(CD43:EG43)</f>
        <v>0</v>
      </c>
      <c r="EM43" s="475"/>
      <c r="EN43" s="19"/>
      <c r="EO43" s="244"/>
    </row>
    <row r="44" spans="4:145" ht="12.75" customHeight="1" x14ac:dyDescent="0.2">
      <c r="D44" s="244" t="s">
        <v>346</v>
      </c>
      <c r="E44" s="82"/>
      <c r="F44" s="82"/>
      <c r="G44" s="19">
        <v>0</v>
      </c>
      <c r="H44" s="18"/>
      <c r="I44" s="19"/>
      <c r="J44" s="274"/>
      <c r="K44" s="274"/>
      <c r="L44" s="19">
        <v>0</v>
      </c>
      <c r="M44" s="18"/>
      <c r="N44" s="19"/>
      <c r="O44" s="274"/>
      <c r="P44" s="274"/>
      <c r="Q44" s="19">
        <v>0</v>
      </c>
      <c r="R44" s="18"/>
      <c r="S44" s="19"/>
      <c r="T44" s="274"/>
      <c r="U44" s="274"/>
      <c r="V44" s="19">
        <v>0</v>
      </c>
      <c r="W44" s="18"/>
      <c r="X44" s="19"/>
      <c r="Y44" s="274"/>
      <c r="Z44" s="274"/>
      <c r="AA44" s="19">
        <v>0</v>
      </c>
      <c r="AB44" s="18"/>
      <c r="AC44" s="19"/>
      <c r="AD44" s="274"/>
      <c r="AE44" s="274"/>
      <c r="AF44" s="19">
        <v>0</v>
      </c>
      <c r="AG44" s="18"/>
      <c r="AH44" s="19"/>
      <c r="AI44" s="274"/>
      <c r="AJ44" s="274"/>
      <c r="AK44" s="19">
        <v>0</v>
      </c>
      <c r="AL44" s="18"/>
      <c r="AM44" s="19"/>
      <c r="AN44" s="274"/>
      <c r="AO44" s="274"/>
      <c r="AP44" s="19">
        <v>0</v>
      </c>
      <c r="AQ44" s="18"/>
      <c r="AR44" s="19"/>
      <c r="AS44" s="274"/>
      <c r="AT44" s="274"/>
      <c r="AU44" s="19">
        <v>0</v>
      </c>
      <c r="AV44" s="18"/>
      <c r="AW44" s="19"/>
      <c r="AX44" s="274"/>
      <c r="AY44" s="274"/>
      <c r="AZ44" s="19">
        <v>0</v>
      </c>
      <c r="BA44" s="18"/>
      <c r="BB44" s="19"/>
      <c r="BC44" s="274"/>
      <c r="BD44" s="274"/>
      <c r="BE44" s="19">
        <v>0</v>
      </c>
      <c r="BF44" s="18"/>
      <c r="BG44" s="19"/>
      <c r="BH44" s="274"/>
      <c r="BI44" s="274"/>
      <c r="BJ44" s="19">
        <v>0</v>
      </c>
      <c r="BK44" s="18"/>
      <c r="BL44" s="19"/>
      <c r="BM44" s="274"/>
      <c r="BN44" s="274"/>
      <c r="BO44" s="19">
        <v>0</v>
      </c>
      <c r="BP44" s="18"/>
      <c r="BQ44" s="19"/>
      <c r="BR44" s="274"/>
      <c r="BS44" s="274"/>
      <c r="BT44" s="19">
        <f>SUM(L44:BO44)</f>
        <v>0</v>
      </c>
      <c r="BU44" s="18"/>
      <c r="BV44" s="19"/>
      <c r="BW44" s="274"/>
      <c r="BX44" s="274"/>
      <c r="BY44" s="19">
        <v>0</v>
      </c>
      <c r="BZ44" s="18"/>
      <c r="CA44" s="19"/>
      <c r="CB44" s="274"/>
      <c r="CC44" s="274"/>
      <c r="CD44" s="19">
        <v>0</v>
      </c>
      <c r="CE44" s="18"/>
      <c r="CF44" s="19"/>
      <c r="CG44" s="274"/>
      <c r="CH44" s="274"/>
      <c r="CI44" s="19">
        <v>0</v>
      </c>
      <c r="CJ44" s="18"/>
      <c r="CK44" s="19"/>
      <c r="CL44" s="274"/>
      <c r="CM44" s="274"/>
      <c r="CN44" s="19">
        <v>0</v>
      </c>
      <c r="CO44" s="18"/>
      <c r="CP44" s="19"/>
      <c r="CQ44" s="274"/>
      <c r="CR44" s="274"/>
      <c r="CS44" s="19">
        <v>0</v>
      </c>
      <c r="CT44" s="18"/>
      <c r="CU44" s="19"/>
      <c r="CV44" s="274"/>
      <c r="CW44" s="274"/>
      <c r="CX44" s="19">
        <v>0</v>
      </c>
      <c r="CY44" s="18"/>
      <c r="CZ44" s="19"/>
      <c r="DA44" s="274"/>
      <c r="DB44" s="274"/>
      <c r="DC44" s="19">
        <v>0</v>
      </c>
      <c r="DD44" s="18"/>
      <c r="DE44" s="19"/>
      <c r="DF44" s="274"/>
      <c r="DG44" s="274"/>
      <c r="DH44" s="19">
        <v>0</v>
      </c>
      <c r="DI44" s="18"/>
      <c r="DJ44" s="19"/>
      <c r="DK44" s="274"/>
      <c r="DL44" s="274"/>
      <c r="DM44" s="19">
        <v>0</v>
      </c>
      <c r="DN44" s="18"/>
      <c r="DO44" s="19"/>
      <c r="DP44" s="274"/>
      <c r="DQ44" s="274"/>
      <c r="DR44" s="19">
        <v>0</v>
      </c>
      <c r="DS44" s="18"/>
      <c r="DT44" s="19"/>
      <c r="DU44" s="274"/>
      <c r="DV44" s="274"/>
      <c r="DW44" s="19">
        <v>0</v>
      </c>
      <c r="DX44" s="18"/>
      <c r="DY44" s="19"/>
      <c r="DZ44" s="274"/>
      <c r="EA44" s="274"/>
      <c r="EB44" s="19">
        <v>0</v>
      </c>
      <c r="EC44" s="18"/>
      <c r="ED44" s="19"/>
      <c r="EE44" s="274"/>
      <c r="EF44" s="274"/>
      <c r="EG44" s="19">
        <v>0</v>
      </c>
      <c r="EH44" s="18"/>
      <c r="EI44" s="19"/>
      <c r="EJ44" s="274"/>
      <c r="EK44" s="274"/>
      <c r="EL44" s="19">
        <f>SUM(CD44:EG44)</f>
        <v>0</v>
      </c>
      <c r="EM44" s="18"/>
      <c r="EN44" s="19"/>
      <c r="EO44" s="244"/>
    </row>
    <row r="45" spans="4:145" ht="12.75" customHeight="1" x14ac:dyDescent="0.2">
      <c r="D45" s="244" t="s">
        <v>354</v>
      </c>
      <c r="E45" s="82"/>
      <c r="F45" s="276"/>
      <c r="G45" s="37">
        <v>0</v>
      </c>
      <c r="H45" s="36"/>
      <c r="I45" s="19"/>
      <c r="J45" s="274"/>
      <c r="K45" s="231"/>
      <c r="L45" s="37">
        <v>0</v>
      </c>
      <c r="M45" s="36"/>
      <c r="N45" s="19"/>
      <c r="O45" s="274"/>
      <c r="P45" s="231"/>
      <c r="Q45" s="37">
        <v>0</v>
      </c>
      <c r="R45" s="36"/>
      <c r="S45" s="19"/>
      <c r="T45" s="274"/>
      <c r="U45" s="231"/>
      <c r="V45" s="37">
        <v>0</v>
      </c>
      <c r="W45" s="36"/>
      <c r="X45" s="19"/>
      <c r="Y45" s="274"/>
      <c r="Z45" s="231"/>
      <c r="AA45" s="37">
        <v>0</v>
      </c>
      <c r="AB45" s="36"/>
      <c r="AC45" s="19"/>
      <c r="AD45" s="274"/>
      <c r="AE45" s="231"/>
      <c r="AF45" s="37">
        <v>0</v>
      </c>
      <c r="AG45" s="36"/>
      <c r="AH45" s="19"/>
      <c r="AI45" s="274"/>
      <c r="AJ45" s="231"/>
      <c r="AK45" s="37">
        <v>0</v>
      </c>
      <c r="AL45" s="36"/>
      <c r="AM45" s="19"/>
      <c r="AN45" s="274"/>
      <c r="AO45" s="231"/>
      <c r="AP45" s="37">
        <v>0</v>
      </c>
      <c r="AQ45" s="36"/>
      <c r="AR45" s="19"/>
      <c r="AS45" s="274"/>
      <c r="AT45" s="231"/>
      <c r="AU45" s="37">
        <v>0</v>
      </c>
      <c r="AV45" s="36"/>
      <c r="AW45" s="19"/>
      <c r="AX45" s="274"/>
      <c r="AY45" s="231"/>
      <c r="AZ45" s="37">
        <v>0</v>
      </c>
      <c r="BA45" s="36"/>
      <c r="BB45" s="19"/>
      <c r="BC45" s="274"/>
      <c r="BD45" s="231"/>
      <c r="BE45" s="37">
        <v>0</v>
      </c>
      <c r="BF45" s="36"/>
      <c r="BG45" s="19"/>
      <c r="BH45" s="274"/>
      <c r="BI45" s="231"/>
      <c r="BJ45" s="37">
        <v>0</v>
      </c>
      <c r="BK45" s="36"/>
      <c r="BL45" s="19"/>
      <c r="BM45" s="274"/>
      <c r="BN45" s="231"/>
      <c r="BO45" s="37">
        <v>0</v>
      </c>
      <c r="BP45" s="36"/>
      <c r="BQ45" s="19"/>
      <c r="BR45" s="274"/>
      <c r="BS45" s="231"/>
      <c r="BT45" s="37">
        <f>SUM(L45:BO45)</f>
        <v>0</v>
      </c>
      <c r="BU45" s="36"/>
      <c r="BV45" s="19"/>
      <c r="BW45" s="274"/>
      <c r="BX45" s="231"/>
      <c r="BY45" s="37">
        <v>0</v>
      </c>
      <c r="BZ45" s="36"/>
      <c r="CA45" s="19"/>
      <c r="CB45" s="274"/>
      <c r="CC45" s="231"/>
      <c r="CD45" s="37">
        <v>0</v>
      </c>
      <c r="CE45" s="36"/>
      <c r="CF45" s="19"/>
      <c r="CG45" s="274"/>
      <c r="CH45" s="231"/>
      <c r="CI45" s="37">
        <v>0</v>
      </c>
      <c r="CJ45" s="36"/>
      <c r="CK45" s="19"/>
      <c r="CL45" s="274"/>
      <c r="CM45" s="231"/>
      <c r="CN45" s="37">
        <v>0</v>
      </c>
      <c r="CO45" s="36"/>
      <c r="CP45" s="19"/>
      <c r="CQ45" s="274"/>
      <c r="CR45" s="231"/>
      <c r="CS45" s="37">
        <v>0</v>
      </c>
      <c r="CT45" s="36"/>
      <c r="CU45" s="19"/>
      <c r="CV45" s="274"/>
      <c r="CW45" s="231"/>
      <c r="CX45" s="37">
        <v>0</v>
      </c>
      <c r="CY45" s="36"/>
      <c r="CZ45" s="19"/>
      <c r="DA45" s="274"/>
      <c r="DB45" s="231"/>
      <c r="DC45" s="37">
        <v>0</v>
      </c>
      <c r="DD45" s="36"/>
      <c r="DE45" s="19"/>
      <c r="DF45" s="274"/>
      <c r="DG45" s="231"/>
      <c r="DH45" s="37">
        <v>0</v>
      </c>
      <c r="DI45" s="36"/>
      <c r="DJ45" s="19"/>
      <c r="DK45" s="274"/>
      <c r="DL45" s="231"/>
      <c r="DM45" s="37">
        <v>0</v>
      </c>
      <c r="DN45" s="36"/>
      <c r="DO45" s="19"/>
      <c r="DP45" s="274"/>
      <c r="DQ45" s="231"/>
      <c r="DR45" s="37">
        <v>0</v>
      </c>
      <c r="DS45" s="36"/>
      <c r="DT45" s="19"/>
      <c r="DU45" s="274"/>
      <c r="DV45" s="231"/>
      <c r="DW45" s="37">
        <v>0</v>
      </c>
      <c r="DX45" s="36"/>
      <c r="DY45" s="19"/>
      <c r="DZ45" s="274"/>
      <c r="EA45" s="231"/>
      <c r="EB45" s="37">
        <v>0</v>
      </c>
      <c r="EC45" s="36"/>
      <c r="ED45" s="19"/>
      <c r="EE45" s="274"/>
      <c r="EF45" s="231"/>
      <c r="EG45" s="37">
        <v>0</v>
      </c>
      <c r="EH45" s="36"/>
      <c r="EI45" s="19"/>
      <c r="EJ45" s="274"/>
      <c r="EK45" s="231"/>
      <c r="EL45" s="37">
        <f>SUM(CD45:EG45)</f>
        <v>0</v>
      </c>
      <c r="EM45" s="36"/>
      <c r="EN45" s="19"/>
      <c r="EO45" s="244"/>
    </row>
    <row r="46" spans="4:145" ht="12.75" customHeight="1" x14ac:dyDescent="0.2">
      <c r="D46" s="268"/>
      <c r="E46" s="222"/>
      <c r="F46" s="310"/>
      <c r="G46" s="19"/>
      <c r="H46" s="19"/>
      <c r="I46" s="19"/>
      <c r="J46" s="274"/>
      <c r="K46" s="19"/>
      <c r="L46" s="19"/>
      <c r="M46" s="19"/>
      <c r="N46" s="19"/>
      <c r="O46" s="274"/>
      <c r="P46" s="19"/>
      <c r="Q46" s="19"/>
      <c r="R46" s="19"/>
      <c r="S46" s="19"/>
      <c r="T46" s="274"/>
      <c r="U46" s="19"/>
      <c r="V46" s="19"/>
      <c r="W46" s="19"/>
      <c r="X46" s="19"/>
      <c r="Y46" s="274"/>
      <c r="Z46" s="19"/>
      <c r="AA46" s="19"/>
      <c r="AB46" s="19"/>
      <c r="AC46" s="19"/>
      <c r="AD46" s="274"/>
      <c r="AE46" s="19"/>
      <c r="AF46" s="19"/>
      <c r="AG46" s="19"/>
      <c r="AH46" s="19"/>
      <c r="AI46" s="274"/>
      <c r="AJ46" s="19"/>
      <c r="AK46" s="19"/>
      <c r="AL46" s="19"/>
      <c r="AM46" s="19"/>
      <c r="AN46" s="274"/>
      <c r="AO46" s="19"/>
      <c r="AP46" s="19"/>
      <c r="AQ46" s="19"/>
      <c r="AR46" s="19"/>
      <c r="AS46" s="274"/>
      <c r="AT46" s="19"/>
      <c r="AU46" s="19"/>
      <c r="AV46" s="19"/>
      <c r="AW46" s="19"/>
      <c r="AX46" s="274"/>
      <c r="AY46" s="19"/>
      <c r="AZ46" s="19"/>
      <c r="BA46" s="19"/>
      <c r="BB46" s="19"/>
      <c r="BC46" s="274"/>
      <c r="BD46" s="19"/>
      <c r="BE46" s="19"/>
      <c r="BF46" s="19"/>
      <c r="BG46" s="19"/>
      <c r="BH46" s="274"/>
      <c r="BI46" s="19"/>
      <c r="BJ46" s="19"/>
      <c r="BK46" s="19"/>
      <c r="BL46" s="19"/>
      <c r="BM46" s="274"/>
      <c r="BN46" s="19"/>
      <c r="BO46" s="19"/>
      <c r="BP46" s="19"/>
      <c r="BQ46" s="19"/>
      <c r="BR46" s="274"/>
      <c r="BS46" s="19"/>
      <c r="BT46" s="19"/>
      <c r="BU46" s="19"/>
      <c r="BV46" s="19"/>
      <c r="BW46" s="274"/>
      <c r="BX46" s="19"/>
      <c r="BY46" s="19"/>
      <c r="BZ46" s="19"/>
      <c r="CA46" s="19"/>
      <c r="CB46" s="274"/>
      <c r="CC46" s="19"/>
      <c r="CD46" s="19"/>
      <c r="CE46" s="19"/>
      <c r="CF46" s="19"/>
      <c r="CG46" s="274"/>
      <c r="CH46" s="19"/>
      <c r="CI46" s="19"/>
      <c r="CJ46" s="19"/>
      <c r="CK46" s="19"/>
      <c r="CL46" s="274"/>
      <c r="CM46" s="19"/>
      <c r="CN46" s="19"/>
      <c r="CO46" s="19"/>
      <c r="CP46" s="19"/>
      <c r="CQ46" s="274"/>
      <c r="CR46" s="19"/>
      <c r="CS46" s="19"/>
      <c r="CT46" s="19"/>
      <c r="CU46" s="19"/>
      <c r="CV46" s="274"/>
      <c r="CW46" s="19"/>
      <c r="CX46" s="19"/>
      <c r="CY46" s="19"/>
      <c r="CZ46" s="19"/>
      <c r="DA46" s="274"/>
      <c r="DB46" s="19"/>
      <c r="DC46" s="19"/>
      <c r="DD46" s="19"/>
      <c r="DE46" s="19"/>
      <c r="DF46" s="274"/>
      <c r="DG46" s="19"/>
      <c r="DH46" s="19"/>
      <c r="DI46" s="19"/>
      <c r="DJ46" s="19"/>
      <c r="DK46" s="274"/>
      <c r="DL46" s="19"/>
      <c r="DM46" s="19"/>
      <c r="DN46" s="19"/>
      <c r="DO46" s="19"/>
      <c r="DP46" s="274"/>
      <c r="DQ46" s="19"/>
      <c r="DR46" s="19"/>
      <c r="DS46" s="19"/>
      <c r="DT46" s="19"/>
      <c r="DU46" s="274"/>
      <c r="DV46" s="19"/>
      <c r="DW46" s="19"/>
      <c r="DX46" s="19"/>
      <c r="DY46" s="19"/>
      <c r="DZ46" s="274"/>
      <c r="EA46" s="19"/>
      <c r="EB46" s="19"/>
      <c r="EC46" s="19"/>
      <c r="ED46" s="19"/>
      <c r="EE46" s="274"/>
      <c r="EF46" s="19"/>
      <c r="EG46" s="19"/>
      <c r="EH46" s="19"/>
      <c r="EI46" s="19"/>
      <c r="EJ46" s="274"/>
      <c r="EK46" s="19"/>
      <c r="EL46" s="19"/>
      <c r="EM46" s="19"/>
      <c r="EN46" s="19"/>
      <c r="EO46" s="244"/>
    </row>
    <row r="47" spans="4:145" ht="12.75" hidden="1" customHeight="1" x14ac:dyDescent="0.2">
      <c r="D47" s="244" t="s">
        <v>451</v>
      </c>
      <c r="E47" s="82"/>
      <c r="G47" s="19">
        <v>0</v>
      </c>
      <c r="H47" s="19"/>
      <c r="I47" s="19"/>
      <c r="J47" s="274"/>
      <c r="K47" s="19"/>
      <c r="L47" s="19">
        <f>L48+L50</f>
        <v>0</v>
      </c>
      <c r="M47" s="19"/>
      <c r="N47" s="19"/>
      <c r="O47" s="274"/>
      <c r="P47" s="19"/>
      <c r="Q47" s="19">
        <f>Q48+Q50</f>
        <v>0</v>
      </c>
      <c r="R47" s="19"/>
      <c r="S47" s="19"/>
      <c r="T47" s="274"/>
      <c r="U47" s="19"/>
      <c r="V47" s="19">
        <f>V48+V50</f>
        <v>0</v>
      </c>
      <c r="W47" s="19"/>
      <c r="X47" s="19"/>
      <c r="Y47" s="274"/>
      <c r="Z47" s="19"/>
      <c r="AA47" s="19">
        <f>AA48+AA50</f>
        <v>0</v>
      </c>
      <c r="AB47" s="19"/>
      <c r="AC47" s="19"/>
      <c r="AD47" s="274"/>
      <c r="AE47" s="19"/>
      <c r="AF47" s="19">
        <f>AF48+AF50</f>
        <v>0</v>
      </c>
      <c r="AG47" s="19"/>
      <c r="AH47" s="19"/>
      <c r="AI47" s="274"/>
      <c r="AJ47" s="19"/>
      <c r="AK47" s="19">
        <f>AK48+AK50</f>
        <v>0</v>
      </c>
      <c r="AL47" s="19"/>
      <c r="AM47" s="19"/>
      <c r="AN47" s="274"/>
      <c r="AO47" s="19"/>
      <c r="AP47" s="19">
        <f>AP48+AP50</f>
        <v>0</v>
      </c>
      <c r="AQ47" s="19"/>
      <c r="AR47" s="19"/>
      <c r="AS47" s="274"/>
      <c r="AT47" s="19"/>
      <c r="AU47" s="19">
        <f>AU48+AU50</f>
        <v>0</v>
      </c>
      <c r="AV47" s="19"/>
      <c r="AW47" s="19"/>
      <c r="AX47" s="274"/>
      <c r="AY47" s="19"/>
      <c r="AZ47" s="19">
        <f>AZ48+AZ50</f>
        <v>0</v>
      </c>
      <c r="BA47" s="19"/>
      <c r="BB47" s="19"/>
      <c r="BC47" s="274"/>
      <c r="BD47" s="19"/>
      <c r="BE47" s="19">
        <f>BE48+BE50</f>
        <v>0</v>
      </c>
      <c r="BF47" s="19"/>
      <c r="BG47" s="19"/>
      <c r="BH47" s="274"/>
      <c r="BI47" s="19"/>
      <c r="BJ47" s="19">
        <f>BJ48+BJ50</f>
        <v>0</v>
      </c>
      <c r="BK47" s="19"/>
      <c r="BL47" s="19"/>
      <c r="BM47" s="274"/>
      <c r="BN47" s="19"/>
      <c r="BO47" s="19">
        <f>BO48+BO50</f>
        <v>0</v>
      </c>
      <c r="BP47" s="19"/>
      <c r="BQ47" s="19"/>
      <c r="BR47" s="274"/>
      <c r="BS47" s="19"/>
      <c r="BT47" s="19">
        <f>SUM(BT48:BT50)</f>
        <v>0</v>
      </c>
      <c r="BU47" s="19"/>
      <c r="BV47" s="19"/>
      <c r="BW47" s="274"/>
      <c r="BX47" s="19"/>
      <c r="BY47" s="19">
        <f>SUM(BY48:BY50)</f>
        <v>0</v>
      </c>
      <c r="BZ47" s="19"/>
      <c r="CA47" s="19"/>
      <c r="CB47" s="274"/>
      <c r="CC47" s="19"/>
      <c r="CD47" s="19">
        <f>CD48+CD50</f>
        <v>0</v>
      </c>
      <c r="CE47" s="19"/>
      <c r="CF47" s="19"/>
      <c r="CG47" s="274"/>
      <c r="CH47" s="19"/>
      <c r="CI47" s="19">
        <f>CI48+CI50</f>
        <v>0</v>
      </c>
      <c r="CJ47" s="19"/>
      <c r="CK47" s="19"/>
      <c r="CL47" s="274"/>
      <c r="CM47" s="19"/>
      <c r="CN47" s="19">
        <f>CN48+CN50</f>
        <v>0</v>
      </c>
      <c r="CO47" s="19"/>
      <c r="CP47" s="19"/>
      <c r="CQ47" s="274"/>
      <c r="CR47" s="19"/>
      <c r="CS47" s="19">
        <f>CS48+CS50</f>
        <v>0</v>
      </c>
      <c r="CT47" s="19"/>
      <c r="CU47" s="19"/>
      <c r="CV47" s="274"/>
      <c r="CW47" s="19"/>
      <c r="CX47" s="19">
        <f>CX48+CX50</f>
        <v>0</v>
      </c>
      <c r="CY47" s="19"/>
      <c r="CZ47" s="19"/>
      <c r="DA47" s="274"/>
      <c r="DB47" s="19"/>
      <c r="DC47" s="19">
        <f>DC48+DC50</f>
        <v>0</v>
      </c>
      <c r="DD47" s="19"/>
      <c r="DE47" s="19"/>
      <c r="DF47" s="274"/>
      <c r="DG47" s="19"/>
      <c r="DH47" s="19">
        <f>DH48+DH50</f>
        <v>0</v>
      </c>
      <c r="DI47" s="19"/>
      <c r="DJ47" s="19"/>
      <c r="DK47" s="274"/>
      <c r="DL47" s="19"/>
      <c r="DM47" s="19">
        <f>DM48+DM50</f>
        <v>0</v>
      </c>
      <c r="DN47" s="19"/>
      <c r="DO47" s="19"/>
      <c r="DP47" s="274"/>
      <c r="DQ47" s="19"/>
      <c r="DR47" s="19">
        <f>DR48+DR50</f>
        <v>0</v>
      </c>
      <c r="DS47" s="19"/>
      <c r="DT47" s="19"/>
      <c r="DU47" s="274"/>
      <c r="DV47" s="19"/>
      <c r="DW47" s="19">
        <f>DW48+DW50</f>
        <v>0</v>
      </c>
      <c r="DX47" s="19"/>
      <c r="DY47" s="19"/>
      <c r="DZ47" s="274"/>
      <c r="EA47" s="19"/>
      <c r="EB47" s="19">
        <f>EB48+EB50</f>
        <v>0</v>
      </c>
      <c r="EC47" s="19"/>
      <c r="ED47" s="19"/>
      <c r="EE47" s="274"/>
      <c r="EF47" s="19"/>
      <c r="EG47" s="19">
        <f>EG48+EG50</f>
        <v>0</v>
      </c>
      <c r="EH47" s="19"/>
      <c r="EI47" s="19"/>
      <c r="EJ47" s="274"/>
      <c r="EK47" s="19"/>
      <c r="EL47" s="19">
        <f>SUM(EL48:EL50)</f>
        <v>0</v>
      </c>
      <c r="EM47" s="19"/>
      <c r="EN47" s="19"/>
      <c r="EO47" s="244"/>
    </row>
    <row r="48" spans="4:145" ht="12.75" hidden="1" customHeight="1" x14ac:dyDescent="0.2">
      <c r="D48" s="244" t="s">
        <v>344</v>
      </c>
      <c r="E48" s="82"/>
      <c r="F48" s="112"/>
      <c r="G48" s="374">
        <v>0</v>
      </c>
      <c r="H48" s="475"/>
      <c r="I48" s="19"/>
      <c r="J48" s="274"/>
      <c r="K48" s="173"/>
      <c r="L48" s="374">
        <v>0</v>
      </c>
      <c r="M48" s="475"/>
      <c r="N48" s="19"/>
      <c r="O48" s="274"/>
      <c r="P48" s="173"/>
      <c r="Q48" s="374">
        <v>0</v>
      </c>
      <c r="R48" s="475"/>
      <c r="S48" s="19"/>
      <c r="T48" s="274"/>
      <c r="U48" s="173"/>
      <c r="V48" s="374">
        <v>0</v>
      </c>
      <c r="W48" s="475"/>
      <c r="X48" s="19"/>
      <c r="Y48" s="274"/>
      <c r="Z48" s="173"/>
      <c r="AA48" s="374">
        <v>0</v>
      </c>
      <c r="AB48" s="475"/>
      <c r="AC48" s="19"/>
      <c r="AD48" s="274"/>
      <c r="AE48" s="173"/>
      <c r="AF48" s="374">
        <v>0</v>
      </c>
      <c r="AG48" s="475"/>
      <c r="AH48" s="19"/>
      <c r="AI48" s="274"/>
      <c r="AJ48" s="173"/>
      <c r="AK48" s="374">
        <v>0</v>
      </c>
      <c r="AL48" s="475"/>
      <c r="AM48" s="19"/>
      <c r="AN48" s="274"/>
      <c r="AO48" s="173"/>
      <c r="AP48" s="374">
        <v>0</v>
      </c>
      <c r="AQ48" s="475"/>
      <c r="AR48" s="19"/>
      <c r="AS48" s="274"/>
      <c r="AT48" s="173"/>
      <c r="AU48" s="374">
        <v>0</v>
      </c>
      <c r="AV48" s="475"/>
      <c r="AW48" s="19"/>
      <c r="AX48" s="274"/>
      <c r="AY48" s="173"/>
      <c r="AZ48" s="374">
        <v>0</v>
      </c>
      <c r="BA48" s="475"/>
      <c r="BB48" s="19"/>
      <c r="BC48" s="274"/>
      <c r="BD48" s="173"/>
      <c r="BE48" s="374">
        <v>0</v>
      </c>
      <c r="BF48" s="475"/>
      <c r="BG48" s="19"/>
      <c r="BH48" s="274"/>
      <c r="BI48" s="173"/>
      <c r="BJ48" s="374">
        <v>0</v>
      </c>
      <c r="BK48" s="475"/>
      <c r="BL48" s="19"/>
      <c r="BM48" s="274"/>
      <c r="BN48" s="173"/>
      <c r="BO48" s="374">
        <v>0</v>
      </c>
      <c r="BP48" s="475"/>
      <c r="BQ48" s="19"/>
      <c r="BR48" s="274"/>
      <c r="BS48" s="173"/>
      <c r="BT48" s="374">
        <f>SUM(L48:BO48)</f>
        <v>0</v>
      </c>
      <c r="BU48" s="475"/>
      <c r="BV48" s="19"/>
      <c r="BW48" s="274"/>
      <c r="BX48" s="173"/>
      <c r="BY48" s="374">
        <f>SUM(Q48:BT48)</f>
        <v>0</v>
      </c>
      <c r="BZ48" s="475"/>
      <c r="CA48" s="19"/>
      <c r="CB48" s="274"/>
      <c r="CC48" s="173"/>
      <c r="CD48" s="374">
        <v>0</v>
      </c>
      <c r="CE48" s="475"/>
      <c r="CF48" s="19"/>
      <c r="CG48" s="274"/>
      <c r="CH48" s="173"/>
      <c r="CI48" s="374">
        <v>0</v>
      </c>
      <c r="CJ48" s="475"/>
      <c r="CK48" s="19"/>
      <c r="CL48" s="274"/>
      <c r="CM48" s="173"/>
      <c r="CN48" s="374">
        <v>0</v>
      </c>
      <c r="CO48" s="475"/>
      <c r="CP48" s="19"/>
      <c r="CQ48" s="274"/>
      <c r="CR48" s="173"/>
      <c r="CS48" s="374">
        <v>0</v>
      </c>
      <c r="CT48" s="475"/>
      <c r="CU48" s="19"/>
      <c r="CV48" s="274"/>
      <c r="CW48" s="173"/>
      <c r="CX48" s="374">
        <v>0</v>
      </c>
      <c r="CY48" s="475"/>
      <c r="CZ48" s="19"/>
      <c r="DA48" s="274"/>
      <c r="DB48" s="173"/>
      <c r="DC48" s="374">
        <v>0</v>
      </c>
      <c r="DD48" s="475"/>
      <c r="DE48" s="19"/>
      <c r="DF48" s="274"/>
      <c r="DG48" s="173"/>
      <c r="DH48" s="374">
        <v>0</v>
      </c>
      <c r="DI48" s="475"/>
      <c r="DJ48" s="19"/>
      <c r="DK48" s="274"/>
      <c r="DL48" s="173"/>
      <c r="DM48" s="374">
        <v>0</v>
      </c>
      <c r="DN48" s="475"/>
      <c r="DO48" s="19"/>
      <c r="DP48" s="274"/>
      <c r="DQ48" s="173"/>
      <c r="DR48" s="374">
        <v>0</v>
      </c>
      <c r="DS48" s="475"/>
      <c r="DT48" s="19"/>
      <c r="DU48" s="274"/>
      <c r="DV48" s="173"/>
      <c r="DW48" s="374">
        <v>0</v>
      </c>
      <c r="DX48" s="475"/>
      <c r="DY48" s="19"/>
      <c r="DZ48" s="274"/>
      <c r="EA48" s="173"/>
      <c r="EB48" s="374">
        <v>0</v>
      </c>
      <c r="EC48" s="475"/>
      <c r="ED48" s="19"/>
      <c r="EE48" s="274"/>
      <c r="EF48" s="173"/>
      <c r="EG48" s="374">
        <v>0</v>
      </c>
      <c r="EH48" s="475"/>
      <c r="EI48" s="19"/>
      <c r="EJ48" s="274"/>
      <c r="EK48" s="173"/>
      <c r="EL48" s="374">
        <f>SUM(CD48:EG48)</f>
        <v>0</v>
      </c>
      <c r="EM48" s="475"/>
      <c r="EN48" s="19"/>
      <c r="EO48" s="244"/>
    </row>
    <row r="49" spans="4:148" ht="12.75" hidden="1" customHeight="1" x14ac:dyDescent="0.2">
      <c r="D49" s="244" t="s">
        <v>346</v>
      </c>
      <c r="E49" s="82"/>
      <c r="F49" s="82"/>
      <c r="G49" s="19">
        <v>0</v>
      </c>
      <c r="H49" s="18"/>
      <c r="I49" s="19"/>
      <c r="J49" s="274"/>
      <c r="K49" s="274"/>
      <c r="L49" s="19">
        <v>0</v>
      </c>
      <c r="M49" s="18"/>
      <c r="N49" s="19"/>
      <c r="O49" s="274"/>
      <c r="P49" s="274"/>
      <c r="Q49" s="19">
        <v>0</v>
      </c>
      <c r="R49" s="18"/>
      <c r="S49" s="19"/>
      <c r="T49" s="274"/>
      <c r="U49" s="274"/>
      <c r="V49" s="19">
        <v>0</v>
      </c>
      <c r="W49" s="18"/>
      <c r="X49" s="19"/>
      <c r="Y49" s="274"/>
      <c r="Z49" s="274"/>
      <c r="AA49" s="19">
        <v>0</v>
      </c>
      <c r="AB49" s="18"/>
      <c r="AC49" s="19"/>
      <c r="AD49" s="274"/>
      <c r="AE49" s="274"/>
      <c r="AF49" s="19">
        <v>0</v>
      </c>
      <c r="AG49" s="18"/>
      <c r="AH49" s="19"/>
      <c r="AI49" s="274"/>
      <c r="AJ49" s="274"/>
      <c r="AK49" s="19">
        <v>0</v>
      </c>
      <c r="AL49" s="18"/>
      <c r="AM49" s="19"/>
      <c r="AN49" s="274"/>
      <c r="AO49" s="274"/>
      <c r="AP49" s="19">
        <v>0</v>
      </c>
      <c r="AQ49" s="18"/>
      <c r="AR49" s="19"/>
      <c r="AS49" s="274"/>
      <c r="AT49" s="274"/>
      <c r="AU49" s="19">
        <v>0</v>
      </c>
      <c r="AV49" s="18"/>
      <c r="AW49" s="19"/>
      <c r="AX49" s="274"/>
      <c r="AY49" s="274"/>
      <c r="AZ49" s="19">
        <v>0</v>
      </c>
      <c r="BA49" s="18"/>
      <c r="BB49" s="19"/>
      <c r="BC49" s="274"/>
      <c r="BD49" s="274"/>
      <c r="BE49" s="19">
        <v>0</v>
      </c>
      <c r="BF49" s="18"/>
      <c r="BG49" s="19"/>
      <c r="BH49" s="274"/>
      <c r="BI49" s="274"/>
      <c r="BJ49" s="19">
        <v>0</v>
      </c>
      <c r="BK49" s="18"/>
      <c r="BL49" s="19"/>
      <c r="BM49" s="274"/>
      <c r="BN49" s="274"/>
      <c r="BO49" s="19">
        <v>0</v>
      </c>
      <c r="BP49" s="18"/>
      <c r="BQ49" s="19"/>
      <c r="BR49" s="274"/>
      <c r="BS49" s="274"/>
      <c r="BT49" s="19">
        <f>SUM(L49:BO49)</f>
        <v>0</v>
      </c>
      <c r="BU49" s="18"/>
      <c r="BV49" s="19"/>
      <c r="BW49" s="274"/>
      <c r="BX49" s="274"/>
      <c r="BY49" s="19">
        <f>SUM(Q49:BT49)</f>
        <v>0</v>
      </c>
      <c r="BZ49" s="18"/>
      <c r="CA49" s="19"/>
      <c r="CB49" s="274"/>
      <c r="CC49" s="274"/>
      <c r="CD49" s="19">
        <v>0</v>
      </c>
      <c r="CE49" s="18"/>
      <c r="CF49" s="19"/>
      <c r="CG49" s="274"/>
      <c r="CH49" s="274"/>
      <c r="CI49" s="19">
        <v>0</v>
      </c>
      <c r="CJ49" s="18"/>
      <c r="CK49" s="19"/>
      <c r="CL49" s="274"/>
      <c r="CM49" s="274"/>
      <c r="CN49" s="19">
        <v>0</v>
      </c>
      <c r="CO49" s="18"/>
      <c r="CP49" s="19"/>
      <c r="CQ49" s="274"/>
      <c r="CR49" s="274"/>
      <c r="CS49" s="19">
        <v>0</v>
      </c>
      <c r="CT49" s="18"/>
      <c r="CU49" s="19"/>
      <c r="CV49" s="274"/>
      <c r="CW49" s="274"/>
      <c r="CX49" s="19">
        <v>0</v>
      </c>
      <c r="CY49" s="18"/>
      <c r="CZ49" s="19"/>
      <c r="DA49" s="274"/>
      <c r="DB49" s="274"/>
      <c r="DC49" s="19">
        <v>0</v>
      </c>
      <c r="DD49" s="18"/>
      <c r="DE49" s="19"/>
      <c r="DF49" s="274"/>
      <c r="DG49" s="274"/>
      <c r="DH49" s="19">
        <v>0</v>
      </c>
      <c r="DI49" s="18"/>
      <c r="DJ49" s="19"/>
      <c r="DK49" s="274"/>
      <c r="DL49" s="274"/>
      <c r="DM49" s="19">
        <v>0</v>
      </c>
      <c r="DN49" s="18"/>
      <c r="DO49" s="19"/>
      <c r="DP49" s="274"/>
      <c r="DQ49" s="274"/>
      <c r="DR49" s="19">
        <v>0</v>
      </c>
      <c r="DS49" s="18"/>
      <c r="DT49" s="19"/>
      <c r="DU49" s="274"/>
      <c r="DV49" s="274"/>
      <c r="DW49" s="19">
        <v>0</v>
      </c>
      <c r="DX49" s="18"/>
      <c r="DY49" s="19"/>
      <c r="DZ49" s="274"/>
      <c r="EA49" s="274"/>
      <c r="EB49" s="19">
        <v>0</v>
      </c>
      <c r="EC49" s="18"/>
      <c r="ED49" s="19"/>
      <c r="EE49" s="274"/>
      <c r="EF49" s="274"/>
      <c r="EG49" s="19">
        <v>0</v>
      </c>
      <c r="EH49" s="18"/>
      <c r="EI49" s="19"/>
      <c r="EJ49" s="274"/>
      <c r="EK49" s="274"/>
      <c r="EL49" s="19">
        <f>SUM(CD49:EG49)</f>
        <v>0</v>
      </c>
      <c r="EM49" s="18"/>
      <c r="EN49" s="19"/>
      <c r="EO49" s="244"/>
    </row>
    <row r="50" spans="4:148" ht="12.75" hidden="1" customHeight="1" x14ac:dyDescent="0.2">
      <c r="D50" s="244" t="s">
        <v>354</v>
      </c>
      <c r="E50" s="82"/>
      <c r="F50" s="276"/>
      <c r="G50" s="37">
        <v>0</v>
      </c>
      <c r="H50" s="36"/>
      <c r="I50" s="19"/>
      <c r="J50" s="274"/>
      <c r="K50" s="231"/>
      <c r="L50" s="37">
        <v>0</v>
      </c>
      <c r="M50" s="36"/>
      <c r="N50" s="19"/>
      <c r="O50" s="274"/>
      <c r="P50" s="231"/>
      <c r="Q50" s="37">
        <v>0</v>
      </c>
      <c r="R50" s="36"/>
      <c r="S50" s="19"/>
      <c r="T50" s="274"/>
      <c r="U50" s="231"/>
      <c r="V50" s="37">
        <v>0</v>
      </c>
      <c r="W50" s="36"/>
      <c r="X50" s="19"/>
      <c r="Y50" s="274"/>
      <c r="Z50" s="231"/>
      <c r="AA50" s="37">
        <v>0</v>
      </c>
      <c r="AB50" s="36"/>
      <c r="AC50" s="19"/>
      <c r="AD50" s="274"/>
      <c r="AE50" s="231"/>
      <c r="AF50" s="37">
        <v>0</v>
      </c>
      <c r="AG50" s="36"/>
      <c r="AH50" s="19"/>
      <c r="AI50" s="274"/>
      <c r="AJ50" s="231"/>
      <c r="AK50" s="37">
        <v>0</v>
      </c>
      <c r="AL50" s="36"/>
      <c r="AM50" s="19"/>
      <c r="AN50" s="274"/>
      <c r="AO50" s="231"/>
      <c r="AP50" s="37">
        <v>0</v>
      </c>
      <c r="AQ50" s="36"/>
      <c r="AR50" s="19"/>
      <c r="AS50" s="274"/>
      <c r="AT50" s="231"/>
      <c r="AU50" s="37">
        <v>0</v>
      </c>
      <c r="AV50" s="36"/>
      <c r="AW50" s="19"/>
      <c r="AX50" s="274"/>
      <c r="AY50" s="231"/>
      <c r="AZ50" s="37">
        <v>0</v>
      </c>
      <c r="BA50" s="36"/>
      <c r="BB50" s="19"/>
      <c r="BC50" s="274"/>
      <c r="BD50" s="231"/>
      <c r="BE50" s="37">
        <v>0</v>
      </c>
      <c r="BF50" s="36"/>
      <c r="BG50" s="19"/>
      <c r="BH50" s="274"/>
      <c r="BI50" s="231"/>
      <c r="BJ50" s="37">
        <v>0</v>
      </c>
      <c r="BK50" s="36"/>
      <c r="BL50" s="19"/>
      <c r="BM50" s="274"/>
      <c r="BN50" s="231"/>
      <c r="BO50" s="37">
        <v>0</v>
      </c>
      <c r="BP50" s="36"/>
      <c r="BQ50" s="19"/>
      <c r="BR50" s="274"/>
      <c r="BS50" s="231"/>
      <c r="BT50" s="37">
        <f>SUM(L50:BO50)</f>
        <v>0</v>
      </c>
      <c r="BU50" s="36"/>
      <c r="BV50" s="19"/>
      <c r="BW50" s="274"/>
      <c r="BX50" s="231"/>
      <c r="BY50" s="37">
        <f>SUM(Q50:BT50)</f>
        <v>0</v>
      </c>
      <c r="BZ50" s="36"/>
      <c r="CA50" s="19"/>
      <c r="CB50" s="274"/>
      <c r="CC50" s="231"/>
      <c r="CD50" s="37">
        <v>0</v>
      </c>
      <c r="CE50" s="36"/>
      <c r="CF50" s="19"/>
      <c r="CG50" s="274"/>
      <c r="CH50" s="231"/>
      <c r="CI50" s="37">
        <v>0</v>
      </c>
      <c r="CJ50" s="36"/>
      <c r="CK50" s="19"/>
      <c r="CL50" s="274"/>
      <c r="CM50" s="231"/>
      <c r="CN50" s="37">
        <v>0</v>
      </c>
      <c r="CO50" s="36"/>
      <c r="CP50" s="19"/>
      <c r="CQ50" s="274"/>
      <c r="CR50" s="231"/>
      <c r="CS50" s="37">
        <v>0</v>
      </c>
      <c r="CT50" s="36"/>
      <c r="CU50" s="19"/>
      <c r="CV50" s="274"/>
      <c r="CW50" s="231"/>
      <c r="CX50" s="37">
        <v>0</v>
      </c>
      <c r="CY50" s="36"/>
      <c r="CZ50" s="19"/>
      <c r="DA50" s="274"/>
      <c r="DB50" s="231"/>
      <c r="DC50" s="37">
        <v>0</v>
      </c>
      <c r="DD50" s="36"/>
      <c r="DE50" s="19"/>
      <c r="DF50" s="274"/>
      <c r="DG50" s="231"/>
      <c r="DH50" s="37">
        <v>0</v>
      </c>
      <c r="DI50" s="36"/>
      <c r="DJ50" s="19"/>
      <c r="DK50" s="274"/>
      <c r="DL50" s="231"/>
      <c r="DM50" s="37">
        <v>0</v>
      </c>
      <c r="DN50" s="36"/>
      <c r="DO50" s="19"/>
      <c r="DP50" s="274"/>
      <c r="DQ50" s="231"/>
      <c r="DR50" s="37">
        <v>0</v>
      </c>
      <c r="DS50" s="36"/>
      <c r="DT50" s="19"/>
      <c r="DU50" s="274"/>
      <c r="DV50" s="231"/>
      <c r="DW50" s="37">
        <v>0</v>
      </c>
      <c r="DX50" s="36"/>
      <c r="DY50" s="19"/>
      <c r="DZ50" s="274"/>
      <c r="EA50" s="231"/>
      <c r="EB50" s="37">
        <v>0</v>
      </c>
      <c r="EC50" s="36"/>
      <c r="ED50" s="19"/>
      <c r="EE50" s="274"/>
      <c r="EF50" s="231"/>
      <c r="EG50" s="37">
        <v>0</v>
      </c>
      <c r="EH50" s="36"/>
      <c r="EI50" s="19"/>
      <c r="EJ50" s="274"/>
      <c r="EK50" s="231"/>
      <c r="EL50" s="37">
        <f>SUM(CD50:EG50)</f>
        <v>0</v>
      </c>
      <c r="EM50" s="36"/>
      <c r="EN50" s="19"/>
      <c r="EO50" s="244"/>
    </row>
    <row r="51" spans="4:148" ht="12.75" hidden="1" customHeight="1" x14ac:dyDescent="0.2">
      <c r="D51" s="268"/>
      <c r="E51" s="222"/>
      <c r="F51" s="310"/>
      <c r="G51" s="19"/>
      <c r="H51" s="19"/>
      <c r="I51" s="19"/>
      <c r="J51" s="274"/>
      <c r="K51" s="19"/>
      <c r="L51" s="19"/>
      <c r="M51" s="19"/>
      <c r="N51" s="19"/>
      <c r="O51" s="274"/>
      <c r="P51" s="19"/>
      <c r="Q51" s="19"/>
      <c r="R51" s="19"/>
      <c r="S51" s="19"/>
      <c r="T51" s="274"/>
      <c r="U51" s="19"/>
      <c r="V51" s="19"/>
      <c r="W51" s="19"/>
      <c r="X51" s="19"/>
      <c r="Y51" s="274"/>
      <c r="Z51" s="19"/>
      <c r="AA51" s="19"/>
      <c r="AB51" s="19"/>
      <c r="AC51" s="19"/>
      <c r="AD51" s="274"/>
      <c r="AE51" s="19"/>
      <c r="AF51" s="19"/>
      <c r="AG51" s="19"/>
      <c r="AH51" s="19"/>
      <c r="AI51" s="274"/>
      <c r="AJ51" s="19"/>
      <c r="AK51" s="19"/>
      <c r="AL51" s="19"/>
      <c r="AM51" s="19"/>
      <c r="AN51" s="274"/>
      <c r="AO51" s="19"/>
      <c r="AP51" s="19"/>
      <c r="AQ51" s="19"/>
      <c r="AR51" s="19"/>
      <c r="AS51" s="274"/>
      <c r="AT51" s="19"/>
      <c r="AU51" s="19"/>
      <c r="AV51" s="19"/>
      <c r="AW51" s="19"/>
      <c r="AX51" s="274"/>
      <c r="AY51" s="19"/>
      <c r="AZ51" s="19"/>
      <c r="BA51" s="19"/>
      <c r="BB51" s="19"/>
      <c r="BC51" s="274"/>
      <c r="BD51" s="19"/>
      <c r="BE51" s="19"/>
      <c r="BF51" s="19"/>
      <c r="BG51" s="19"/>
      <c r="BH51" s="274"/>
      <c r="BI51" s="19"/>
      <c r="BJ51" s="19"/>
      <c r="BK51" s="19"/>
      <c r="BL51" s="19"/>
      <c r="BM51" s="274"/>
      <c r="BN51" s="19"/>
      <c r="BO51" s="19"/>
      <c r="BP51" s="19"/>
      <c r="BQ51" s="19"/>
      <c r="BR51" s="274"/>
      <c r="BS51" s="19"/>
      <c r="BT51" s="19"/>
      <c r="BU51" s="19"/>
      <c r="BV51" s="19"/>
      <c r="BW51" s="274"/>
      <c r="BX51" s="19"/>
      <c r="BY51" s="19"/>
      <c r="BZ51" s="19"/>
      <c r="CA51" s="19"/>
      <c r="CB51" s="274"/>
      <c r="CC51" s="19"/>
      <c r="CD51" s="19"/>
      <c r="CE51" s="19"/>
      <c r="CF51" s="19"/>
      <c r="CG51" s="274"/>
      <c r="CH51" s="19"/>
      <c r="CI51" s="19"/>
      <c r="CJ51" s="19"/>
      <c r="CK51" s="19"/>
      <c r="CL51" s="274"/>
      <c r="CM51" s="19"/>
      <c r="CN51" s="19"/>
      <c r="CO51" s="19"/>
      <c r="CP51" s="19"/>
      <c r="CQ51" s="274"/>
      <c r="CR51" s="19"/>
      <c r="CS51" s="19"/>
      <c r="CT51" s="19"/>
      <c r="CU51" s="19"/>
      <c r="CV51" s="274"/>
      <c r="CW51" s="19"/>
      <c r="CX51" s="19"/>
      <c r="CY51" s="19"/>
      <c r="CZ51" s="19"/>
      <c r="DA51" s="274"/>
      <c r="DB51" s="19"/>
      <c r="DC51" s="19"/>
      <c r="DD51" s="19"/>
      <c r="DE51" s="19"/>
      <c r="DF51" s="274"/>
      <c r="DG51" s="19"/>
      <c r="DH51" s="19"/>
      <c r="DI51" s="19"/>
      <c r="DJ51" s="19"/>
      <c r="DK51" s="274"/>
      <c r="DL51" s="19"/>
      <c r="DM51" s="19"/>
      <c r="DN51" s="19"/>
      <c r="DO51" s="19"/>
      <c r="DP51" s="274"/>
      <c r="DQ51" s="19"/>
      <c r="DR51" s="19"/>
      <c r="DS51" s="19"/>
      <c r="DT51" s="19"/>
      <c r="DU51" s="274"/>
      <c r="DV51" s="19"/>
      <c r="DW51" s="19"/>
      <c r="DX51" s="19"/>
      <c r="DY51" s="19"/>
      <c r="DZ51" s="274"/>
      <c r="EA51" s="19"/>
      <c r="EB51" s="19"/>
      <c r="EC51" s="19"/>
      <c r="ED51" s="19"/>
      <c r="EE51" s="274"/>
      <c r="EF51" s="19"/>
      <c r="EG51" s="19"/>
      <c r="EH51" s="19"/>
      <c r="EI51" s="19"/>
      <c r="EJ51" s="274"/>
      <c r="EK51" s="19"/>
      <c r="EL51" s="19"/>
      <c r="EM51" s="19"/>
      <c r="EN51" s="19"/>
      <c r="EO51" s="244"/>
    </row>
    <row r="52" spans="4:148" ht="12.75" hidden="1" customHeight="1" x14ac:dyDescent="0.2">
      <c r="D52" s="244" t="s">
        <v>452</v>
      </c>
      <c r="E52" s="82"/>
      <c r="G52" s="19">
        <v>0</v>
      </c>
      <c r="H52" s="19"/>
      <c r="I52" s="19"/>
      <c r="J52" s="274"/>
      <c r="K52" s="19"/>
      <c r="L52" s="19">
        <f>L53+L55</f>
        <v>0</v>
      </c>
      <c r="M52" s="19"/>
      <c r="N52" s="19"/>
      <c r="O52" s="274"/>
      <c r="P52" s="19"/>
      <c r="Q52" s="19">
        <f>Q53+Q55</f>
        <v>0</v>
      </c>
      <c r="R52" s="19"/>
      <c r="S52" s="19"/>
      <c r="T52" s="274"/>
      <c r="U52" s="19"/>
      <c r="V52" s="19">
        <f>V53+V55</f>
        <v>0</v>
      </c>
      <c r="W52" s="19"/>
      <c r="X52" s="19"/>
      <c r="Y52" s="274"/>
      <c r="Z52" s="19"/>
      <c r="AA52" s="19">
        <f>AA53+AA55</f>
        <v>0</v>
      </c>
      <c r="AB52" s="19"/>
      <c r="AC52" s="19"/>
      <c r="AD52" s="274"/>
      <c r="AE52" s="19"/>
      <c r="AF52" s="19">
        <f>AF53+AF55</f>
        <v>0</v>
      </c>
      <c r="AG52" s="19"/>
      <c r="AH52" s="19"/>
      <c r="AI52" s="274"/>
      <c r="AJ52" s="19"/>
      <c r="AK52" s="19">
        <f>AK53+AK55</f>
        <v>0</v>
      </c>
      <c r="AL52" s="19"/>
      <c r="AM52" s="19"/>
      <c r="AN52" s="274"/>
      <c r="AO52" s="19"/>
      <c r="AP52" s="19">
        <f>AP53+AP55</f>
        <v>0</v>
      </c>
      <c r="AQ52" s="19"/>
      <c r="AR52" s="19"/>
      <c r="AS52" s="274"/>
      <c r="AT52" s="19"/>
      <c r="AU52" s="19">
        <f>AU53+AU55</f>
        <v>0</v>
      </c>
      <c r="AV52" s="19"/>
      <c r="AW52" s="19"/>
      <c r="AX52" s="274"/>
      <c r="AY52" s="19"/>
      <c r="AZ52" s="19">
        <f>AZ53+AZ55</f>
        <v>0</v>
      </c>
      <c r="BA52" s="19"/>
      <c r="BB52" s="19"/>
      <c r="BC52" s="274"/>
      <c r="BD52" s="19"/>
      <c r="BE52" s="19">
        <f>BE53+BE55</f>
        <v>0</v>
      </c>
      <c r="BF52" s="19"/>
      <c r="BG52" s="19"/>
      <c r="BH52" s="274"/>
      <c r="BI52" s="19"/>
      <c r="BJ52" s="19">
        <f>BJ53+BJ55</f>
        <v>0</v>
      </c>
      <c r="BK52" s="19"/>
      <c r="BL52" s="19"/>
      <c r="BM52" s="274"/>
      <c r="BN52" s="19"/>
      <c r="BO52" s="19">
        <f>BO53+BO55</f>
        <v>0</v>
      </c>
      <c r="BP52" s="19"/>
      <c r="BQ52" s="19"/>
      <c r="BR52" s="274"/>
      <c r="BS52" s="19"/>
      <c r="BT52" s="19">
        <f>SUM(BT53:BT55)</f>
        <v>0</v>
      </c>
      <c r="BU52" s="19"/>
      <c r="BV52" s="19"/>
      <c r="BW52" s="274"/>
      <c r="BX52" s="19"/>
      <c r="BY52" s="19">
        <f>SUM(BY53:BY55)</f>
        <v>0</v>
      </c>
      <c r="BZ52" s="19"/>
      <c r="CA52" s="19"/>
      <c r="CB52" s="274"/>
      <c r="CC52" s="19"/>
      <c r="CD52" s="19">
        <f>CD53+CD55</f>
        <v>0</v>
      </c>
      <c r="CE52" s="19"/>
      <c r="CF52" s="19"/>
      <c r="CG52" s="274"/>
      <c r="CH52" s="19"/>
      <c r="CI52" s="19">
        <f>CI53+CI55</f>
        <v>0</v>
      </c>
      <c r="CJ52" s="19"/>
      <c r="CK52" s="19"/>
      <c r="CL52" s="274"/>
      <c r="CM52" s="19"/>
      <c r="CN52" s="19">
        <f>CN53+CN55</f>
        <v>0</v>
      </c>
      <c r="CO52" s="19"/>
      <c r="CP52" s="19"/>
      <c r="CQ52" s="274"/>
      <c r="CR52" s="19"/>
      <c r="CS52" s="19">
        <f>CS53+CS55</f>
        <v>0</v>
      </c>
      <c r="CT52" s="19"/>
      <c r="CU52" s="19"/>
      <c r="CV52" s="274"/>
      <c r="CW52" s="19"/>
      <c r="CX52" s="19">
        <f>CX53+CX55</f>
        <v>0</v>
      </c>
      <c r="CY52" s="19"/>
      <c r="CZ52" s="19"/>
      <c r="DA52" s="274"/>
      <c r="DB52" s="19"/>
      <c r="DC52" s="19">
        <f>DC53+DC55</f>
        <v>0</v>
      </c>
      <c r="DD52" s="19"/>
      <c r="DE52" s="19"/>
      <c r="DF52" s="274"/>
      <c r="DG52" s="19"/>
      <c r="DH52" s="19">
        <f>DH53+DH55</f>
        <v>0</v>
      </c>
      <c r="DI52" s="19"/>
      <c r="DJ52" s="19"/>
      <c r="DK52" s="274"/>
      <c r="DL52" s="19"/>
      <c r="DM52" s="19">
        <f>DM53+DM55</f>
        <v>0</v>
      </c>
      <c r="DN52" s="19"/>
      <c r="DO52" s="19"/>
      <c r="DP52" s="274"/>
      <c r="DQ52" s="19"/>
      <c r="DR52" s="19">
        <f>DR53+DR55</f>
        <v>0</v>
      </c>
      <c r="DS52" s="19"/>
      <c r="DT52" s="19"/>
      <c r="DU52" s="274"/>
      <c r="DV52" s="19"/>
      <c r="DW52" s="19">
        <f>DW53+DW55</f>
        <v>0</v>
      </c>
      <c r="DX52" s="19"/>
      <c r="DY52" s="19"/>
      <c r="DZ52" s="274"/>
      <c r="EA52" s="19"/>
      <c r="EB52" s="19">
        <f>EB53+EB55</f>
        <v>0</v>
      </c>
      <c r="EC52" s="19"/>
      <c r="ED52" s="19"/>
      <c r="EE52" s="274"/>
      <c r="EF52" s="19"/>
      <c r="EG52" s="19">
        <f>EG53+EG55</f>
        <v>0</v>
      </c>
      <c r="EH52" s="19"/>
      <c r="EI52" s="19"/>
      <c r="EJ52" s="274"/>
      <c r="EK52" s="19"/>
      <c r="EL52" s="19">
        <f>SUM(EL53:EL55)</f>
        <v>0</v>
      </c>
      <c r="EM52" s="19"/>
      <c r="EN52" s="19"/>
      <c r="EO52" s="244"/>
    </row>
    <row r="53" spans="4:148" ht="12.75" hidden="1" customHeight="1" x14ac:dyDescent="0.2">
      <c r="D53" s="244" t="s">
        <v>344</v>
      </c>
      <c r="E53" s="82"/>
      <c r="F53" s="112"/>
      <c r="G53" s="374">
        <v>0</v>
      </c>
      <c r="H53" s="475"/>
      <c r="I53" s="19"/>
      <c r="J53" s="274"/>
      <c r="K53" s="173"/>
      <c r="L53" s="374">
        <v>0</v>
      </c>
      <c r="M53" s="475"/>
      <c r="N53" s="19"/>
      <c r="O53" s="274"/>
      <c r="P53" s="173"/>
      <c r="Q53" s="374">
        <v>0</v>
      </c>
      <c r="R53" s="475"/>
      <c r="S53" s="19"/>
      <c r="T53" s="274"/>
      <c r="U53" s="173"/>
      <c r="V53" s="374">
        <v>0</v>
      </c>
      <c r="W53" s="475"/>
      <c r="X53" s="19"/>
      <c r="Y53" s="274"/>
      <c r="Z53" s="173"/>
      <c r="AA53" s="374">
        <v>0</v>
      </c>
      <c r="AB53" s="475"/>
      <c r="AC53" s="19"/>
      <c r="AD53" s="274"/>
      <c r="AE53" s="173"/>
      <c r="AF53" s="374">
        <v>0</v>
      </c>
      <c r="AG53" s="475"/>
      <c r="AH53" s="19"/>
      <c r="AI53" s="274"/>
      <c r="AJ53" s="173"/>
      <c r="AK53" s="374">
        <v>0</v>
      </c>
      <c r="AL53" s="475"/>
      <c r="AM53" s="19"/>
      <c r="AN53" s="274"/>
      <c r="AO53" s="173"/>
      <c r="AP53" s="374">
        <v>0</v>
      </c>
      <c r="AQ53" s="475"/>
      <c r="AR53" s="19"/>
      <c r="AS53" s="274"/>
      <c r="AT53" s="173"/>
      <c r="AU53" s="374">
        <v>0</v>
      </c>
      <c r="AV53" s="475"/>
      <c r="AW53" s="19"/>
      <c r="AX53" s="274"/>
      <c r="AY53" s="173"/>
      <c r="AZ53" s="374">
        <v>0</v>
      </c>
      <c r="BA53" s="475"/>
      <c r="BB53" s="19"/>
      <c r="BC53" s="274"/>
      <c r="BD53" s="173"/>
      <c r="BE53" s="374">
        <v>0</v>
      </c>
      <c r="BF53" s="475"/>
      <c r="BG53" s="19"/>
      <c r="BH53" s="274"/>
      <c r="BI53" s="173"/>
      <c r="BJ53" s="374">
        <v>0</v>
      </c>
      <c r="BK53" s="475"/>
      <c r="BL53" s="19"/>
      <c r="BM53" s="274"/>
      <c r="BN53" s="173"/>
      <c r="BO53" s="374">
        <v>0</v>
      </c>
      <c r="BP53" s="475"/>
      <c r="BQ53" s="19"/>
      <c r="BR53" s="274"/>
      <c r="BS53" s="173"/>
      <c r="BT53" s="374">
        <f>SUM(L53:BO53)</f>
        <v>0</v>
      </c>
      <c r="BU53" s="475"/>
      <c r="BV53" s="19"/>
      <c r="BW53" s="274"/>
      <c r="BX53" s="173"/>
      <c r="BY53" s="374">
        <f>SUM(Q53:BT53)</f>
        <v>0</v>
      </c>
      <c r="BZ53" s="475"/>
      <c r="CA53" s="19"/>
      <c r="CB53" s="274"/>
      <c r="CC53" s="173"/>
      <c r="CD53" s="374">
        <v>0</v>
      </c>
      <c r="CE53" s="475"/>
      <c r="CF53" s="19"/>
      <c r="CG53" s="274"/>
      <c r="CH53" s="173"/>
      <c r="CI53" s="374">
        <v>0</v>
      </c>
      <c r="CJ53" s="475"/>
      <c r="CK53" s="19"/>
      <c r="CL53" s="274"/>
      <c r="CM53" s="173"/>
      <c r="CN53" s="374">
        <v>0</v>
      </c>
      <c r="CO53" s="475"/>
      <c r="CP53" s="19"/>
      <c r="CQ53" s="274"/>
      <c r="CR53" s="173"/>
      <c r="CS53" s="374">
        <v>0</v>
      </c>
      <c r="CT53" s="475"/>
      <c r="CU53" s="19"/>
      <c r="CV53" s="274"/>
      <c r="CW53" s="173"/>
      <c r="CX53" s="374">
        <v>0</v>
      </c>
      <c r="CY53" s="475"/>
      <c r="CZ53" s="19"/>
      <c r="DA53" s="274"/>
      <c r="DB53" s="173"/>
      <c r="DC53" s="374">
        <v>0</v>
      </c>
      <c r="DD53" s="475"/>
      <c r="DE53" s="19"/>
      <c r="DF53" s="274"/>
      <c r="DG53" s="173"/>
      <c r="DH53" s="374">
        <v>0</v>
      </c>
      <c r="DI53" s="475"/>
      <c r="DJ53" s="19"/>
      <c r="DK53" s="274"/>
      <c r="DL53" s="173"/>
      <c r="DM53" s="374">
        <v>0</v>
      </c>
      <c r="DN53" s="475"/>
      <c r="DO53" s="19"/>
      <c r="DP53" s="274"/>
      <c r="DQ53" s="173"/>
      <c r="DR53" s="374">
        <v>0</v>
      </c>
      <c r="DS53" s="475"/>
      <c r="DT53" s="19"/>
      <c r="DU53" s="274"/>
      <c r="DV53" s="173"/>
      <c r="DW53" s="374">
        <v>0</v>
      </c>
      <c r="DX53" s="475"/>
      <c r="DY53" s="19"/>
      <c r="DZ53" s="274"/>
      <c r="EA53" s="173"/>
      <c r="EB53" s="374">
        <v>0</v>
      </c>
      <c r="EC53" s="475"/>
      <c r="ED53" s="19"/>
      <c r="EE53" s="274"/>
      <c r="EF53" s="173"/>
      <c r="EG53" s="374">
        <v>0</v>
      </c>
      <c r="EH53" s="475"/>
      <c r="EI53" s="19"/>
      <c r="EJ53" s="274"/>
      <c r="EK53" s="173"/>
      <c r="EL53" s="374">
        <f>SUM(CD53:EG53)</f>
        <v>0</v>
      </c>
      <c r="EM53" s="475"/>
      <c r="EN53" s="19"/>
      <c r="EO53" s="244"/>
    </row>
    <row r="54" spans="4:148" ht="12.75" hidden="1" customHeight="1" x14ac:dyDescent="0.2">
      <c r="D54" s="244" t="s">
        <v>346</v>
      </c>
      <c r="E54" s="82"/>
      <c r="F54" s="82"/>
      <c r="G54" s="19">
        <v>0</v>
      </c>
      <c r="H54" s="18"/>
      <c r="I54" s="19"/>
      <c r="J54" s="274"/>
      <c r="K54" s="274"/>
      <c r="L54" s="19">
        <v>0</v>
      </c>
      <c r="M54" s="18"/>
      <c r="N54" s="19"/>
      <c r="O54" s="274"/>
      <c r="P54" s="274"/>
      <c r="Q54" s="19">
        <v>0</v>
      </c>
      <c r="R54" s="18"/>
      <c r="S54" s="19"/>
      <c r="T54" s="274"/>
      <c r="U54" s="274"/>
      <c r="V54" s="19">
        <v>0</v>
      </c>
      <c r="W54" s="18"/>
      <c r="X54" s="19"/>
      <c r="Y54" s="274"/>
      <c r="Z54" s="274"/>
      <c r="AA54" s="19">
        <v>0</v>
      </c>
      <c r="AB54" s="18"/>
      <c r="AC54" s="19"/>
      <c r="AD54" s="274"/>
      <c r="AE54" s="274"/>
      <c r="AF54" s="19">
        <v>0</v>
      </c>
      <c r="AG54" s="18"/>
      <c r="AH54" s="19"/>
      <c r="AI54" s="274"/>
      <c r="AJ54" s="274"/>
      <c r="AK54" s="19">
        <v>0</v>
      </c>
      <c r="AL54" s="18"/>
      <c r="AM54" s="19"/>
      <c r="AN54" s="274"/>
      <c r="AO54" s="274"/>
      <c r="AP54" s="19">
        <v>0</v>
      </c>
      <c r="AQ54" s="18"/>
      <c r="AR54" s="19"/>
      <c r="AS54" s="274"/>
      <c r="AT54" s="274"/>
      <c r="AU54" s="19">
        <v>0</v>
      </c>
      <c r="AV54" s="18"/>
      <c r="AW54" s="19"/>
      <c r="AX54" s="274"/>
      <c r="AY54" s="274"/>
      <c r="AZ54" s="19">
        <v>0</v>
      </c>
      <c r="BA54" s="18"/>
      <c r="BB54" s="19"/>
      <c r="BC54" s="274"/>
      <c r="BD54" s="274"/>
      <c r="BE54" s="19">
        <v>0</v>
      </c>
      <c r="BF54" s="18"/>
      <c r="BG54" s="19"/>
      <c r="BH54" s="274"/>
      <c r="BI54" s="274"/>
      <c r="BJ54" s="19">
        <v>0</v>
      </c>
      <c r="BK54" s="18"/>
      <c r="BL54" s="19"/>
      <c r="BM54" s="274"/>
      <c r="BN54" s="274"/>
      <c r="BO54" s="19">
        <v>0</v>
      </c>
      <c r="BP54" s="18"/>
      <c r="BQ54" s="19"/>
      <c r="BR54" s="274"/>
      <c r="BS54" s="274"/>
      <c r="BT54" s="19">
        <f>SUM(L54:BO54)</f>
        <v>0</v>
      </c>
      <c r="BU54" s="18"/>
      <c r="BV54" s="19"/>
      <c r="BW54" s="274"/>
      <c r="BX54" s="274"/>
      <c r="BY54" s="19">
        <f>SUM(Q54:BT54)</f>
        <v>0</v>
      </c>
      <c r="BZ54" s="18"/>
      <c r="CA54" s="19"/>
      <c r="CB54" s="274"/>
      <c r="CC54" s="274"/>
      <c r="CD54" s="19">
        <v>0</v>
      </c>
      <c r="CE54" s="18"/>
      <c r="CF54" s="19"/>
      <c r="CG54" s="274"/>
      <c r="CH54" s="274"/>
      <c r="CI54" s="19">
        <v>0</v>
      </c>
      <c r="CJ54" s="18"/>
      <c r="CK54" s="19"/>
      <c r="CL54" s="274"/>
      <c r="CM54" s="274"/>
      <c r="CN54" s="19">
        <v>0</v>
      </c>
      <c r="CO54" s="18"/>
      <c r="CP54" s="19"/>
      <c r="CQ54" s="274"/>
      <c r="CR54" s="274"/>
      <c r="CS54" s="19">
        <v>0</v>
      </c>
      <c r="CT54" s="18"/>
      <c r="CU54" s="19"/>
      <c r="CV54" s="274"/>
      <c r="CW54" s="274"/>
      <c r="CX54" s="19">
        <v>0</v>
      </c>
      <c r="CY54" s="18"/>
      <c r="CZ54" s="19"/>
      <c r="DA54" s="274"/>
      <c r="DB54" s="274"/>
      <c r="DC54" s="19">
        <v>0</v>
      </c>
      <c r="DD54" s="18"/>
      <c r="DE54" s="19"/>
      <c r="DF54" s="274"/>
      <c r="DG54" s="274"/>
      <c r="DH54" s="19">
        <v>0</v>
      </c>
      <c r="DI54" s="18"/>
      <c r="DJ54" s="19"/>
      <c r="DK54" s="274"/>
      <c r="DL54" s="274"/>
      <c r="DM54" s="19">
        <v>0</v>
      </c>
      <c r="DN54" s="18"/>
      <c r="DO54" s="19"/>
      <c r="DP54" s="274"/>
      <c r="DQ54" s="274"/>
      <c r="DR54" s="19">
        <v>0</v>
      </c>
      <c r="DS54" s="18"/>
      <c r="DT54" s="19"/>
      <c r="DU54" s="274"/>
      <c r="DV54" s="274"/>
      <c r="DW54" s="19">
        <v>0</v>
      </c>
      <c r="DX54" s="18"/>
      <c r="DY54" s="19"/>
      <c r="DZ54" s="274"/>
      <c r="EA54" s="274"/>
      <c r="EB54" s="19">
        <v>0</v>
      </c>
      <c r="EC54" s="18"/>
      <c r="ED54" s="19"/>
      <c r="EE54" s="274"/>
      <c r="EF54" s="274"/>
      <c r="EG54" s="19">
        <v>0</v>
      </c>
      <c r="EH54" s="18"/>
      <c r="EI54" s="19"/>
      <c r="EJ54" s="274"/>
      <c r="EK54" s="274"/>
      <c r="EL54" s="19">
        <f>SUM(CD54:EG54)</f>
        <v>0</v>
      </c>
      <c r="EM54" s="18"/>
      <c r="EN54" s="19"/>
      <c r="EO54" s="244"/>
    </row>
    <row r="55" spans="4:148" ht="12.75" hidden="1" customHeight="1" x14ac:dyDescent="0.2">
      <c r="D55" s="244" t="s">
        <v>354</v>
      </c>
      <c r="E55" s="82"/>
      <c r="F55" s="276"/>
      <c r="G55" s="37">
        <v>0</v>
      </c>
      <c r="H55" s="36"/>
      <c r="I55" s="19"/>
      <c r="J55" s="274"/>
      <c r="K55" s="231"/>
      <c r="L55" s="37">
        <v>0</v>
      </c>
      <c r="M55" s="36"/>
      <c r="N55" s="19"/>
      <c r="O55" s="274"/>
      <c r="P55" s="231"/>
      <c r="Q55" s="37">
        <v>0</v>
      </c>
      <c r="R55" s="36"/>
      <c r="S55" s="19"/>
      <c r="T55" s="274"/>
      <c r="U55" s="231"/>
      <c r="V55" s="37">
        <v>0</v>
      </c>
      <c r="W55" s="36"/>
      <c r="X55" s="19"/>
      <c r="Y55" s="274"/>
      <c r="Z55" s="231"/>
      <c r="AA55" s="37">
        <v>0</v>
      </c>
      <c r="AB55" s="36"/>
      <c r="AC55" s="19"/>
      <c r="AD55" s="274"/>
      <c r="AE55" s="231"/>
      <c r="AF55" s="37">
        <v>0</v>
      </c>
      <c r="AG55" s="36"/>
      <c r="AH55" s="19"/>
      <c r="AI55" s="274"/>
      <c r="AJ55" s="231"/>
      <c r="AK55" s="37">
        <v>0</v>
      </c>
      <c r="AL55" s="36"/>
      <c r="AM55" s="19"/>
      <c r="AN55" s="274"/>
      <c r="AO55" s="231"/>
      <c r="AP55" s="37">
        <v>0</v>
      </c>
      <c r="AQ55" s="36"/>
      <c r="AR55" s="19"/>
      <c r="AS55" s="274"/>
      <c r="AT55" s="231"/>
      <c r="AU55" s="37">
        <v>0</v>
      </c>
      <c r="AV55" s="36"/>
      <c r="AW55" s="19"/>
      <c r="AX55" s="274"/>
      <c r="AY55" s="231"/>
      <c r="AZ55" s="37">
        <v>0</v>
      </c>
      <c r="BA55" s="36"/>
      <c r="BB55" s="19"/>
      <c r="BC55" s="274"/>
      <c r="BD55" s="231"/>
      <c r="BE55" s="37">
        <v>0</v>
      </c>
      <c r="BF55" s="36"/>
      <c r="BG55" s="19"/>
      <c r="BH55" s="274"/>
      <c r="BI55" s="231"/>
      <c r="BJ55" s="37">
        <v>0</v>
      </c>
      <c r="BK55" s="36"/>
      <c r="BL55" s="19"/>
      <c r="BM55" s="274"/>
      <c r="BN55" s="231"/>
      <c r="BO55" s="37">
        <v>0</v>
      </c>
      <c r="BP55" s="36"/>
      <c r="BQ55" s="19"/>
      <c r="BR55" s="274"/>
      <c r="BS55" s="231"/>
      <c r="BT55" s="37">
        <f>SUM(L55:BO55)</f>
        <v>0</v>
      </c>
      <c r="BU55" s="36"/>
      <c r="BV55" s="19"/>
      <c r="BW55" s="274"/>
      <c r="BX55" s="231"/>
      <c r="BY55" s="37">
        <f>SUM(Q55:BT55)</f>
        <v>0</v>
      </c>
      <c r="BZ55" s="36"/>
      <c r="CA55" s="19"/>
      <c r="CB55" s="274"/>
      <c r="CC55" s="231"/>
      <c r="CD55" s="37">
        <v>0</v>
      </c>
      <c r="CE55" s="36"/>
      <c r="CF55" s="19"/>
      <c r="CG55" s="274"/>
      <c r="CH55" s="231"/>
      <c r="CI55" s="37">
        <v>0</v>
      </c>
      <c r="CJ55" s="36"/>
      <c r="CK55" s="19"/>
      <c r="CL55" s="274"/>
      <c r="CM55" s="231"/>
      <c r="CN55" s="37">
        <v>0</v>
      </c>
      <c r="CO55" s="36"/>
      <c r="CP55" s="19"/>
      <c r="CQ55" s="274"/>
      <c r="CR55" s="231"/>
      <c r="CS55" s="37">
        <v>0</v>
      </c>
      <c r="CT55" s="36"/>
      <c r="CU55" s="19"/>
      <c r="CV55" s="274"/>
      <c r="CW55" s="231"/>
      <c r="CX55" s="37">
        <v>0</v>
      </c>
      <c r="CY55" s="36"/>
      <c r="CZ55" s="19"/>
      <c r="DA55" s="274"/>
      <c r="DB55" s="231"/>
      <c r="DC55" s="37">
        <v>0</v>
      </c>
      <c r="DD55" s="36"/>
      <c r="DE55" s="19"/>
      <c r="DF55" s="274"/>
      <c r="DG55" s="231"/>
      <c r="DH55" s="37">
        <v>0</v>
      </c>
      <c r="DI55" s="36"/>
      <c r="DJ55" s="19"/>
      <c r="DK55" s="274"/>
      <c r="DL55" s="231"/>
      <c r="DM55" s="37">
        <v>0</v>
      </c>
      <c r="DN55" s="36"/>
      <c r="DO55" s="19"/>
      <c r="DP55" s="274"/>
      <c r="DQ55" s="231"/>
      <c r="DR55" s="37">
        <v>0</v>
      </c>
      <c r="DS55" s="36"/>
      <c r="DT55" s="19"/>
      <c r="DU55" s="274"/>
      <c r="DV55" s="231"/>
      <c r="DW55" s="37">
        <v>0</v>
      </c>
      <c r="DX55" s="36"/>
      <c r="DY55" s="19"/>
      <c r="DZ55" s="274"/>
      <c r="EA55" s="231"/>
      <c r="EB55" s="37">
        <v>0</v>
      </c>
      <c r="EC55" s="36"/>
      <c r="ED55" s="19"/>
      <c r="EE55" s="274"/>
      <c r="EF55" s="231"/>
      <c r="EG55" s="37">
        <v>0</v>
      </c>
      <c r="EH55" s="36"/>
      <c r="EI55" s="19"/>
      <c r="EJ55" s="274"/>
      <c r="EK55" s="231"/>
      <c r="EL55" s="37">
        <f>SUM(CD55:EG55)</f>
        <v>0</v>
      </c>
      <c r="EM55" s="36"/>
      <c r="EN55" s="19"/>
      <c r="EO55" s="244"/>
    </row>
    <row r="56" spans="4:148" ht="12.75" hidden="1" customHeight="1" x14ac:dyDescent="0.2">
      <c r="D56" s="244"/>
      <c r="E56" s="82"/>
      <c r="G56" s="19"/>
      <c r="H56" s="19"/>
      <c r="I56" s="19"/>
      <c r="J56" s="274"/>
      <c r="K56" s="19"/>
      <c r="L56" s="19"/>
      <c r="M56" s="19"/>
      <c r="N56" s="19"/>
      <c r="O56" s="274"/>
      <c r="P56" s="19"/>
      <c r="Q56" s="19"/>
      <c r="R56" s="19"/>
      <c r="S56" s="19"/>
      <c r="T56" s="274"/>
      <c r="U56" s="19"/>
      <c r="V56" s="19"/>
      <c r="W56" s="19"/>
      <c r="X56" s="19"/>
      <c r="Y56" s="274"/>
      <c r="Z56" s="19"/>
      <c r="AA56" s="19"/>
      <c r="AB56" s="19"/>
      <c r="AC56" s="19"/>
      <c r="AD56" s="274"/>
      <c r="AE56" s="19"/>
      <c r="AF56" s="19"/>
      <c r="AG56" s="19"/>
      <c r="AH56" s="19"/>
      <c r="AI56" s="274"/>
      <c r="AJ56" s="19"/>
      <c r="AK56" s="19"/>
      <c r="AL56" s="19"/>
      <c r="AM56" s="19"/>
      <c r="AN56" s="274"/>
      <c r="AO56" s="19"/>
      <c r="AP56" s="19"/>
      <c r="AQ56" s="19"/>
      <c r="AR56" s="19"/>
      <c r="AS56" s="274"/>
      <c r="AT56" s="19"/>
      <c r="AU56" s="19"/>
      <c r="AV56" s="19"/>
      <c r="AW56" s="19"/>
      <c r="AX56" s="274"/>
      <c r="AY56" s="19"/>
      <c r="AZ56" s="19"/>
      <c r="BA56" s="19"/>
      <c r="BB56" s="19"/>
      <c r="BC56" s="274"/>
      <c r="BD56" s="19"/>
      <c r="BE56" s="19"/>
      <c r="BF56" s="19"/>
      <c r="BG56" s="19"/>
      <c r="BH56" s="274"/>
      <c r="BI56" s="19"/>
      <c r="BJ56" s="19"/>
      <c r="BK56" s="19"/>
      <c r="BL56" s="19"/>
      <c r="BM56" s="274"/>
      <c r="BN56" s="19"/>
      <c r="BO56" s="19"/>
      <c r="BP56" s="19"/>
      <c r="BQ56" s="19"/>
      <c r="BR56" s="274"/>
      <c r="BS56" s="19"/>
      <c r="BT56" s="19"/>
      <c r="BU56" s="19"/>
      <c r="BV56" s="19"/>
      <c r="BW56" s="274"/>
      <c r="BX56" s="19"/>
      <c r="BY56" s="19"/>
      <c r="BZ56" s="19"/>
      <c r="CA56" s="19"/>
      <c r="CB56" s="274"/>
      <c r="CC56" s="19"/>
      <c r="CD56" s="19"/>
      <c r="CE56" s="19"/>
      <c r="CF56" s="19"/>
      <c r="CG56" s="274"/>
      <c r="CH56" s="19"/>
      <c r="CI56" s="19"/>
      <c r="CJ56" s="19"/>
      <c r="CK56" s="19"/>
      <c r="CL56" s="274"/>
      <c r="CM56" s="19"/>
      <c r="CN56" s="19"/>
      <c r="CO56" s="19"/>
      <c r="CP56" s="19"/>
      <c r="CQ56" s="274"/>
      <c r="CR56" s="19"/>
      <c r="CS56" s="19"/>
      <c r="CT56" s="19"/>
      <c r="CU56" s="19"/>
      <c r="CV56" s="274"/>
      <c r="CW56" s="19"/>
      <c r="CX56" s="19"/>
      <c r="CY56" s="19"/>
      <c r="CZ56" s="19"/>
      <c r="DA56" s="274"/>
      <c r="DB56" s="19"/>
      <c r="DC56" s="19"/>
      <c r="DD56" s="19"/>
      <c r="DE56" s="19"/>
      <c r="DF56" s="274"/>
      <c r="DG56" s="19"/>
      <c r="DH56" s="19"/>
      <c r="DI56" s="19"/>
      <c r="DJ56" s="19"/>
      <c r="DK56" s="274"/>
      <c r="DL56" s="19"/>
      <c r="DM56" s="19"/>
      <c r="DN56" s="19"/>
      <c r="DO56" s="19"/>
      <c r="DP56" s="274"/>
      <c r="DQ56" s="19"/>
      <c r="DR56" s="19"/>
      <c r="DS56" s="19"/>
      <c r="DT56" s="19"/>
      <c r="DU56" s="274"/>
      <c r="DV56" s="19"/>
      <c r="DW56" s="19"/>
      <c r="DX56" s="19"/>
      <c r="DY56" s="19"/>
      <c r="DZ56" s="274"/>
      <c r="EA56" s="19"/>
      <c r="EB56" s="19"/>
      <c r="EC56" s="19"/>
      <c r="ED56" s="19"/>
      <c r="EE56" s="274"/>
      <c r="EF56" s="19"/>
      <c r="EG56" s="19"/>
      <c r="EH56" s="19"/>
      <c r="EI56" s="19"/>
      <c r="EJ56" s="274"/>
      <c r="EK56" s="19"/>
      <c r="EL56" s="19"/>
      <c r="EM56" s="19"/>
      <c r="EN56" s="19"/>
      <c r="EO56" s="244"/>
    </row>
    <row r="57" spans="4:148" ht="12.75" customHeight="1" x14ac:dyDescent="0.2">
      <c r="D57" s="244" t="s">
        <v>453</v>
      </c>
      <c r="E57" s="82"/>
      <c r="G57" s="19">
        <v>0</v>
      </c>
      <c r="H57" s="19"/>
      <c r="I57" s="19"/>
      <c r="J57" s="274"/>
      <c r="K57" s="19"/>
      <c r="L57" s="19">
        <f>SUM(L58:L60)</f>
        <v>0</v>
      </c>
      <c r="M57" s="19"/>
      <c r="N57" s="19"/>
      <c r="O57" s="274"/>
      <c r="P57" s="19"/>
      <c r="Q57" s="19">
        <f>SUM(Q58:Q60)</f>
        <v>0</v>
      </c>
      <c r="R57" s="19"/>
      <c r="S57" s="19"/>
      <c r="T57" s="274"/>
      <c r="U57" s="19"/>
      <c r="V57" s="19">
        <f>SUM(V58:V60)</f>
        <v>0</v>
      </c>
      <c r="W57" s="19"/>
      <c r="X57" s="19"/>
      <c r="Y57" s="274"/>
      <c r="Z57" s="19"/>
      <c r="AA57" s="19">
        <f>SUM(AA58:AA60)</f>
        <v>0</v>
      </c>
      <c r="AB57" s="19"/>
      <c r="AC57" s="19"/>
      <c r="AD57" s="274"/>
      <c r="AE57" s="19"/>
      <c r="AF57" s="19">
        <f>SUM(AF58:AF60)</f>
        <v>0</v>
      </c>
      <c r="AG57" s="19"/>
      <c r="AH57" s="19"/>
      <c r="AI57" s="274"/>
      <c r="AJ57" s="19"/>
      <c r="AK57" s="19">
        <f>SUM(AK58:AK60)</f>
        <v>0</v>
      </c>
      <c r="AL57" s="19"/>
      <c r="AM57" s="19"/>
      <c r="AN57" s="274"/>
      <c r="AO57" s="19"/>
      <c r="AP57" s="19">
        <f>SUM(AP58:AP60)</f>
        <v>5008164</v>
      </c>
      <c r="AQ57" s="19"/>
      <c r="AR57" s="19"/>
      <c r="AS57" s="274"/>
      <c r="AT57" s="19"/>
      <c r="AU57" s="19">
        <f>SUM(AU58:AU60)</f>
        <v>0</v>
      </c>
      <c r="AV57" s="19"/>
      <c r="AW57" s="19"/>
      <c r="AX57" s="274"/>
      <c r="AY57" s="19"/>
      <c r="AZ57" s="19">
        <f>SUM(AZ58:AZ60)</f>
        <v>0</v>
      </c>
      <c r="BA57" s="19"/>
      <c r="BB57" s="19"/>
      <c r="BC57" s="274"/>
      <c r="BD57" s="19"/>
      <c r="BE57" s="19">
        <f>SUM(BE58:BE60)</f>
        <v>0</v>
      </c>
      <c r="BF57" s="19"/>
      <c r="BG57" s="19"/>
      <c r="BH57" s="274"/>
      <c r="BI57" s="19"/>
      <c r="BJ57" s="19">
        <f>SUM(BJ58:BJ60)</f>
        <v>0</v>
      </c>
      <c r="BK57" s="19"/>
      <c r="BL57" s="19"/>
      <c r="BM57" s="274"/>
      <c r="BN57" s="19"/>
      <c r="BO57" s="19">
        <f>SUM(BO58:BO60)</f>
        <v>0</v>
      </c>
      <c r="BP57" s="19"/>
      <c r="BQ57" s="19"/>
      <c r="BR57" s="274"/>
      <c r="BS57" s="19"/>
      <c r="BT57" s="19">
        <f>SUM(BT58:BT60)</f>
        <v>5008164</v>
      </c>
      <c r="BU57" s="19"/>
      <c r="BV57" s="19"/>
      <c r="BW57" s="274"/>
      <c r="BX57" s="19"/>
      <c r="BY57" s="19">
        <f>SUM(BY58:BY60)</f>
        <v>0</v>
      </c>
      <c r="BZ57" s="19"/>
      <c r="CA57" s="19"/>
      <c r="CB57" s="274"/>
      <c r="CC57" s="19"/>
      <c r="CD57" s="19">
        <f>SUM(CD58:CD60)</f>
        <v>0</v>
      </c>
      <c r="CE57" s="19"/>
      <c r="CF57" s="19"/>
      <c r="CG57" s="274"/>
      <c r="CH57" s="19"/>
      <c r="CI57" s="19">
        <f>SUM(CI58:CI60)</f>
        <v>0</v>
      </c>
      <c r="CJ57" s="19"/>
      <c r="CK57" s="19"/>
      <c r="CL57" s="274"/>
      <c r="CM57" s="19"/>
      <c r="CN57" s="19">
        <f>SUM(CN58:CN60)</f>
        <v>0</v>
      </c>
      <c r="CO57" s="19"/>
      <c r="CP57" s="19"/>
      <c r="CQ57" s="274"/>
      <c r="CR57" s="19"/>
      <c r="CS57" s="19">
        <f>SUM(CS58:CS60)</f>
        <v>0</v>
      </c>
      <c r="CT57" s="19"/>
      <c r="CU57" s="19"/>
      <c r="CV57" s="274"/>
      <c r="CW57" s="19"/>
      <c r="CX57" s="19">
        <f>SUM(CX58:CX60)</f>
        <v>0</v>
      </c>
      <c r="CY57" s="19"/>
      <c r="CZ57" s="19"/>
      <c r="DA57" s="274"/>
      <c r="DB57" s="19"/>
      <c r="DC57" s="19">
        <f>SUM(DC58:DC60)</f>
        <v>0</v>
      </c>
      <c r="DD57" s="19"/>
      <c r="DE57" s="19"/>
      <c r="DF57" s="274"/>
      <c r="DG57" s="19"/>
      <c r="DH57" s="19">
        <f>SUM(DH58:DH60)</f>
        <v>0</v>
      </c>
      <c r="DI57" s="19"/>
      <c r="DJ57" s="19"/>
      <c r="DK57" s="274"/>
      <c r="DL57" s="19"/>
      <c r="DM57" s="19">
        <f>SUM(DM58:DM60)</f>
        <v>0</v>
      </c>
      <c r="DN57" s="19"/>
      <c r="DO57" s="19"/>
      <c r="DP57" s="274"/>
      <c r="DQ57" s="19"/>
      <c r="DR57" s="19">
        <f>SUM(DR58:DR60)</f>
        <v>0</v>
      </c>
      <c r="DS57" s="19"/>
      <c r="DT57" s="19"/>
      <c r="DU57" s="274"/>
      <c r="DV57" s="19"/>
      <c r="DW57" s="19">
        <f>SUM(DW58:DW60)</f>
        <v>0</v>
      </c>
      <c r="DX57" s="19"/>
      <c r="DY57" s="19"/>
      <c r="DZ57" s="274"/>
      <c r="EA57" s="19"/>
      <c r="EB57" s="19">
        <f>SUM(EB58:EB60)</f>
        <v>0</v>
      </c>
      <c r="EC57" s="19"/>
      <c r="ED57" s="19"/>
      <c r="EE57" s="274"/>
      <c r="EF57" s="19"/>
      <c r="EG57" s="19">
        <f>SUM(EG58:EG60)</f>
        <v>0</v>
      </c>
      <c r="EH57" s="19"/>
      <c r="EI57" s="19"/>
      <c r="EJ57" s="274"/>
      <c r="EK57" s="19"/>
      <c r="EL57" s="19">
        <f>SUM(EL58:EL60)</f>
        <v>0</v>
      </c>
      <c r="EM57" s="19"/>
      <c r="EN57" s="19"/>
      <c r="EO57" s="244"/>
    </row>
    <row r="58" spans="4:148" ht="12.75" customHeight="1" x14ac:dyDescent="0.2">
      <c r="D58" s="244" t="s">
        <v>344</v>
      </c>
      <c r="E58" s="82"/>
      <c r="F58" s="173"/>
      <c r="G58" s="374">
        <v>0</v>
      </c>
      <c r="H58" s="475"/>
      <c r="I58" s="19"/>
      <c r="J58" s="274"/>
      <c r="K58" s="173"/>
      <c r="L58" s="374">
        <v>0</v>
      </c>
      <c r="M58" s="475"/>
      <c r="N58" s="19"/>
      <c r="O58" s="274"/>
      <c r="P58" s="173"/>
      <c r="Q58" s="374">
        <v>0</v>
      </c>
      <c r="R58" s="475"/>
      <c r="S58" s="19"/>
      <c r="T58" s="274"/>
      <c r="U58" s="173"/>
      <c r="V58" s="374">
        <v>0</v>
      </c>
      <c r="W58" s="475"/>
      <c r="X58" s="19"/>
      <c r="Y58" s="274"/>
      <c r="Z58" s="173"/>
      <c r="AA58" s="374">
        <v>0</v>
      </c>
      <c r="AB58" s="475"/>
      <c r="AC58" s="19"/>
      <c r="AD58" s="274"/>
      <c r="AE58" s="173"/>
      <c r="AF58" s="374">
        <v>0</v>
      </c>
      <c r="AG58" s="475"/>
      <c r="AH58" s="19"/>
      <c r="AI58" s="274"/>
      <c r="AJ58" s="173"/>
      <c r="AK58" s="374">
        <v>0</v>
      </c>
      <c r="AL58" s="475"/>
      <c r="AM58" s="19"/>
      <c r="AN58" s="274"/>
      <c r="AO58" s="173"/>
      <c r="AP58" s="374">
        <v>5008164</v>
      </c>
      <c r="AQ58" s="475"/>
      <c r="AR58" s="19"/>
      <c r="AS58" s="274"/>
      <c r="AT58" s="173"/>
      <c r="AU58" s="374">
        <v>0</v>
      </c>
      <c r="AV58" s="475"/>
      <c r="AW58" s="19"/>
      <c r="AX58" s="274"/>
      <c r="AY58" s="173"/>
      <c r="AZ58" s="374">
        <v>0</v>
      </c>
      <c r="BA58" s="475"/>
      <c r="BB58" s="19"/>
      <c r="BC58" s="274"/>
      <c r="BD58" s="173"/>
      <c r="BE58" s="374">
        <v>0</v>
      </c>
      <c r="BF58" s="475"/>
      <c r="BG58" s="19"/>
      <c r="BH58" s="274"/>
      <c r="BI58" s="173"/>
      <c r="BJ58" s="374">
        <v>0</v>
      </c>
      <c r="BK58" s="475"/>
      <c r="BL58" s="19"/>
      <c r="BM58" s="274"/>
      <c r="BN58" s="173"/>
      <c r="BO58" s="374">
        <v>0</v>
      </c>
      <c r="BP58" s="475"/>
      <c r="BQ58" s="19"/>
      <c r="BR58" s="274"/>
      <c r="BS58" s="173"/>
      <c r="BT58" s="374">
        <f>SUM(L58:BO58)</f>
        <v>5008164</v>
      </c>
      <c r="BU58" s="475"/>
      <c r="BV58" s="19"/>
      <c r="BW58" s="274"/>
      <c r="BX58" s="173"/>
      <c r="BY58" s="374">
        <v>0</v>
      </c>
      <c r="BZ58" s="475"/>
      <c r="CA58" s="19"/>
      <c r="CB58" s="274"/>
      <c r="CC58" s="173"/>
      <c r="CD58" s="374">
        <v>0</v>
      </c>
      <c r="CE58" s="475"/>
      <c r="CF58" s="19"/>
      <c r="CG58" s="274"/>
      <c r="CH58" s="173"/>
      <c r="CI58" s="374">
        <v>0</v>
      </c>
      <c r="CJ58" s="475"/>
      <c r="CK58" s="19"/>
      <c r="CL58" s="274"/>
      <c r="CM58" s="173"/>
      <c r="CN58" s="374">
        <v>0</v>
      </c>
      <c r="CO58" s="475"/>
      <c r="CP58" s="19"/>
      <c r="CQ58" s="274"/>
      <c r="CR58" s="173"/>
      <c r="CS58" s="374">
        <v>0</v>
      </c>
      <c r="CT58" s="475"/>
      <c r="CU58" s="19"/>
      <c r="CV58" s="274"/>
      <c r="CW58" s="173"/>
      <c r="CX58" s="374">
        <v>0</v>
      </c>
      <c r="CY58" s="475"/>
      <c r="CZ58" s="19"/>
      <c r="DA58" s="274"/>
      <c r="DB58" s="173"/>
      <c r="DC58" s="374">
        <v>0</v>
      </c>
      <c r="DD58" s="475"/>
      <c r="DE58" s="19"/>
      <c r="DF58" s="274"/>
      <c r="DG58" s="173"/>
      <c r="DH58" s="374">
        <v>0</v>
      </c>
      <c r="DI58" s="475"/>
      <c r="DJ58" s="19"/>
      <c r="DK58" s="274"/>
      <c r="DL58" s="173"/>
      <c r="DM58" s="374">
        <v>0</v>
      </c>
      <c r="DN58" s="475"/>
      <c r="DO58" s="19"/>
      <c r="DP58" s="274"/>
      <c r="DQ58" s="173"/>
      <c r="DR58" s="374">
        <v>0</v>
      </c>
      <c r="DS58" s="475"/>
      <c r="DT58" s="19"/>
      <c r="DU58" s="274"/>
      <c r="DV58" s="173"/>
      <c r="DW58" s="374">
        <v>0</v>
      </c>
      <c r="DX58" s="475"/>
      <c r="DY58" s="19"/>
      <c r="DZ58" s="274"/>
      <c r="EA58" s="173"/>
      <c r="EB58" s="374">
        <v>0</v>
      </c>
      <c r="EC58" s="475"/>
      <c r="ED58" s="19"/>
      <c r="EE58" s="274"/>
      <c r="EF58" s="173"/>
      <c r="EG58" s="374">
        <v>0</v>
      </c>
      <c r="EH58" s="475"/>
      <c r="EI58" s="19"/>
      <c r="EJ58" s="274"/>
      <c r="EK58" s="173"/>
      <c r="EL58" s="374">
        <f>SUM(CD58:EG58)</f>
        <v>0</v>
      </c>
      <c r="EM58" s="475"/>
      <c r="EN58" s="19"/>
      <c r="EO58" s="244"/>
    </row>
    <row r="59" spans="4:148" ht="12.75" customHeight="1" x14ac:dyDescent="0.2">
      <c r="D59" s="244" t="s">
        <v>346</v>
      </c>
      <c r="E59" s="82"/>
      <c r="F59" s="274"/>
      <c r="G59" s="19">
        <v>0</v>
      </c>
      <c r="H59" s="18"/>
      <c r="I59" s="19"/>
      <c r="J59" s="274"/>
      <c r="K59" s="274"/>
      <c r="L59" s="19">
        <v>0</v>
      </c>
      <c r="M59" s="18"/>
      <c r="N59" s="19"/>
      <c r="O59" s="274"/>
      <c r="P59" s="274"/>
      <c r="Q59" s="19">
        <v>0</v>
      </c>
      <c r="R59" s="18"/>
      <c r="S59" s="19"/>
      <c r="T59" s="274"/>
      <c r="U59" s="274"/>
      <c r="V59" s="19">
        <v>0</v>
      </c>
      <c r="W59" s="18"/>
      <c r="X59" s="19"/>
      <c r="Y59" s="274"/>
      <c r="Z59" s="274"/>
      <c r="AA59" s="19">
        <v>0</v>
      </c>
      <c r="AB59" s="18"/>
      <c r="AC59" s="19"/>
      <c r="AD59" s="274"/>
      <c r="AE59" s="274"/>
      <c r="AF59" s="19">
        <v>0</v>
      </c>
      <c r="AG59" s="18"/>
      <c r="AH59" s="19"/>
      <c r="AI59" s="274"/>
      <c r="AJ59" s="274"/>
      <c r="AK59" s="19">
        <v>0</v>
      </c>
      <c r="AL59" s="18"/>
      <c r="AM59" s="19"/>
      <c r="AN59" s="274"/>
      <c r="AO59" s="274"/>
      <c r="AP59" s="19">
        <v>0</v>
      </c>
      <c r="AQ59" s="18"/>
      <c r="AR59" s="19"/>
      <c r="AS59" s="274"/>
      <c r="AT59" s="274"/>
      <c r="AU59" s="19">
        <v>0</v>
      </c>
      <c r="AV59" s="18"/>
      <c r="AW59" s="19"/>
      <c r="AX59" s="274"/>
      <c r="AY59" s="274"/>
      <c r="AZ59" s="19">
        <v>0</v>
      </c>
      <c r="BA59" s="18"/>
      <c r="BB59" s="19"/>
      <c r="BC59" s="274"/>
      <c r="BD59" s="274"/>
      <c r="BE59" s="19">
        <v>0</v>
      </c>
      <c r="BF59" s="18"/>
      <c r="BG59" s="19"/>
      <c r="BH59" s="274"/>
      <c r="BI59" s="274"/>
      <c r="BJ59" s="19">
        <v>0</v>
      </c>
      <c r="BK59" s="18"/>
      <c r="BL59" s="19"/>
      <c r="BM59" s="274"/>
      <c r="BN59" s="274"/>
      <c r="BO59" s="19">
        <v>0</v>
      </c>
      <c r="BP59" s="18"/>
      <c r="BQ59" s="19"/>
      <c r="BR59" s="274"/>
      <c r="BS59" s="274"/>
      <c r="BT59" s="19">
        <f>SUM(L59:BO59)</f>
        <v>0</v>
      </c>
      <c r="BU59" s="18"/>
      <c r="BV59" s="19"/>
      <c r="BW59" s="274"/>
      <c r="BX59" s="274"/>
      <c r="BY59" s="19">
        <f>SUM(Q59:BT59)</f>
        <v>0</v>
      </c>
      <c r="BZ59" s="18"/>
      <c r="CA59" s="19"/>
      <c r="CB59" s="274"/>
      <c r="CC59" s="274"/>
      <c r="CD59" s="19">
        <v>0</v>
      </c>
      <c r="CE59" s="18"/>
      <c r="CF59" s="19"/>
      <c r="CG59" s="274"/>
      <c r="CH59" s="274"/>
      <c r="CI59" s="19">
        <v>0</v>
      </c>
      <c r="CJ59" s="18"/>
      <c r="CK59" s="19"/>
      <c r="CL59" s="274"/>
      <c r="CM59" s="274"/>
      <c r="CN59" s="19">
        <v>0</v>
      </c>
      <c r="CO59" s="18"/>
      <c r="CP59" s="19"/>
      <c r="CQ59" s="274"/>
      <c r="CR59" s="274"/>
      <c r="CS59" s="19">
        <v>0</v>
      </c>
      <c r="CT59" s="18"/>
      <c r="CU59" s="19"/>
      <c r="CV59" s="274"/>
      <c r="CW59" s="274"/>
      <c r="CX59" s="19">
        <v>0</v>
      </c>
      <c r="CY59" s="18"/>
      <c r="CZ59" s="19"/>
      <c r="DA59" s="274"/>
      <c r="DB59" s="274"/>
      <c r="DC59" s="19">
        <v>0</v>
      </c>
      <c r="DD59" s="18"/>
      <c r="DE59" s="19"/>
      <c r="DF59" s="274"/>
      <c r="DG59" s="274"/>
      <c r="DH59" s="19">
        <v>0</v>
      </c>
      <c r="DI59" s="18"/>
      <c r="DJ59" s="19"/>
      <c r="DK59" s="274"/>
      <c r="DL59" s="274"/>
      <c r="DM59" s="19">
        <v>0</v>
      </c>
      <c r="DN59" s="18"/>
      <c r="DO59" s="19"/>
      <c r="DP59" s="274"/>
      <c r="DQ59" s="274"/>
      <c r="DR59" s="19">
        <v>0</v>
      </c>
      <c r="DS59" s="18"/>
      <c r="DT59" s="19"/>
      <c r="DU59" s="274"/>
      <c r="DV59" s="274"/>
      <c r="DW59" s="19">
        <v>0</v>
      </c>
      <c r="DX59" s="18"/>
      <c r="DY59" s="19"/>
      <c r="DZ59" s="274"/>
      <c r="EA59" s="274"/>
      <c r="EB59" s="19">
        <v>0</v>
      </c>
      <c r="EC59" s="18"/>
      <c r="ED59" s="19"/>
      <c r="EE59" s="274"/>
      <c r="EF59" s="274"/>
      <c r="EG59" s="19">
        <v>0</v>
      </c>
      <c r="EH59" s="18"/>
      <c r="EI59" s="19"/>
      <c r="EJ59" s="274"/>
      <c r="EK59" s="274"/>
      <c r="EL59" s="19">
        <f>SUM(CD59:EG59)</f>
        <v>0</v>
      </c>
      <c r="EM59" s="18"/>
      <c r="EN59" s="19"/>
      <c r="EO59" s="244"/>
    </row>
    <row r="60" spans="4:148" ht="12.75" customHeight="1" x14ac:dyDescent="0.2">
      <c r="D60" s="244" t="s">
        <v>354</v>
      </c>
      <c r="E60" s="82"/>
      <c r="F60" s="231"/>
      <c r="G60" s="37">
        <v>0</v>
      </c>
      <c r="H60" s="36"/>
      <c r="I60" s="19"/>
      <c r="J60" s="274"/>
      <c r="K60" s="231"/>
      <c r="L60" s="37">
        <v>0</v>
      </c>
      <c r="M60" s="36"/>
      <c r="N60" s="19"/>
      <c r="O60" s="274"/>
      <c r="P60" s="231"/>
      <c r="Q60" s="37">
        <v>0</v>
      </c>
      <c r="R60" s="36"/>
      <c r="S60" s="19"/>
      <c r="T60" s="274"/>
      <c r="U60" s="231"/>
      <c r="V60" s="37">
        <v>0</v>
      </c>
      <c r="W60" s="36"/>
      <c r="X60" s="19"/>
      <c r="Y60" s="274"/>
      <c r="Z60" s="231"/>
      <c r="AA60" s="37">
        <v>0</v>
      </c>
      <c r="AB60" s="36"/>
      <c r="AC60" s="19"/>
      <c r="AD60" s="274"/>
      <c r="AE60" s="231"/>
      <c r="AF60" s="37">
        <v>0</v>
      </c>
      <c r="AG60" s="36"/>
      <c r="AH60" s="19"/>
      <c r="AI60" s="274"/>
      <c r="AJ60" s="231"/>
      <c r="AK60" s="37">
        <v>0</v>
      </c>
      <c r="AL60" s="36"/>
      <c r="AM60" s="19"/>
      <c r="AN60" s="274"/>
      <c r="AO60" s="231"/>
      <c r="AP60" s="37">
        <v>0</v>
      </c>
      <c r="AQ60" s="36"/>
      <c r="AR60" s="19"/>
      <c r="AS60" s="274"/>
      <c r="AT60" s="231"/>
      <c r="AU60" s="37">
        <v>0</v>
      </c>
      <c r="AV60" s="36"/>
      <c r="AW60" s="19"/>
      <c r="AX60" s="274"/>
      <c r="AY60" s="231"/>
      <c r="AZ60" s="37">
        <v>0</v>
      </c>
      <c r="BA60" s="36"/>
      <c r="BB60" s="19"/>
      <c r="BC60" s="274"/>
      <c r="BD60" s="231"/>
      <c r="BE60" s="37">
        <v>0</v>
      </c>
      <c r="BF60" s="36"/>
      <c r="BG60" s="19"/>
      <c r="BH60" s="274"/>
      <c r="BI60" s="231"/>
      <c r="BJ60" s="37">
        <v>0</v>
      </c>
      <c r="BK60" s="36"/>
      <c r="BL60" s="19"/>
      <c r="BM60" s="274"/>
      <c r="BN60" s="231"/>
      <c r="BO60" s="37">
        <v>0</v>
      </c>
      <c r="BP60" s="36"/>
      <c r="BQ60" s="19"/>
      <c r="BR60" s="274"/>
      <c r="BS60" s="231"/>
      <c r="BT60" s="37">
        <f>SUM(L60:BO60)</f>
        <v>0</v>
      </c>
      <c r="BU60" s="36"/>
      <c r="BV60" s="19"/>
      <c r="BW60" s="274"/>
      <c r="BX60" s="231"/>
      <c r="BY60" s="37">
        <f>SUM(Q60:BT60)</f>
        <v>0</v>
      </c>
      <c r="BZ60" s="36"/>
      <c r="CA60" s="19"/>
      <c r="CB60" s="274"/>
      <c r="CC60" s="231"/>
      <c r="CD60" s="37">
        <v>0</v>
      </c>
      <c r="CE60" s="36"/>
      <c r="CF60" s="19"/>
      <c r="CG60" s="274"/>
      <c r="CH60" s="231"/>
      <c r="CI60" s="37">
        <v>0</v>
      </c>
      <c r="CJ60" s="36"/>
      <c r="CK60" s="19"/>
      <c r="CL60" s="274"/>
      <c r="CM60" s="231"/>
      <c r="CN60" s="37">
        <v>0</v>
      </c>
      <c r="CO60" s="36"/>
      <c r="CP60" s="19"/>
      <c r="CQ60" s="274"/>
      <c r="CR60" s="231"/>
      <c r="CS60" s="37">
        <v>0</v>
      </c>
      <c r="CT60" s="36"/>
      <c r="CU60" s="19"/>
      <c r="CV60" s="274"/>
      <c r="CW60" s="231"/>
      <c r="CX60" s="37">
        <v>0</v>
      </c>
      <c r="CY60" s="36"/>
      <c r="CZ60" s="19"/>
      <c r="DA60" s="274"/>
      <c r="DB60" s="231"/>
      <c r="DC60" s="37">
        <v>0</v>
      </c>
      <c r="DD60" s="36"/>
      <c r="DE60" s="19"/>
      <c r="DF60" s="274"/>
      <c r="DG60" s="231"/>
      <c r="DH60" s="37">
        <v>0</v>
      </c>
      <c r="DI60" s="36"/>
      <c r="DJ60" s="19"/>
      <c r="DK60" s="274"/>
      <c r="DL60" s="231"/>
      <c r="DM60" s="37">
        <v>0</v>
      </c>
      <c r="DN60" s="36"/>
      <c r="DO60" s="19"/>
      <c r="DP60" s="274"/>
      <c r="DQ60" s="231"/>
      <c r="DR60" s="37">
        <v>0</v>
      </c>
      <c r="DS60" s="36"/>
      <c r="DT60" s="19"/>
      <c r="DU60" s="274"/>
      <c r="DV60" s="231"/>
      <c r="DW60" s="37">
        <v>0</v>
      </c>
      <c r="DX60" s="36"/>
      <c r="DY60" s="19"/>
      <c r="DZ60" s="274"/>
      <c r="EA60" s="231"/>
      <c r="EB60" s="37">
        <v>0</v>
      </c>
      <c r="EC60" s="36"/>
      <c r="ED60" s="19"/>
      <c r="EE60" s="274"/>
      <c r="EF60" s="231"/>
      <c r="EG60" s="37">
        <v>0</v>
      </c>
      <c r="EH60" s="36"/>
      <c r="EI60" s="19"/>
      <c r="EJ60" s="274"/>
      <c r="EK60" s="231"/>
      <c r="EL60" s="37">
        <f>SUM(CD60:EG60)</f>
        <v>0</v>
      </c>
      <c r="EM60" s="36"/>
      <c r="EN60" s="19"/>
      <c r="EO60" s="244"/>
    </row>
    <row r="61" spans="4:148" ht="12.75" customHeight="1" x14ac:dyDescent="0.2">
      <c r="D61" s="244"/>
      <c r="E61" s="82"/>
      <c r="G61" s="19"/>
      <c r="H61" s="19"/>
      <c r="I61" s="19"/>
      <c r="J61" s="274"/>
      <c r="K61" s="19"/>
      <c r="L61" s="19"/>
      <c r="M61" s="19"/>
      <c r="N61" s="19"/>
      <c r="O61" s="274"/>
      <c r="P61" s="19"/>
      <c r="Q61" s="19"/>
      <c r="R61" s="19"/>
      <c r="S61" s="19"/>
      <c r="T61" s="274"/>
      <c r="U61" s="19"/>
      <c r="V61" s="19"/>
      <c r="W61" s="19"/>
      <c r="X61" s="19"/>
      <c r="Y61" s="274"/>
      <c r="Z61" s="19"/>
      <c r="AA61" s="19"/>
      <c r="AB61" s="19"/>
      <c r="AC61" s="19"/>
      <c r="AD61" s="274"/>
      <c r="AE61" s="19"/>
      <c r="AF61" s="19"/>
      <c r="AG61" s="19"/>
      <c r="AH61" s="19"/>
      <c r="AI61" s="274"/>
      <c r="AJ61" s="19"/>
      <c r="AK61" s="19"/>
      <c r="AL61" s="19"/>
      <c r="AM61" s="19"/>
      <c r="AN61" s="274"/>
      <c r="AO61" s="19"/>
      <c r="AP61" s="19"/>
      <c r="AQ61" s="19"/>
      <c r="AR61" s="19"/>
      <c r="AS61" s="274"/>
      <c r="AT61" s="19"/>
      <c r="AU61" s="19"/>
      <c r="AV61" s="19"/>
      <c r="AW61" s="19"/>
      <c r="AX61" s="274"/>
      <c r="AY61" s="19"/>
      <c r="AZ61" s="19"/>
      <c r="BA61" s="19"/>
      <c r="BB61" s="19"/>
      <c r="BC61" s="274"/>
      <c r="BD61" s="19"/>
      <c r="BE61" s="19"/>
      <c r="BF61" s="19"/>
      <c r="BG61" s="19"/>
      <c r="BH61" s="274"/>
      <c r="BI61" s="19"/>
      <c r="BJ61" s="19"/>
      <c r="BK61" s="19"/>
      <c r="BL61" s="19"/>
      <c r="BM61" s="274"/>
      <c r="BN61" s="19"/>
      <c r="BO61" s="19"/>
      <c r="BP61" s="19"/>
      <c r="BQ61" s="19"/>
      <c r="BR61" s="274"/>
      <c r="BS61" s="19"/>
      <c r="BT61" s="19"/>
      <c r="BU61" s="19"/>
      <c r="BV61" s="19"/>
      <c r="BW61" s="274"/>
      <c r="BX61" s="19"/>
      <c r="BY61" s="19"/>
      <c r="BZ61" s="19"/>
      <c r="CA61" s="19"/>
      <c r="CB61" s="274"/>
      <c r="CC61" s="19"/>
      <c r="CD61" s="19"/>
      <c r="CE61" s="19"/>
      <c r="CF61" s="19"/>
      <c r="CG61" s="274"/>
      <c r="CH61" s="19"/>
      <c r="CI61" s="19"/>
      <c r="CJ61" s="19"/>
      <c r="CK61" s="19"/>
      <c r="CL61" s="274"/>
      <c r="CM61" s="19"/>
      <c r="CN61" s="19"/>
      <c r="CO61" s="19"/>
      <c r="CP61" s="19"/>
      <c r="CQ61" s="274"/>
      <c r="CR61" s="19"/>
      <c r="CS61" s="19"/>
      <c r="CT61" s="19"/>
      <c r="CU61" s="19"/>
      <c r="CV61" s="274"/>
      <c r="CW61" s="19"/>
      <c r="CX61" s="19"/>
      <c r="CY61" s="19"/>
      <c r="CZ61" s="19"/>
      <c r="DA61" s="274"/>
      <c r="DB61" s="19"/>
      <c r="DC61" s="19"/>
      <c r="DD61" s="19"/>
      <c r="DE61" s="19"/>
      <c r="DF61" s="274"/>
      <c r="DG61" s="19"/>
      <c r="DH61" s="19"/>
      <c r="DI61" s="19"/>
      <c r="DJ61" s="19"/>
      <c r="DK61" s="274"/>
      <c r="DL61" s="19"/>
      <c r="DM61" s="19"/>
      <c r="DN61" s="19"/>
      <c r="DO61" s="19"/>
      <c r="DP61" s="274"/>
      <c r="DQ61" s="19"/>
      <c r="DR61" s="19"/>
      <c r="DS61" s="19"/>
      <c r="DT61" s="19"/>
      <c r="DU61" s="274"/>
      <c r="DV61" s="19"/>
      <c r="DW61" s="19"/>
      <c r="DX61" s="19"/>
      <c r="DY61" s="19"/>
      <c r="DZ61" s="274"/>
      <c r="EA61" s="19"/>
      <c r="EB61" s="19"/>
      <c r="EC61" s="19"/>
      <c r="ED61" s="19"/>
      <c r="EE61" s="274"/>
      <c r="EF61" s="19"/>
      <c r="EG61" s="19"/>
      <c r="EH61" s="19"/>
      <c r="EI61" s="19"/>
      <c r="EJ61" s="274"/>
      <c r="EK61" s="19"/>
      <c r="EL61" s="19"/>
      <c r="EM61" s="19"/>
      <c r="EN61" s="19"/>
      <c r="EO61" s="244"/>
    </row>
    <row r="62" spans="4:148" s="451" customFormat="1" ht="12.75" hidden="1" customHeight="1" x14ac:dyDescent="0.2">
      <c r="D62" s="484" t="s">
        <v>454</v>
      </c>
      <c r="E62" s="138"/>
      <c r="G62" s="14">
        <f>SUM(G63:G65)</f>
        <v>0</v>
      </c>
      <c r="H62" s="14"/>
      <c r="I62" s="14"/>
      <c r="J62" s="422"/>
      <c r="K62" s="14"/>
      <c r="L62" s="14">
        <f>SUM(L63:L65)</f>
        <v>0</v>
      </c>
      <c r="M62" s="14"/>
      <c r="N62" s="14"/>
      <c r="O62" s="422"/>
      <c r="P62" s="14"/>
      <c r="Q62" s="14">
        <f>SUM(Q63:Q65)</f>
        <v>0</v>
      </c>
      <c r="R62" s="14"/>
      <c r="S62" s="14"/>
      <c r="T62" s="422"/>
      <c r="U62" s="14"/>
      <c r="V62" s="14">
        <f>SUM(V63:V65)</f>
        <v>0</v>
      </c>
      <c r="W62" s="14"/>
      <c r="X62" s="14"/>
      <c r="Y62" s="422"/>
      <c r="Z62" s="14"/>
      <c r="AA62" s="14">
        <f>SUM(AA63:AA65)</f>
        <v>0</v>
      </c>
      <c r="AB62" s="14"/>
      <c r="AC62" s="14"/>
      <c r="AD62" s="422"/>
      <c r="AE62" s="14"/>
      <c r="AF62" s="14">
        <f>SUM(AF63:AF65)</f>
        <v>0</v>
      </c>
      <c r="AG62" s="14"/>
      <c r="AH62" s="14"/>
      <c r="AI62" s="422"/>
      <c r="AJ62" s="14"/>
      <c r="AK62" s="14">
        <f>SUM(AK63:AK65)</f>
        <v>0</v>
      </c>
      <c r="AL62" s="14"/>
      <c r="AM62" s="14"/>
      <c r="AN62" s="422"/>
      <c r="AO62" s="14"/>
      <c r="AP62" s="14">
        <f>SUM(AP63:AP65)</f>
        <v>0</v>
      </c>
      <c r="AQ62" s="14"/>
      <c r="AR62" s="14"/>
      <c r="AS62" s="422"/>
      <c r="AT62" s="14"/>
      <c r="AU62" s="14">
        <f>SUM(AU63:AU65)</f>
        <v>0</v>
      </c>
      <c r="AV62" s="14"/>
      <c r="AW62" s="14"/>
      <c r="AX62" s="422"/>
      <c r="AY62" s="14"/>
      <c r="AZ62" s="14">
        <f>SUM(AZ63:AZ65)</f>
        <v>0</v>
      </c>
      <c r="BA62" s="14"/>
      <c r="BB62" s="14"/>
      <c r="BC62" s="422"/>
      <c r="BD62" s="14"/>
      <c r="BE62" s="14">
        <f>SUM(BE63:BE65)</f>
        <v>0</v>
      </c>
      <c r="BF62" s="14"/>
      <c r="BG62" s="14"/>
      <c r="BH62" s="422"/>
      <c r="BI62" s="14"/>
      <c r="BJ62" s="14">
        <f>SUM(BJ63:BJ65)</f>
        <v>0</v>
      </c>
      <c r="BK62" s="14"/>
      <c r="BL62" s="14"/>
      <c r="BM62" s="422"/>
      <c r="BN62" s="14"/>
      <c r="BO62" s="14">
        <f>SUM(BO63:BO65)</f>
        <v>0</v>
      </c>
      <c r="BP62" s="14"/>
      <c r="BQ62" s="14"/>
      <c r="BR62" s="422"/>
      <c r="BS62" s="14"/>
      <c r="BT62" s="14">
        <f>SUM(BT63:BT65)</f>
        <v>0</v>
      </c>
      <c r="BU62" s="14"/>
      <c r="BV62" s="14"/>
      <c r="BW62" s="422"/>
      <c r="BX62" s="14"/>
      <c r="BY62" s="14">
        <f>SUM(BY63:BY65)</f>
        <v>0</v>
      </c>
      <c r="BZ62" s="14"/>
      <c r="CA62" s="14"/>
      <c r="CB62" s="422"/>
      <c r="CC62" s="14"/>
      <c r="CD62" s="14">
        <f>SUM(CD63:CD65)</f>
        <v>0</v>
      </c>
      <c r="CE62" s="14"/>
      <c r="CF62" s="14"/>
      <c r="CG62" s="422"/>
      <c r="CH62" s="14"/>
      <c r="CI62" s="14">
        <f>SUM(CI63:CI65)</f>
        <v>0</v>
      </c>
      <c r="CJ62" s="14"/>
      <c r="CK62" s="14"/>
      <c r="CL62" s="422"/>
      <c r="CM62" s="14"/>
      <c r="CN62" s="14">
        <f>SUM(CN63:CN65)</f>
        <v>0</v>
      </c>
      <c r="CO62" s="14"/>
      <c r="CP62" s="14"/>
      <c r="CQ62" s="422"/>
      <c r="CR62" s="14"/>
      <c r="CS62" s="14">
        <f>SUM(CS63:CS65)</f>
        <v>0</v>
      </c>
      <c r="CT62" s="14"/>
      <c r="CU62" s="14"/>
      <c r="CV62" s="422"/>
      <c r="CW62" s="14"/>
      <c r="CX62" s="14">
        <f>SUM(CX63:CX65)</f>
        <v>0</v>
      </c>
      <c r="CY62" s="14"/>
      <c r="CZ62" s="14"/>
      <c r="DA62" s="422"/>
      <c r="DB62" s="14"/>
      <c r="DC62" s="14">
        <f>SUM(DC63:DC65)</f>
        <v>0</v>
      </c>
      <c r="DD62" s="14"/>
      <c r="DE62" s="14"/>
      <c r="DF62" s="422"/>
      <c r="DG62" s="14"/>
      <c r="DH62" s="14">
        <f>SUM(DH63:DH65)</f>
        <v>0</v>
      </c>
      <c r="DI62" s="14"/>
      <c r="DJ62" s="14"/>
      <c r="DK62" s="422"/>
      <c r="DL62" s="14"/>
      <c r="DM62" s="14">
        <f>SUM(DM63:DM65)</f>
        <v>0</v>
      </c>
      <c r="DN62" s="14"/>
      <c r="DO62" s="14"/>
      <c r="DP62" s="422"/>
      <c r="DQ62" s="14"/>
      <c r="DR62" s="14">
        <f>SUM(DR63:DR65)</f>
        <v>0</v>
      </c>
      <c r="DS62" s="14"/>
      <c r="DT62" s="14"/>
      <c r="DU62" s="422"/>
      <c r="DV62" s="14"/>
      <c r="DW62" s="14">
        <f>SUM(DW63:DW65)</f>
        <v>0</v>
      </c>
      <c r="DX62" s="14"/>
      <c r="DY62" s="14"/>
      <c r="DZ62" s="422"/>
      <c r="EA62" s="14"/>
      <c r="EB62" s="14">
        <f>SUM(EB63:EB65)</f>
        <v>0</v>
      </c>
      <c r="EC62" s="14"/>
      <c r="ED62" s="14"/>
      <c r="EE62" s="422"/>
      <c r="EF62" s="14"/>
      <c r="EG62" s="14">
        <f>SUM(EG63:EG65)</f>
        <v>0</v>
      </c>
      <c r="EH62" s="14"/>
      <c r="EI62" s="14"/>
      <c r="EJ62" s="422"/>
      <c r="EK62" s="14"/>
      <c r="EL62" s="14">
        <f>SUM(EL63:EL65)</f>
        <v>0</v>
      </c>
      <c r="EM62" s="14"/>
      <c r="EN62" s="14"/>
      <c r="EO62" s="484"/>
      <c r="EQ62" s="12"/>
      <c r="ER62" s="12"/>
    </row>
    <row r="63" spans="4:148" ht="12.75" hidden="1" customHeight="1" x14ac:dyDescent="0.2">
      <c r="D63" s="244" t="s">
        <v>344</v>
      </c>
      <c r="E63" s="82"/>
      <c r="F63" s="112"/>
      <c r="G63" s="374">
        <v>0</v>
      </c>
      <c r="H63" s="475"/>
      <c r="I63" s="19"/>
      <c r="J63" s="274"/>
      <c r="K63" s="173"/>
      <c r="L63" s="374">
        <f>L68</f>
        <v>0</v>
      </c>
      <c r="M63" s="475"/>
      <c r="N63" s="19"/>
      <c r="O63" s="274"/>
      <c r="P63" s="173"/>
      <c r="Q63" s="374">
        <f>Q68</f>
        <v>0</v>
      </c>
      <c r="R63" s="475"/>
      <c r="S63" s="19"/>
      <c r="T63" s="274"/>
      <c r="U63" s="173"/>
      <c r="V63" s="374">
        <f>V68</f>
        <v>0</v>
      </c>
      <c r="W63" s="475"/>
      <c r="X63" s="19"/>
      <c r="Y63" s="274"/>
      <c r="Z63" s="173"/>
      <c r="AA63" s="374">
        <f>AA68</f>
        <v>0</v>
      </c>
      <c r="AB63" s="475"/>
      <c r="AC63" s="19"/>
      <c r="AD63" s="274"/>
      <c r="AE63" s="173"/>
      <c r="AF63" s="374">
        <f>AF68</f>
        <v>0</v>
      </c>
      <c r="AG63" s="475"/>
      <c r="AH63" s="19"/>
      <c r="AI63" s="274"/>
      <c r="AJ63" s="173"/>
      <c r="AK63" s="374">
        <f>AK68</f>
        <v>0</v>
      </c>
      <c r="AL63" s="475"/>
      <c r="AM63" s="19"/>
      <c r="AN63" s="274"/>
      <c r="AO63" s="173"/>
      <c r="AP63" s="374">
        <f>AP68</f>
        <v>0</v>
      </c>
      <c r="AQ63" s="475"/>
      <c r="AR63" s="19"/>
      <c r="AS63" s="274"/>
      <c r="AT63" s="173"/>
      <c r="AU63" s="374">
        <f>AU68</f>
        <v>0</v>
      </c>
      <c r="AV63" s="475"/>
      <c r="AW63" s="19"/>
      <c r="AX63" s="274"/>
      <c r="AY63" s="173"/>
      <c r="AZ63" s="374">
        <f>AZ68</f>
        <v>0</v>
      </c>
      <c r="BA63" s="475"/>
      <c r="BB63" s="19"/>
      <c r="BC63" s="274"/>
      <c r="BD63" s="173"/>
      <c r="BE63" s="374">
        <f>BE68</f>
        <v>0</v>
      </c>
      <c r="BF63" s="475"/>
      <c r="BG63" s="19"/>
      <c r="BH63" s="274"/>
      <c r="BI63" s="173"/>
      <c r="BJ63" s="374">
        <f>BJ68</f>
        <v>0</v>
      </c>
      <c r="BK63" s="475"/>
      <c r="BL63" s="19"/>
      <c r="BM63" s="274"/>
      <c r="BN63" s="173"/>
      <c r="BO63" s="374">
        <f>BO68</f>
        <v>0</v>
      </c>
      <c r="BP63" s="475"/>
      <c r="BQ63" s="19"/>
      <c r="BR63" s="274"/>
      <c r="BS63" s="173"/>
      <c r="BT63" s="374">
        <f>BT68</f>
        <v>0</v>
      </c>
      <c r="BU63" s="475"/>
      <c r="BV63" s="19"/>
      <c r="BW63" s="274"/>
      <c r="BX63" s="173"/>
      <c r="BY63" s="374">
        <f>BY68</f>
        <v>0</v>
      </c>
      <c r="BZ63" s="475"/>
      <c r="CA63" s="19"/>
      <c r="CB63" s="274"/>
      <c r="CC63" s="173"/>
      <c r="CD63" s="374">
        <f>CD68</f>
        <v>0</v>
      </c>
      <c r="CE63" s="475"/>
      <c r="CF63" s="19"/>
      <c r="CG63" s="274"/>
      <c r="CH63" s="173"/>
      <c r="CI63" s="374">
        <f>CI68</f>
        <v>0</v>
      </c>
      <c r="CJ63" s="475"/>
      <c r="CK63" s="19"/>
      <c r="CL63" s="274"/>
      <c r="CM63" s="173"/>
      <c r="CN63" s="374">
        <f>CN68</f>
        <v>0</v>
      </c>
      <c r="CO63" s="475"/>
      <c r="CP63" s="19"/>
      <c r="CQ63" s="274"/>
      <c r="CR63" s="173"/>
      <c r="CS63" s="374">
        <f>CS68</f>
        <v>0</v>
      </c>
      <c r="CT63" s="475"/>
      <c r="CU63" s="19"/>
      <c r="CV63" s="274"/>
      <c r="CW63" s="173"/>
      <c r="CX63" s="374">
        <f>CX68</f>
        <v>0</v>
      </c>
      <c r="CY63" s="475"/>
      <c r="CZ63" s="19"/>
      <c r="DA63" s="274"/>
      <c r="DB63" s="173"/>
      <c r="DC63" s="374">
        <f>DC68</f>
        <v>0</v>
      </c>
      <c r="DD63" s="475"/>
      <c r="DE63" s="19"/>
      <c r="DF63" s="274"/>
      <c r="DG63" s="173"/>
      <c r="DH63" s="374">
        <f>DH68</f>
        <v>0</v>
      </c>
      <c r="DI63" s="475"/>
      <c r="DJ63" s="19"/>
      <c r="DK63" s="274"/>
      <c r="DL63" s="173"/>
      <c r="DM63" s="374">
        <f>DM68</f>
        <v>0</v>
      </c>
      <c r="DN63" s="475"/>
      <c r="DO63" s="19"/>
      <c r="DP63" s="274"/>
      <c r="DQ63" s="173"/>
      <c r="DR63" s="374">
        <f>DR68</f>
        <v>0</v>
      </c>
      <c r="DS63" s="475"/>
      <c r="DT63" s="19"/>
      <c r="DU63" s="274"/>
      <c r="DV63" s="173"/>
      <c r="DW63" s="374">
        <f>DW68</f>
        <v>0</v>
      </c>
      <c r="DX63" s="475"/>
      <c r="DY63" s="19"/>
      <c r="DZ63" s="274"/>
      <c r="EA63" s="173"/>
      <c r="EB63" s="374">
        <f>EB68</f>
        <v>0</v>
      </c>
      <c r="EC63" s="475"/>
      <c r="ED63" s="19"/>
      <c r="EE63" s="274"/>
      <c r="EF63" s="173"/>
      <c r="EG63" s="374">
        <f>EG68</f>
        <v>0</v>
      </c>
      <c r="EH63" s="475"/>
      <c r="EI63" s="19"/>
      <c r="EJ63" s="274"/>
      <c r="EK63" s="173"/>
      <c r="EL63" s="374">
        <f>EL68</f>
        <v>0</v>
      </c>
      <c r="EM63" s="475"/>
      <c r="EN63" s="19"/>
      <c r="EO63" s="244"/>
    </row>
    <row r="64" spans="4:148" ht="12.75" hidden="1" customHeight="1" x14ac:dyDescent="0.2">
      <c r="D64" s="244" t="s">
        <v>346</v>
      </c>
      <c r="E64" s="82"/>
      <c r="F64" s="82"/>
      <c r="G64" s="19">
        <v>0</v>
      </c>
      <c r="H64" s="18"/>
      <c r="I64" s="19"/>
      <c r="J64" s="274"/>
      <c r="K64" s="274"/>
      <c r="L64" s="19">
        <f>L69</f>
        <v>0</v>
      </c>
      <c r="M64" s="18"/>
      <c r="N64" s="19"/>
      <c r="O64" s="274"/>
      <c r="P64" s="274"/>
      <c r="Q64" s="19">
        <f>Q69</f>
        <v>0</v>
      </c>
      <c r="R64" s="18"/>
      <c r="S64" s="19"/>
      <c r="T64" s="274"/>
      <c r="U64" s="274"/>
      <c r="V64" s="19">
        <f>V69</f>
        <v>0</v>
      </c>
      <c r="W64" s="18"/>
      <c r="X64" s="19"/>
      <c r="Y64" s="274"/>
      <c r="Z64" s="274"/>
      <c r="AA64" s="19">
        <f>AA69</f>
        <v>0</v>
      </c>
      <c r="AB64" s="18"/>
      <c r="AC64" s="19"/>
      <c r="AD64" s="274"/>
      <c r="AE64" s="274"/>
      <c r="AF64" s="19">
        <f>AF69</f>
        <v>0</v>
      </c>
      <c r="AG64" s="18"/>
      <c r="AH64" s="19"/>
      <c r="AI64" s="274"/>
      <c r="AJ64" s="274"/>
      <c r="AK64" s="19">
        <f>AK69</f>
        <v>0</v>
      </c>
      <c r="AL64" s="18"/>
      <c r="AM64" s="19"/>
      <c r="AN64" s="274"/>
      <c r="AO64" s="274"/>
      <c r="AP64" s="19">
        <f>AP69</f>
        <v>0</v>
      </c>
      <c r="AQ64" s="18"/>
      <c r="AR64" s="19"/>
      <c r="AS64" s="274"/>
      <c r="AT64" s="274"/>
      <c r="AU64" s="19">
        <f>AU69</f>
        <v>0</v>
      </c>
      <c r="AV64" s="18"/>
      <c r="AW64" s="19"/>
      <c r="AX64" s="274"/>
      <c r="AY64" s="274"/>
      <c r="AZ64" s="19">
        <f>AZ69</f>
        <v>0</v>
      </c>
      <c r="BA64" s="18"/>
      <c r="BB64" s="19"/>
      <c r="BC64" s="274"/>
      <c r="BD64" s="274"/>
      <c r="BE64" s="19">
        <f>BE69</f>
        <v>0</v>
      </c>
      <c r="BF64" s="18"/>
      <c r="BG64" s="19"/>
      <c r="BH64" s="274"/>
      <c r="BI64" s="274"/>
      <c r="BJ64" s="19">
        <f>BJ69</f>
        <v>0</v>
      </c>
      <c r="BK64" s="18"/>
      <c r="BL64" s="19"/>
      <c r="BM64" s="274"/>
      <c r="BN64" s="274"/>
      <c r="BO64" s="19">
        <f>BO69</f>
        <v>0</v>
      </c>
      <c r="BP64" s="18"/>
      <c r="BQ64" s="19"/>
      <c r="BR64" s="274"/>
      <c r="BS64" s="274"/>
      <c r="BT64" s="19">
        <f>BT69</f>
        <v>0</v>
      </c>
      <c r="BU64" s="18"/>
      <c r="BV64" s="19"/>
      <c r="BW64" s="274"/>
      <c r="BX64" s="274"/>
      <c r="BY64" s="19">
        <f>BY69</f>
        <v>0</v>
      </c>
      <c r="BZ64" s="18"/>
      <c r="CA64" s="19"/>
      <c r="CB64" s="274"/>
      <c r="CC64" s="274"/>
      <c r="CD64" s="19">
        <f>CD69</f>
        <v>0</v>
      </c>
      <c r="CE64" s="18"/>
      <c r="CF64" s="19"/>
      <c r="CG64" s="274"/>
      <c r="CH64" s="274"/>
      <c r="CI64" s="19">
        <f>CI69</f>
        <v>0</v>
      </c>
      <c r="CJ64" s="18"/>
      <c r="CK64" s="19"/>
      <c r="CL64" s="274"/>
      <c r="CM64" s="274"/>
      <c r="CN64" s="19">
        <f>CN69</f>
        <v>0</v>
      </c>
      <c r="CO64" s="18"/>
      <c r="CP64" s="19"/>
      <c r="CQ64" s="274"/>
      <c r="CR64" s="274"/>
      <c r="CS64" s="19">
        <f>CS69</f>
        <v>0</v>
      </c>
      <c r="CT64" s="18"/>
      <c r="CU64" s="19"/>
      <c r="CV64" s="274"/>
      <c r="CW64" s="274"/>
      <c r="CX64" s="19">
        <f>CX69</f>
        <v>0</v>
      </c>
      <c r="CY64" s="18"/>
      <c r="CZ64" s="19"/>
      <c r="DA64" s="274"/>
      <c r="DB64" s="274"/>
      <c r="DC64" s="19">
        <f>DC69</f>
        <v>0</v>
      </c>
      <c r="DD64" s="18"/>
      <c r="DE64" s="19"/>
      <c r="DF64" s="274"/>
      <c r="DG64" s="274"/>
      <c r="DH64" s="19">
        <f>DH69</f>
        <v>0</v>
      </c>
      <c r="DI64" s="18"/>
      <c r="DJ64" s="19"/>
      <c r="DK64" s="274"/>
      <c r="DL64" s="274"/>
      <c r="DM64" s="19">
        <f>DM69</f>
        <v>0</v>
      </c>
      <c r="DN64" s="18"/>
      <c r="DO64" s="19"/>
      <c r="DP64" s="274"/>
      <c r="DQ64" s="274"/>
      <c r="DR64" s="19">
        <f>DR69</f>
        <v>0</v>
      </c>
      <c r="DS64" s="18"/>
      <c r="DT64" s="19"/>
      <c r="DU64" s="274"/>
      <c r="DV64" s="274"/>
      <c r="DW64" s="19">
        <f>DW69</f>
        <v>0</v>
      </c>
      <c r="DX64" s="18"/>
      <c r="DY64" s="19"/>
      <c r="DZ64" s="274"/>
      <c r="EA64" s="274"/>
      <c r="EB64" s="19">
        <f>EB69</f>
        <v>0</v>
      </c>
      <c r="EC64" s="18"/>
      <c r="ED64" s="19"/>
      <c r="EE64" s="274"/>
      <c r="EF64" s="274"/>
      <c r="EG64" s="19">
        <f>EG69</f>
        <v>0</v>
      </c>
      <c r="EH64" s="18"/>
      <c r="EI64" s="19"/>
      <c r="EJ64" s="274"/>
      <c r="EK64" s="274"/>
      <c r="EL64" s="19">
        <f>EL69</f>
        <v>0</v>
      </c>
      <c r="EM64" s="18"/>
      <c r="EN64" s="19"/>
      <c r="EO64" s="244"/>
    </row>
    <row r="65" spans="4:148" ht="12.75" hidden="1" customHeight="1" x14ac:dyDescent="0.2">
      <c r="D65" s="244" t="s">
        <v>354</v>
      </c>
      <c r="E65" s="82"/>
      <c r="F65" s="276"/>
      <c r="G65" s="37">
        <v>0</v>
      </c>
      <c r="H65" s="36"/>
      <c r="I65" s="19"/>
      <c r="J65" s="274"/>
      <c r="K65" s="231"/>
      <c r="L65" s="37">
        <f>L70</f>
        <v>0</v>
      </c>
      <c r="M65" s="36"/>
      <c r="N65" s="19"/>
      <c r="O65" s="274"/>
      <c r="P65" s="231"/>
      <c r="Q65" s="37">
        <f>Q70</f>
        <v>0</v>
      </c>
      <c r="R65" s="36"/>
      <c r="S65" s="19"/>
      <c r="T65" s="274"/>
      <c r="U65" s="231"/>
      <c r="V65" s="37">
        <f>V70</f>
        <v>0</v>
      </c>
      <c r="W65" s="36"/>
      <c r="X65" s="19"/>
      <c r="Y65" s="274"/>
      <c r="Z65" s="231"/>
      <c r="AA65" s="37">
        <f>AA70</f>
        <v>0</v>
      </c>
      <c r="AB65" s="36"/>
      <c r="AC65" s="19"/>
      <c r="AD65" s="274"/>
      <c r="AE65" s="231"/>
      <c r="AF65" s="37">
        <f>AF70</f>
        <v>0</v>
      </c>
      <c r="AG65" s="36"/>
      <c r="AH65" s="19"/>
      <c r="AI65" s="274"/>
      <c r="AJ65" s="231"/>
      <c r="AK65" s="37">
        <f>AK70</f>
        <v>0</v>
      </c>
      <c r="AL65" s="36"/>
      <c r="AM65" s="19"/>
      <c r="AN65" s="274"/>
      <c r="AO65" s="231"/>
      <c r="AP65" s="37">
        <f>AP70</f>
        <v>0</v>
      </c>
      <c r="AQ65" s="36"/>
      <c r="AR65" s="19"/>
      <c r="AS65" s="274"/>
      <c r="AT65" s="231"/>
      <c r="AU65" s="37">
        <f>AU70</f>
        <v>0</v>
      </c>
      <c r="AV65" s="36"/>
      <c r="AW65" s="19"/>
      <c r="AX65" s="274"/>
      <c r="AY65" s="231"/>
      <c r="AZ65" s="37">
        <f>AZ70</f>
        <v>0</v>
      </c>
      <c r="BA65" s="36"/>
      <c r="BB65" s="19"/>
      <c r="BC65" s="274"/>
      <c r="BD65" s="231"/>
      <c r="BE65" s="37">
        <f>BE70</f>
        <v>0</v>
      </c>
      <c r="BF65" s="36"/>
      <c r="BG65" s="19"/>
      <c r="BH65" s="274"/>
      <c r="BI65" s="231"/>
      <c r="BJ65" s="37">
        <f>BJ70</f>
        <v>0</v>
      </c>
      <c r="BK65" s="36"/>
      <c r="BL65" s="19"/>
      <c r="BM65" s="274"/>
      <c r="BN65" s="231"/>
      <c r="BO65" s="37">
        <f>BO70</f>
        <v>0</v>
      </c>
      <c r="BP65" s="36"/>
      <c r="BQ65" s="19"/>
      <c r="BR65" s="274"/>
      <c r="BS65" s="231"/>
      <c r="BT65" s="37">
        <f>BT70</f>
        <v>0</v>
      </c>
      <c r="BU65" s="36"/>
      <c r="BV65" s="19"/>
      <c r="BW65" s="274"/>
      <c r="BX65" s="231"/>
      <c r="BY65" s="37">
        <f>BY70</f>
        <v>0</v>
      </c>
      <c r="BZ65" s="36"/>
      <c r="CA65" s="19"/>
      <c r="CB65" s="274"/>
      <c r="CC65" s="231"/>
      <c r="CD65" s="37">
        <f>CD70</f>
        <v>0</v>
      </c>
      <c r="CE65" s="36"/>
      <c r="CF65" s="19"/>
      <c r="CG65" s="274"/>
      <c r="CH65" s="231"/>
      <c r="CI65" s="37">
        <f>CI70</f>
        <v>0</v>
      </c>
      <c r="CJ65" s="36"/>
      <c r="CK65" s="19"/>
      <c r="CL65" s="274"/>
      <c r="CM65" s="231"/>
      <c r="CN65" s="37">
        <f>CN70</f>
        <v>0</v>
      </c>
      <c r="CO65" s="36"/>
      <c r="CP65" s="19"/>
      <c r="CQ65" s="274"/>
      <c r="CR65" s="231"/>
      <c r="CS65" s="37">
        <f>CS70</f>
        <v>0</v>
      </c>
      <c r="CT65" s="36"/>
      <c r="CU65" s="19"/>
      <c r="CV65" s="274"/>
      <c r="CW65" s="231"/>
      <c r="CX65" s="37">
        <f>CX70</f>
        <v>0</v>
      </c>
      <c r="CY65" s="36"/>
      <c r="CZ65" s="19"/>
      <c r="DA65" s="274"/>
      <c r="DB65" s="231"/>
      <c r="DC65" s="37">
        <f>DC70</f>
        <v>0</v>
      </c>
      <c r="DD65" s="36"/>
      <c r="DE65" s="19"/>
      <c r="DF65" s="274"/>
      <c r="DG65" s="231"/>
      <c r="DH65" s="37">
        <f>DH70</f>
        <v>0</v>
      </c>
      <c r="DI65" s="36"/>
      <c r="DJ65" s="19"/>
      <c r="DK65" s="274"/>
      <c r="DL65" s="231"/>
      <c r="DM65" s="37">
        <f>DM70</f>
        <v>0</v>
      </c>
      <c r="DN65" s="36"/>
      <c r="DO65" s="19"/>
      <c r="DP65" s="274"/>
      <c r="DQ65" s="231"/>
      <c r="DR65" s="37">
        <f>DR70</f>
        <v>0</v>
      </c>
      <c r="DS65" s="36"/>
      <c r="DT65" s="19"/>
      <c r="DU65" s="274"/>
      <c r="DV65" s="231"/>
      <c r="DW65" s="37">
        <f>DW70</f>
        <v>0</v>
      </c>
      <c r="DX65" s="36"/>
      <c r="DY65" s="19"/>
      <c r="DZ65" s="274"/>
      <c r="EA65" s="231"/>
      <c r="EB65" s="37">
        <f>EB70</f>
        <v>0</v>
      </c>
      <c r="EC65" s="36"/>
      <c r="ED65" s="19"/>
      <c r="EE65" s="274"/>
      <c r="EF65" s="231"/>
      <c r="EG65" s="37">
        <f>EG70</f>
        <v>0</v>
      </c>
      <c r="EH65" s="36"/>
      <c r="EI65" s="19"/>
      <c r="EJ65" s="274"/>
      <c r="EK65" s="231"/>
      <c r="EL65" s="37">
        <f>EL70</f>
        <v>0</v>
      </c>
      <c r="EM65" s="36"/>
      <c r="EN65" s="19"/>
      <c r="EO65" s="244"/>
    </row>
    <row r="66" spans="4:148" ht="12.75" hidden="1" customHeight="1" x14ac:dyDescent="0.2">
      <c r="D66" s="244"/>
      <c r="E66" s="82"/>
      <c r="G66" s="19"/>
      <c r="H66" s="19"/>
      <c r="I66" s="19"/>
      <c r="J66" s="274"/>
      <c r="K66" s="19"/>
      <c r="L66" s="19"/>
      <c r="M66" s="19"/>
      <c r="N66" s="19"/>
      <c r="O66" s="274"/>
      <c r="P66" s="19"/>
      <c r="Q66" s="19"/>
      <c r="R66" s="19"/>
      <c r="S66" s="19"/>
      <c r="T66" s="274"/>
      <c r="U66" s="19"/>
      <c r="V66" s="19"/>
      <c r="W66" s="19"/>
      <c r="X66" s="19"/>
      <c r="Y66" s="274"/>
      <c r="Z66" s="19"/>
      <c r="AA66" s="19"/>
      <c r="AB66" s="19"/>
      <c r="AC66" s="19"/>
      <c r="AD66" s="274"/>
      <c r="AE66" s="19"/>
      <c r="AF66" s="19"/>
      <c r="AG66" s="19"/>
      <c r="AH66" s="19"/>
      <c r="AI66" s="274"/>
      <c r="AJ66" s="19"/>
      <c r="AK66" s="19"/>
      <c r="AL66" s="19"/>
      <c r="AM66" s="19"/>
      <c r="AN66" s="274"/>
      <c r="AO66" s="19"/>
      <c r="AP66" s="19"/>
      <c r="AQ66" s="19"/>
      <c r="AR66" s="19"/>
      <c r="AS66" s="274"/>
      <c r="AT66" s="19"/>
      <c r="AU66" s="19"/>
      <c r="AV66" s="19"/>
      <c r="AW66" s="19"/>
      <c r="AX66" s="274"/>
      <c r="AY66" s="19"/>
      <c r="AZ66" s="19"/>
      <c r="BA66" s="19"/>
      <c r="BB66" s="19"/>
      <c r="BC66" s="274"/>
      <c r="BD66" s="19"/>
      <c r="BE66" s="19"/>
      <c r="BF66" s="19"/>
      <c r="BG66" s="19"/>
      <c r="BH66" s="274"/>
      <c r="BI66" s="19"/>
      <c r="BJ66" s="19"/>
      <c r="BK66" s="19"/>
      <c r="BL66" s="19"/>
      <c r="BM66" s="274"/>
      <c r="BN66" s="19"/>
      <c r="BO66" s="19"/>
      <c r="BP66" s="19"/>
      <c r="BQ66" s="19"/>
      <c r="BR66" s="274"/>
      <c r="BS66" s="19"/>
      <c r="BT66" s="19"/>
      <c r="BU66" s="19"/>
      <c r="BV66" s="19"/>
      <c r="BW66" s="274"/>
      <c r="BX66" s="19"/>
      <c r="BY66" s="19"/>
      <c r="BZ66" s="19"/>
      <c r="CA66" s="19"/>
      <c r="CB66" s="274"/>
      <c r="CC66" s="19"/>
      <c r="CD66" s="19"/>
      <c r="CE66" s="19"/>
      <c r="CF66" s="19"/>
      <c r="CG66" s="274"/>
      <c r="CH66" s="19"/>
      <c r="CI66" s="19"/>
      <c r="CJ66" s="19"/>
      <c r="CK66" s="19"/>
      <c r="CL66" s="274"/>
      <c r="CM66" s="19"/>
      <c r="CN66" s="19"/>
      <c r="CO66" s="19"/>
      <c r="CP66" s="19"/>
      <c r="CQ66" s="274"/>
      <c r="CR66" s="19"/>
      <c r="CS66" s="19"/>
      <c r="CT66" s="19"/>
      <c r="CU66" s="19"/>
      <c r="CV66" s="274"/>
      <c r="CW66" s="19"/>
      <c r="CX66" s="19"/>
      <c r="CY66" s="19"/>
      <c r="CZ66" s="19"/>
      <c r="DA66" s="274"/>
      <c r="DB66" s="19"/>
      <c r="DC66" s="19"/>
      <c r="DD66" s="19"/>
      <c r="DE66" s="19"/>
      <c r="DF66" s="274"/>
      <c r="DG66" s="19"/>
      <c r="DH66" s="19"/>
      <c r="DI66" s="19"/>
      <c r="DJ66" s="19"/>
      <c r="DK66" s="274"/>
      <c r="DL66" s="19"/>
      <c r="DM66" s="19"/>
      <c r="DN66" s="19"/>
      <c r="DO66" s="19"/>
      <c r="DP66" s="274"/>
      <c r="DQ66" s="19"/>
      <c r="DR66" s="19"/>
      <c r="DS66" s="19"/>
      <c r="DT66" s="19"/>
      <c r="DU66" s="274"/>
      <c r="DV66" s="19"/>
      <c r="DW66" s="19"/>
      <c r="DX66" s="19"/>
      <c r="DY66" s="19"/>
      <c r="DZ66" s="274"/>
      <c r="EA66" s="19"/>
      <c r="EB66" s="19"/>
      <c r="EC66" s="19"/>
      <c r="ED66" s="19"/>
      <c r="EE66" s="274"/>
      <c r="EF66" s="19"/>
      <c r="EG66" s="19"/>
      <c r="EH66" s="19"/>
      <c r="EI66" s="19"/>
      <c r="EJ66" s="274"/>
      <c r="EK66" s="19"/>
      <c r="EL66" s="19"/>
      <c r="EM66" s="19"/>
      <c r="EN66" s="19"/>
      <c r="EO66" s="244"/>
    </row>
    <row r="67" spans="4:148" ht="12.75" hidden="1" customHeight="1" x14ac:dyDescent="0.2">
      <c r="D67" s="244" t="s">
        <v>455</v>
      </c>
      <c r="E67" s="82"/>
      <c r="G67" s="19">
        <v>0</v>
      </c>
      <c r="H67" s="19"/>
      <c r="I67" s="19"/>
      <c r="J67" s="274"/>
      <c r="K67" s="19"/>
      <c r="L67" s="19">
        <f>SUM(L68:L70)</f>
        <v>0</v>
      </c>
      <c r="M67" s="19"/>
      <c r="N67" s="19"/>
      <c r="O67" s="274"/>
      <c r="P67" s="19"/>
      <c r="Q67" s="19">
        <f>SUM(Q68:Q70)</f>
        <v>0</v>
      </c>
      <c r="R67" s="19"/>
      <c r="S67" s="19"/>
      <c r="T67" s="274"/>
      <c r="U67" s="19"/>
      <c r="V67" s="19">
        <f>SUM(V68:V70)</f>
        <v>0</v>
      </c>
      <c r="W67" s="19"/>
      <c r="X67" s="19"/>
      <c r="Y67" s="274"/>
      <c r="Z67" s="19"/>
      <c r="AA67" s="19">
        <f>SUM(AA68:AA70)</f>
        <v>0</v>
      </c>
      <c r="AB67" s="19"/>
      <c r="AC67" s="19"/>
      <c r="AD67" s="274"/>
      <c r="AE67" s="19"/>
      <c r="AF67" s="19">
        <f>SUM(AF68:AF70)</f>
        <v>0</v>
      </c>
      <c r="AG67" s="19"/>
      <c r="AH67" s="19"/>
      <c r="AI67" s="274"/>
      <c r="AJ67" s="19"/>
      <c r="AK67" s="19">
        <f>SUM(AK68:AK70)</f>
        <v>0</v>
      </c>
      <c r="AL67" s="19"/>
      <c r="AM67" s="19"/>
      <c r="AN67" s="274"/>
      <c r="AO67" s="19"/>
      <c r="AP67" s="19">
        <f>SUM(AP68:AP70)</f>
        <v>0</v>
      </c>
      <c r="AQ67" s="19"/>
      <c r="AR67" s="19"/>
      <c r="AS67" s="274"/>
      <c r="AT67" s="19"/>
      <c r="AU67" s="19">
        <f>SUM(AU68:AU70)</f>
        <v>0</v>
      </c>
      <c r="AV67" s="19"/>
      <c r="AW67" s="19"/>
      <c r="AX67" s="274"/>
      <c r="AY67" s="19"/>
      <c r="AZ67" s="19">
        <f>SUM(AZ68:AZ70)</f>
        <v>0</v>
      </c>
      <c r="BA67" s="19"/>
      <c r="BB67" s="19"/>
      <c r="BC67" s="274"/>
      <c r="BD67" s="19"/>
      <c r="BE67" s="19">
        <f>SUM(BE68:BE70)</f>
        <v>0</v>
      </c>
      <c r="BF67" s="19"/>
      <c r="BG67" s="19"/>
      <c r="BH67" s="274"/>
      <c r="BI67" s="19"/>
      <c r="BJ67" s="19">
        <f>SUM(BJ68:BJ70)</f>
        <v>0</v>
      </c>
      <c r="BK67" s="19"/>
      <c r="BL67" s="19"/>
      <c r="BM67" s="274"/>
      <c r="BN67" s="19"/>
      <c r="BO67" s="19">
        <f>SUM(BO68:BO70)</f>
        <v>0</v>
      </c>
      <c r="BP67" s="19"/>
      <c r="BQ67" s="19"/>
      <c r="BR67" s="274"/>
      <c r="BS67" s="19"/>
      <c r="BT67" s="19">
        <f>SUM(BT68:BT70)</f>
        <v>0</v>
      </c>
      <c r="BU67" s="19"/>
      <c r="BV67" s="19"/>
      <c r="BW67" s="274"/>
      <c r="BX67" s="19"/>
      <c r="BY67" s="19">
        <f>SUM(BY68:BY70)</f>
        <v>0</v>
      </c>
      <c r="BZ67" s="19"/>
      <c r="CA67" s="19"/>
      <c r="CB67" s="274"/>
      <c r="CC67" s="19"/>
      <c r="CD67" s="19">
        <f>SUM(CD68:CD70)</f>
        <v>0</v>
      </c>
      <c r="CE67" s="19"/>
      <c r="CF67" s="19"/>
      <c r="CG67" s="274"/>
      <c r="CH67" s="19"/>
      <c r="CI67" s="19">
        <f>SUM(CI68:CI70)</f>
        <v>0</v>
      </c>
      <c r="CJ67" s="19"/>
      <c r="CK67" s="19"/>
      <c r="CL67" s="274"/>
      <c r="CM67" s="19"/>
      <c r="CN67" s="19">
        <f>SUM(CN68:CN70)</f>
        <v>0</v>
      </c>
      <c r="CO67" s="19"/>
      <c r="CP67" s="19"/>
      <c r="CQ67" s="274"/>
      <c r="CR67" s="19"/>
      <c r="CS67" s="19">
        <f>SUM(CS68:CS70)</f>
        <v>0</v>
      </c>
      <c r="CT67" s="19"/>
      <c r="CU67" s="19"/>
      <c r="CV67" s="274"/>
      <c r="CW67" s="19"/>
      <c r="CX67" s="19">
        <f>SUM(CX68:CX70)</f>
        <v>0</v>
      </c>
      <c r="CY67" s="19"/>
      <c r="CZ67" s="19"/>
      <c r="DA67" s="274"/>
      <c r="DB67" s="19"/>
      <c r="DC67" s="19">
        <f>SUM(DC68:DC70)</f>
        <v>0</v>
      </c>
      <c r="DD67" s="19"/>
      <c r="DE67" s="19"/>
      <c r="DF67" s="274"/>
      <c r="DG67" s="19"/>
      <c r="DH67" s="19">
        <f>SUM(DH68:DH70)</f>
        <v>0</v>
      </c>
      <c r="DI67" s="19"/>
      <c r="DJ67" s="19"/>
      <c r="DK67" s="274"/>
      <c r="DL67" s="19"/>
      <c r="DM67" s="19">
        <f>SUM(DM68:DM70)</f>
        <v>0</v>
      </c>
      <c r="DN67" s="19"/>
      <c r="DO67" s="19"/>
      <c r="DP67" s="274"/>
      <c r="DQ67" s="19"/>
      <c r="DR67" s="19">
        <f>SUM(DR68:DR70)</f>
        <v>0</v>
      </c>
      <c r="DS67" s="19"/>
      <c r="DT67" s="19"/>
      <c r="DU67" s="274"/>
      <c r="DV67" s="19"/>
      <c r="DW67" s="19">
        <f>SUM(DW68:DW70)</f>
        <v>0</v>
      </c>
      <c r="DX67" s="19"/>
      <c r="DY67" s="19"/>
      <c r="DZ67" s="274"/>
      <c r="EA67" s="19"/>
      <c r="EB67" s="19">
        <f>SUM(EB68:EB70)</f>
        <v>0</v>
      </c>
      <c r="EC67" s="19"/>
      <c r="ED67" s="19"/>
      <c r="EE67" s="274"/>
      <c r="EF67" s="19"/>
      <c r="EG67" s="19">
        <f>SUM(EG68:EG70)</f>
        <v>0</v>
      </c>
      <c r="EH67" s="19"/>
      <c r="EI67" s="19"/>
      <c r="EJ67" s="274"/>
      <c r="EK67" s="19"/>
      <c r="EL67" s="19">
        <f>SUM(EL68:EL70)</f>
        <v>0</v>
      </c>
      <c r="EM67" s="19"/>
      <c r="EN67" s="19"/>
      <c r="EO67" s="244"/>
    </row>
    <row r="68" spans="4:148" ht="12.75" hidden="1" customHeight="1" x14ac:dyDescent="0.2">
      <c r="D68" s="244" t="s">
        <v>344</v>
      </c>
      <c r="E68" s="82"/>
      <c r="F68" s="112"/>
      <c r="G68" s="374">
        <v>0</v>
      </c>
      <c r="H68" s="475"/>
      <c r="I68" s="19"/>
      <c r="J68" s="274"/>
      <c r="K68" s="173"/>
      <c r="L68" s="374">
        <v>0</v>
      </c>
      <c r="M68" s="475"/>
      <c r="N68" s="19"/>
      <c r="O68" s="274"/>
      <c r="P68" s="173"/>
      <c r="Q68" s="374">
        <v>0</v>
      </c>
      <c r="R68" s="475"/>
      <c r="S68" s="19"/>
      <c r="T68" s="274"/>
      <c r="U68" s="173"/>
      <c r="V68" s="374">
        <v>0</v>
      </c>
      <c r="W68" s="475"/>
      <c r="X68" s="19"/>
      <c r="Y68" s="274"/>
      <c r="Z68" s="173"/>
      <c r="AA68" s="374">
        <v>0</v>
      </c>
      <c r="AB68" s="475"/>
      <c r="AC68" s="19"/>
      <c r="AD68" s="274"/>
      <c r="AE68" s="173"/>
      <c r="AF68" s="374">
        <v>0</v>
      </c>
      <c r="AG68" s="475"/>
      <c r="AH68" s="19"/>
      <c r="AI68" s="274"/>
      <c r="AJ68" s="173"/>
      <c r="AK68" s="374">
        <v>0</v>
      </c>
      <c r="AL68" s="475"/>
      <c r="AM68" s="19"/>
      <c r="AN68" s="274"/>
      <c r="AO68" s="173"/>
      <c r="AP68" s="374">
        <v>0</v>
      </c>
      <c r="AQ68" s="475"/>
      <c r="AR68" s="19"/>
      <c r="AS68" s="274"/>
      <c r="AT68" s="173"/>
      <c r="AU68" s="374">
        <v>0</v>
      </c>
      <c r="AV68" s="475"/>
      <c r="AW68" s="19"/>
      <c r="AX68" s="274"/>
      <c r="AY68" s="173"/>
      <c r="AZ68" s="374">
        <v>0</v>
      </c>
      <c r="BA68" s="475"/>
      <c r="BB68" s="19"/>
      <c r="BC68" s="274"/>
      <c r="BD68" s="173"/>
      <c r="BE68" s="374">
        <v>0</v>
      </c>
      <c r="BF68" s="475"/>
      <c r="BG68" s="19"/>
      <c r="BH68" s="274"/>
      <c r="BI68" s="173"/>
      <c r="BJ68" s="374">
        <v>0</v>
      </c>
      <c r="BK68" s="475"/>
      <c r="BL68" s="19"/>
      <c r="BM68" s="274"/>
      <c r="BN68" s="173"/>
      <c r="BO68" s="374">
        <v>0</v>
      </c>
      <c r="BP68" s="475"/>
      <c r="BQ68" s="19"/>
      <c r="BR68" s="274"/>
      <c r="BS68" s="173"/>
      <c r="BT68" s="374">
        <f>SUM(L68:BO68)</f>
        <v>0</v>
      </c>
      <c r="BU68" s="475"/>
      <c r="BV68" s="19"/>
      <c r="BW68" s="274"/>
      <c r="BX68" s="173"/>
      <c r="BY68" s="374">
        <f>SUM(Q68:BT68)</f>
        <v>0</v>
      </c>
      <c r="BZ68" s="475"/>
      <c r="CA68" s="19"/>
      <c r="CB68" s="274"/>
      <c r="CC68" s="173"/>
      <c r="CD68" s="374">
        <v>0</v>
      </c>
      <c r="CE68" s="475"/>
      <c r="CF68" s="19"/>
      <c r="CG68" s="274"/>
      <c r="CH68" s="173"/>
      <c r="CI68" s="374">
        <v>0</v>
      </c>
      <c r="CJ68" s="475"/>
      <c r="CK68" s="19"/>
      <c r="CL68" s="274"/>
      <c r="CM68" s="173"/>
      <c r="CN68" s="374">
        <v>0</v>
      </c>
      <c r="CO68" s="475"/>
      <c r="CP68" s="19"/>
      <c r="CQ68" s="274"/>
      <c r="CR68" s="173"/>
      <c r="CS68" s="374">
        <v>0</v>
      </c>
      <c r="CT68" s="475"/>
      <c r="CU68" s="19"/>
      <c r="CV68" s="274"/>
      <c r="CW68" s="173"/>
      <c r="CX68" s="374">
        <v>0</v>
      </c>
      <c r="CY68" s="475"/>
      <c r="CZ68" s="19"/>
      <c r="DA68" s="274"/>
      <c r="DB68" s="173"/>
      <c r="DC68" s="374">
        <v>0</v>
      </c>
      <c r="DD68" s="475"/>
      <c r="DE68" s="19"/>
      <c r="DF68" s="274"/>
      <c r="DG68" s="173"/>
      <c r="DH68" s="374">
        <v>0</v>
      </c>
      <c r="DI68" s="475"/>
      <c r="DJ68" s="19"/>
      <c r="DK68" s="274"/>
      <c r="DL68" s="173"/>
      <c r="DM68" s="374">
        <v>0</v>
      </c>
      <c r="DN68" s="475"/>
      <c r="DO68" s="19"/>
      <c r="DP68" s="274"/>
      <c r="DQ68" s="173"/>
      <c r="DR68" s="374">
        <v>0</v>
      </c>
      <c r="DS68" s="475"/>
      <c r="DT68" s="19"/>
      <c r="DU68" s="274"/>
      <c r="DV68" s="173"/>
      <c r="DW68" s="374">
        <v>0</v>
      </c>
      <c r="DX68" s="475"/>
      <c r="DY68" s="19"/>
      <c r="DZ68" s="274"/>
      <c r="EA68" s="173"/>
      <c r="EB68" s="374">
        <v>0</v>
      </c>
      <c r="EC68" s="475"/>
      <c r="ED68" s="19"/>
      <c r="EE68" s="274"/>
      <c r="EF68" s="173"/>
      <c r="EG68" s="374">
        <v>0</v>
      </c>
      <c r="EH68" s="475"/>
      <c r="EI68" s="19"/>
      <c r="EJ68" s="274"/>
      <c r="EK68" s="173"/>
      <c r="EL68" s="374">
        <f>SUM(CD68:EG68)</f>
        <v>0</v>
      </c>
      <c r="EM68" s="475"/>
      <c r="EN68" s="19"/>
      <c r="EO68" s="244"/>
    </row>
    <row r="69" spans="4:148" ht="12.75" hidden="1" customHeight="1" x14ac:dyDescent="0.2">
      <c r="D69" s="244" t="s">
        <v>346</v>
      </c>
      <c r="E69" s="82"/>
      <c r="F69" s="82"/>
      <c r="G69" s="19">
        <v>0</v>
      </c>
      <c r="H69" s="18"/>
      <c r="I69" s="19"/>
      <c r="J69" s="274"/>
      <c r="K69" s="274"/>
      <c r="L69" s="19">
        <v>0</v>
      </c>
      <c r="M69" s="18"/>
      <c r="N69" s="19"/>
      <c r="O69" s="274"/>
      <c r="P69" s="274"/>
      <c r="Q69" s="19">
        <v>0</v>
      </c>
      <c r="R69" s="18"/>
      <c r="S69" s="19"/>
      <c r="T69" s="274"/>
      <c r="U69" s="274"/>
      <c r="V69" s="19">
        <v>0</v>
      </c>
      <c r="W69" s="18"/>
      <c r="X69" s="19"/>
      <c r="Y69" s="274"/>
      <c r="Z69" s="274"/>
      <c r="AA69" s="19">
        <v>0</v>
      </c>
      <c r="AB69" s="18"/>
      <c r="AC69" s="19"/>
      <c r="AD69" s="274"/>
      <c r="AE69" s="274"/>
      <c r="AF69" s="19">
        <v>0</v>
      </c>
      <c r="AG69" s="18"/>
      <c r="AH69" s="19"/>
      <c r="AI69" s="274"/>
      <c r="AJ69" s="274"/>
      <c r="AK69" s="19">
        <v>0</v>
      </c>
      <c r="AL69" s="18"/>
      <c r="AM69" s="19"/>
      <c r="AN69" s="274"/>
      <c r="AO69" s="274"/>
      <c r="AP69" s="19">
        <v>0</v>
      </c>
      <c r="AQ69" s="18"/>
      <c r="AR69" s="19"/>
      <c r="AS69" s="274"/>
      <c r="AT69" s="274"/>
      <c r="AU69" s="19">
        <v>0</v>
      </c>
      <c r="AV69" s="18"/>
      <c r="AW69" s="19"/>
      <c r="AX69" s="274"/>
      <c r="AY69" s="274"/>
      <c r="AZ69" s="19">
        <v>0</v>
      </c>
      <c r="BA69" s="18"/>
      <c r="BB69" s="19"/>
      <c r="BC69" s="274"/>
      <c r="BD69" s="274"/>
      <c r="BE69" s="19">
        <v>0</v>
      </c>
      <c r="BF69" s="18"/>
      <c r="BG69" s="19"/>
      <c r="BH69" s="274"/>
      <c r="BI69" s="274"/>
      <c r="BJ69" s="19">
        <v>0</v>
      </c>
      <c r="BK69" s="18"/>
      <c r="BL69" s="19"/>
      <c r="BM69" s="274"/>
      <c r="BN69" s="274"/>
      <c r="BO69" s="19">
        <v>0</v>
      </c>
      <c r="BP69" s="18"/>
      <c r="BQ69" s="19"/>
      <c r="BR69" s="274"/>
      <c r="BS69" s="274"/>
      <c r="BT69" s="19">
        <f>SUM(L69:BO69)</f>
        <v>0</v>
      </c>
      <c r="BU69" s="18"/>
      <c r="BV69" s="19"/>
      <c r="BW69" s="274"/>
      <c r="BX69" s="274"/>
      <c r="BY69" s="19">
        <f>SUM(Q69:BT69)</f>
        <v>0</v>
      </c>
      <c r="BZ69" s="18"/>
      <c r="CA69" s="19"/>
      <c r="CB69" s="274"/>
      <c r="CC69" s="274"/>
      <c r="CD69" s="19">
        <v>0</v>
      </c>
      <c r="CE69" s="18"/>
      <c r="CF69" s="19"/>
      <c r="CG69" s="274"/>
      <c r="CH69" s="274"/>
      <c r="CI69" s="19">
        <v>0</v>
      </c>
      <c r="CJ69" s="18"/>
      <c r="CK69" s="19"/>
      <c r="CL69" s="274"/>
      <c r="CM69" s="274"/>
      <c r="CN69" s="19">
        <v>0</v>
      </c>
      <c r="CO69" s="18"/>
      <c r="CP69" s="19"/>
      <c r="CQ69" s="274"/>
      <c r="CR69" s="274"/>
      <c r="CS69" s="19">
        <v>0</v>
      </c>
      <c r="CT69" s="18"/>
      <c r="CU69" s="19"/>
      <c r="CV69" s="274"/>
      <c r="CW69" s="274"/>
      <c r="CX69" s="19">
        <v>0</v>
      </c>
      <c r="CY69" s="18"/>
      <c r="CZ69" s="19"/>
      <c r="DA69" s="274"/>
      <c r="DB69" s="274"/>
      <c r="DC69" s="19">
        <v>0</v>
      </c>
      <c r="DD69" s="18"/>
      <c r="DE69" s="19"/>
      <c r="DF69" s="274"/>
      <c r="DG69" s="274"/>
      <c r="DH69" s="19">
        <v>0</v>
      </c>
      <c r="DI69" s="18"/>
      <c r="DJ69" s="19"/>
      <c r="DK69" s="274"/>
      <c r="DL69" s="274"/>
      <c r="DM69" s="19">
        <v>0</v>
      </c>
      <c r="DN69" s="18"/>
      <c r="DO69" s="19"/>
      <c r="DP69" s="274"/>
      <c r="DQ69" s="274"/>
      <c r="DR69" s="19">
        <v>0</v>
      </c>
      <c r="DS69" s="18"/>
      <c r="DT69" s="19"/>
      <c r="DU69" s="274"/>
      <c r="DV69" s="274"/>
      <c r="DW69" s="19">
        <v>0</v>
      </c>
      <c r="DX69" s="18"/>
      <c r="DY69" s="19"/>
      <c r="DZ69" s="274"/>
      <c r="EA69" s="274"/>
      <c r="EB69" s="19">
        <v>0</v>
      </c>
      <c r="EC69" s="18"/>
      <c r="ED69" s="19"/>
      <c r="EE69" s="274"/>
      <c r="EF69" s="274"/>
      <c r="EG69" s="19">
        <v>0</v>
      </c>
      <c r="EH69" s="18"/>
      <c r="EI69" s="19"/>
      <c r="EJ69" s="274"/>
      <c r="EK69" s="274"/>
      <c r="EL69" s="19">
        <f>SUM(CD69:EG69)</f>
        <v>0</v>
      </c>
      <c r="EM69" s="18"/>
      <c r="EN69" s="19"/>
      <c r="EO69" s="244"/>
    </row>
    <row r="70" spans="4:148" ht="12.75" hidden="1" customHeight="1" x14ac:dyDescent="0.2">
      <c r="D70" s="244" t="s">
        <v>354</v>
      </c>
      <c r="E70" s="82"/>
      <c r="F70" s="276"/>
      <c r="G70" s="37">
        <v>0</v>
      </c>
      <c r="H70" s="36"/>
      <c r="I70" s="19"/>
      <c r="J70" s="274"/>
      <c r="K70" s="231"/>
      <c r="L70" s="37">
        <v>0</v>
      </c>
      <c r="M70" s="36"/>
      <c r="N70" s="19"/>
      <c r="O70" s="274"/>
      <c r="P70" s="231"/>
      <c r="Q70" s="37">
        <v>0</v>
      </c>
      <c r="R70" s="36"/>
      <c r="S70" s="19"/>
      <c r="T70" s="274"/>
      <c r="U70" s="231"/>
      <c r="V70" s="37">
        <v>0</v>
      </c>
      <c r="W70" s="36"/>
      <c r="X70" s="19"/>
      <c r="Y70" s="274"/>
      <c r="Z70" s="231"/>
      <c r="AA70" s="37">
        <v>0</v>
      </c>
      <c r="AB70" s="36"/>
      <c r="AC70" s="19"/>
      <c r="AD70" s="274"/>
      <c r="AE70" s="231"/>
      <c r="AF70" s="37">
        <v>0</v>
      </c>
      <c r="AG70" s="36"/>
      <c r="AH70" s="19"/>
      <c r="AI70" s="274"/>
      <c r="AJ70" s="231"/>
      <c r="AK70" s="37">
        <v>0</v>
      </c>
      <c r="AL70" s="36"/>
      <c r="AM70" s="19"/>
      <c r="AN70" s="274"/>
      <c r="AO70" s="231"/>
      <c r="AP70" s="37">
        <v>0</v>
      </c>
      <c r="AQ70" s="36"/>
      <c r="AR70" s="19"/>
      <c r="AS70" s="274"/>
      <c r="AT70" s="231"/>
      <c r="AU70" s="37">
        <v>0</v>
      </c>
      <c r="AV70" s="36"/>
      <c r="AW70" s="19"/>
      <c r="AX70" s="274"/>
      <c r="AY70" s="231"/>
      <c r="AZ70" s="37">
        <v>0</v>
      </c>
      <c r="BA70" s="36"/>
      <c r="BB70" s="19"/>
      <c r="BC70" s="274"/>
      <c r="BD70" s="231"/>
      <c r="BE70" s="37">
        <v>0</v>
      </c>
      <c r="BF70" s="36"/>
      <c r="BG70" s="19"/>
      <c r="BH70" s="274"/>
      <c r="BI70" s="231"/>
      <c r="BJ70" s="37">
        <v>0</v>
      </c>
      <c r="BK70" s="36"/>
      <c r="BL70" s="19"/>
      <c r="BM70" s="274"/>
      <c r="BN70" s="231"/>
      <c r="BO70" s="37">
        <v>0</v>
      </c>
      <c r="BP70" s="36"/>
      <c r="BQ70" s="19"/>
      <c r="BR70" s="274"/>
      <c r="BS70" s="231"/>
      <c r="BT70" s="37">
        <f>SUM(L70:BO70)</f>
        <v>0</v>
      </c>
      <c r="BU70" s="36"/>
      <c r="BV70" s="19"/>
      <c r="BW70" s="274"/>
      <c r="BX70" s="231"/>
      <c r="BY70" s="37">
        <f>SUM(Q70:BT70)</f>
        <v>0</v>
      </c>
      <c r="BZ70" s="36"/>
      <c r="CA70" s="19"/>
      <c r="CB70" s="274"/>
      <c r="CC70" s="231"/>
      <c r="CD70" s="37">
        <v>0</v>
      </c>
      <c r="CE70" s="36"/>
      <c r="CF70" s="19"/>
      <c r="CG70" s="274"/>
      <c r="CH70" s="231"/>
      <c r="CI70" s="37">
        <v>0</v>
      </c>
      <c r="CJ70" s="36"/>
      <c r="CK70" s="19"/>
      <c r="CL70" s="274"/>
      <c r="CM70" s="231"/>
      <c r="CN70" s="37">
        <v>0</v>
      </c>
      <c r="CO70" s="36"/>
      <c r="CP70" s="19"/>
      <c r="CQ70" s="274"/>
      <c r="CR70" s="231"/>
      <c r="CS70" s="37">
        <v>0</v>
      </c>
      <c r="CT70" s="36"/>
      <c r="CU70" s="19"/>
      <c r="CV70" s="274"/>
      <c r="CW70" s="231"/>
      <c r="CX70" s="37">
        <v>0</v>
      </c>
      <c r="CY70" s="36"/>
      <c r="CZ70" s="19"/>
      <c r="DA70" s="274"/>
      <c r="DB70" s="231"/>
      <c r="DC70" s="37">
        <v>0</v>
      </c>
      <c r="DD70" s="36"/>
      <c r="DE70" s="19"/>
      <c r="DF70" s="274"/>
      <c r="DG70" s="231"/>
      <c r="DH70" s="37">
        <v>0</v>
      </c>
      <c r="DI70" s="36"/>
      <c r="DJ70" s="19"/>
      <c r="DK70" s="274"/>
      <c r="DL70" s="231"/>
      <c r="DM70" s="37">
        <v>0</v>
      </c>
      <c r="DN70" s="36"/>
      <c r="DO70" s="19"/>
      <c r="DP70" s="274"/>
      <c r="DQ70" s="231"/>
      <c r="DR70" s="37">
        <v>0</v>
      </c>
      <c r="DS70" s="36"/>
      <c r="DT70" s="19"/>
      <c r="DU70" s="274"/>
      <c r="DV70" s="231"/>
      <c r="DW70" s="37">
        <v>0</v>
      </c>
      <c r="DX70" s="36"/>
      <c r="DY70" s="19"/>
      <c r="DZ70" s="274"/>
      <c r="EA70" s="231"/>
      <c r="EB70" s="37">
        <v>0</v>
      </c>
      <c r="EC70" s="36"/>
      <c r="ED70" s="19"/>
      <c r="EE70" s="274"/>
      <c r="EF70" s="231"/>
      <c r="EG70" s="37">
        <v>0</v>
      </c>
      <c r="EH70" s="36"/>
      <c r="EI70" s="19"/>
      <c r="EJ70" s="274"/>
      <c r="EK70" s="231"/>
      <c r="EL70" s="37">
        <f>SUM(CD70:EG70)</f>
        <v>0</v>
      </c>
      <c r="EM70" s="36"/>
      <c r="EN70" s="19"/>
      <c r="EO70" s="244"/>
    </row>
    <row r="71" spans="4:148" ht="12.75" hidden="1" customHeight="1" x14ac:dyDescent="0.2">
      <c r="D71" s="244"/>
      <c r="E71" s="82"/>
      <c r="G71" s="19"/>
      <c r="H71" s="19"/>
      <c r="I71" s="19"/>
      <c r="J71" s="274"/>
      <c r="K71" s="19"/>
      <c r="L71" s="19"/>
      <c r="M71" s="19"/>
      <c r="N71" s="19"/>
      <c r="O71" s="274"/>
      <c r="P71" s="19"/>
      <c r="Q71" s="19"/>
      <c r="R71" s="19"/>
      <c r="S71" s="19"/>
      <c r="T71" s="274"/>
      <c r="U71" s="19"/>
      <c r="V71" s="19"/>
      <c r="W71" s="19"/>
      <c r="X71" s="19"/>
      <c r="Y71" s="274"/>
      <c r="Z71" s="19"/>
      <c r="AA71" s="19"/>
      <c r="AB71" s="19"/>
      <c r="AC71" s="19"/>
      <c r="AD71" s="274"/>
      <c r="AE71" s="19"/>
      <c r="AF71" s="19"/>
      <c r="AG71" s="19"/>
      <c r="AH71" s="19"/>
      <c r="AI71" s="274"/>
      <c r="AJ71" s="19"/>
      <c r="AK71" s="19"/>
      <c r="AL71" s="19"/>
      <c r="AM71" s="19"/>
      <c r="AN71" s="274"/>
      <c r="AO71" s="19"/>
      <c r="AP71" s="19"/>
      <c r="AQ71" s="19"/>
      <c r="AR71" s="19"/>
      <c r="AS71" s="274"/>
      <c r="AT71" s="19"/>
      <c r="AU71" s="19"/>
      <c r="AV71" s="19"/>
      <c r="AW71" s="19"/>
      <c r="AX71" s="274"/>
      <c r="AY71" s="19"/>
      <c r="AZ71" s="19"/>
      <c r="BA71" s="19"/>
      <c r="BB71" s="19"/>
      <c r="BC71" s="274"/>
      <c r="BD71" s="19"/>
      <c r="BE71" s="19"/>
      <c r="BF71" s="19"/>
      <c r="BG71" s="19"/>
      <c r="BH71" s="274"/>
      <c r="BI71" s="19"/>
      <c r="BJ71" s="19"/>
      <c r="BK71" s="19"/>
      <c r="BL71" s="19"/>
      <c r="BM71" s="274"/>
      <c r="BN71" s="19"/>
      <c r="BO71" s="19"/>
      <c r="BP71" s="19"/>
      <c r="BQ71" s="19"/>
      <c r="BR71" s="274"/>
      <c r="BS71" s="19"/>
      <c r="BT71" s="19"/>
      <c r="BU71" s="19"/>
      <c r="BV71" s="19"/>
      <c r="BW71" s="274"/>
      <c r="BX71" s="19"/>
      <c r="BY71" s="19"/>
      <c r="BZ71" s="19"/>
      <c r="CA71" s="19"/>
      <c r="CB71" s="274"/>
      <c r="CC71" s="19"/>
      <c r="CD71" s="19"/>
      <c r="CE71" s="19"/>
      <c r="CF71" s="19"/>
      <c r="CG71" s="274"/>
      <c r="CH71" s="19"/>
      <c r="CI71" s="19"/>
      <c r="CJ71" s="19"/>
      <c r="CK71" s="19"/>
      <c r="CL71" s="274"/>
      <c r="CM71" s="19"/>
      <c r="CN71" s="19"/>
      <c r="CO71" s="19"/>
      <c r="CP71" s="19"/>
      <c r="CQ71" s="274"/>
      <c r="CR71" s="19"/>
      <c r="CS71" s="19"/>
      <c r="CT71" s="19"/>
      <c r="CU71" s="19"/>
      <c r="CV71" s="274"/>
      <c r="CW71" s="19"/>
      <c r="CX71" s="19"/>
      <c r="CY71" s="19"/>
      <c r="CZ71" s="19"/>
      <c r="DA71" s="274"/>
      <c r="DB71" s="19"/>
      <c r="DC71" s="19"/>
      <c r="DD71" s="19"/>
      <c r="DE71" s="19"/>
      <c r="DF71" s="274"/>
      <c r="DG71" s="19"/>
      <c r="DH71" s="19"/>
      <c r="DI71" s="19"/>
      <c r="DJ71" s="19"/>
      <c r="DK71" s="274"/>
      <c r="DL71" s="19"/>
      <c r="DM71" s="19"/>
      <c r="DN71" s="19"/>
      <c r="DO71" s="19"/>
      <c r="DP71" s="274"/>
      <c r="DQ71" s="19"/>
      <c r="DR71" s="19"/>
      <c r="DS71" s="19"/>
      <c r="DT71" s="19"/>
      <c r="DU71" s="274"/>
      <c r="DV71" s="19"/>
      <c r="DW71" s="19"/>
      <c r="DX71" s="19"/>
      <c r="DY71" s="19"/>
      <c r="DZ71" s="274"/>
      <c r="EA71" s="19"/>
      <c r="EB71" s="19"/>
      <c r="EC71" s="19"/>
      <c r="ED71" s="19"/>
      <c r="EE71" s="274"/>
      <c r="EF71" s="19"/>
      <c r="EG71" s="19"/>
      <c r="EH71" s="19"/>
      <c r="EI71" s="19"/>
      <c r="EJ71" s="274"/>
      <c r="EK71" s="19"/>
      <c r="EL71" s="19"/>
      <c r="EM71" s="19"/>
      <c r="EN71" s="19"/>
      <c r="EO71" s="244"/>
    </row>
    <row r="72" spans="4:148" s="451" customFormat="1" ht="12.75" hidden="1" customHeight="1" x14ac:dyDescent="0.2">
      <c r="D72" s="484" t="s">
        <v>456</v>
      </c>
      <c r="E72" s="138"/>
      <c r="G72" s="14">
        <v>0</v>
      </c>
      <c r="H72" s="14"/>
      <c r="I72" s="14"/>
      <c r="J72" s="422"/>
      <c r="K72" s="14"/>
      <c r="L72" s="14">
        <f>SUM(L73:L75)</f>
        <v>0</v>
      </c>
      <c r="M72" s="14"/>
      <c r="N72" s="14"/>
      <c r="O72" s="422"/>
      <c r="P72" s="14"/>
      <c r="Q72" s="14">
        <f>SUM(Q73:Q75)</f>
        <v>0</v>
      </c>
      <c r="R72" s="14"/>
      <c r="S72" s="14"/>
      <c r="T72" s="422"/>
      <c r="U72" s="14"/>
      <c r="V72" s="14">
        <f>SUM(V73:V75)</f>
        <v>0</v>
      </c>
      <c r="W72" s="14"/>
      <c r="X72" s="14"/>
      <c r="Y72" s="422"/>
      <c r="Z72" s="14"/>
      <c r="AA72" s="14">
        <f>SUM(AA73:AA75)</f>
        <v>0</v>
      </c>
      <c r="AB72" s="14"/>
      <c r="AC72" s="14"/>
      <c r="AD72" s="422"/>
      <c r="AE72" s="14"/>
      <c r="AF72" s="14">
        <f>SUM(AF73:AF75)</f>
        <v>0</v>
      </c>
      <c r="AG72" s="14"/>
      <c r="AH72" s="14"/>
      <c r="AI72" s="422"/>
      <c r="AJ72" s="14"/>
      <c r="AK72" s="14">
        <f>SUM(AK73:AK75)</f>
        <v>0</v>
      </c>
      <c r="AL72" s="14"/>
      <c r="AM72" s="14"/>
      <c r="AN72" s="422"/>
      <c r="AO72" s="14"/>
      <c r="AP72" s="14">
        <f>SUM(AP73:AP75)</f>
        <v>0</v>
      </c>
      <c r="AQ72" s="14"/>
      <c r="AR72" s="14"/>
      <c r="AS72" s="422"/>
      <c r="AT72" s="14"/>
      <c r="AU72" s="14">
        <f>SUM(AU73:AU75)</f>
        <v>0</v>
      </c>
      <c r="AV72" s="14"/>
      <c r="AW72" s="14"/>
      <c r="AX72" s="422"/>
      <c r="AY72" s="14"/>
      <c r="AZ72" s="14">
        <f>SUM(AZ73:AZ75)</f>
        <v>0</v>
      </c>
      <c r="BA72" s="14"/>
      <c r="BB72" s="14"/>
      <c r="BC72" s="422"/>
      <c r="BD72" s="14"/>
      <c r="BE72" s="14">
        <f>SUM(BE73:BE75)</f>
        <v>0</v>
      </c>
      <c r="BF72" s="14"/>
      <c r="BG72" s="14"/>
      <c r="BH72" s="422"/>
      <c r="BI72" s="14"/>
      <c r="BJ72" s="14">
        <f>SUM(BJ73:BJ75)</f>
        <v>0</v>
      </c>
      <c r="BK72" s="14"/>
      <c r="BL72" s="14"/>
      <c r="BM72" s="422"/>
      <c r="BN72" s="14"/>
      <c r="BO72" s="14">
        <f>SUM(BO73:BO75)</f>
        <v>0</v>
      </c>
      <c r="BP72" s="14"/>
      <c r="BQ72" s="14"/>
      <c r="BR72" s="422"/>
      <c r="BS72" s="14"/>
      <c r="BT72" s="14">
        <f>SUM(BT73:BT75)</f>
        <v>0</v>
      </c>
      <c r="BU72" s="14"/>
      <c r="BV72" s="14"/>
      <c r="BW72" s="422"/>
      <c r="BX72" s="14"/>
      <c r="BY72" s="14">
        <f>SUM(BY73:BY75)</f>
        <v>0</v>
      </c>
      <c r="BZ72" s="14"/>
      <c r="CA72" s="14"/>
      <c r="CB72" s="422"/>
      <c r="CC72" s="14"/>
      <c r="CD72" s="14">
        <f>SUM(CD73:CD75)</f>
        <v>0</v>
      </c>
      <c r="CE72" s="14"/>
      <c r="CF72" s="14"/>
      <c r="CG72" s="422"/>
      <c r="CH72" s="14"/>
      <c r="CI72" s="14">
        <f>SUM(CI73:CI75)</f>
        <v>0</v>
      </c>
      <c r="CJ72" s="14"/>
      <c r="CK72" s="14"/>
      <c r="CL72" s="422"/>
      <c r="CM72" s="14"/>
      <c r="CN72" s="14">
        <f>SUM(CN73:CN75)</f>
        <v>0</v>
      </c>
      <c r="CO72" s="14"/>
      <c r="CP72" s="14"/>
      <c r="CQ72" s="422"/>
      <c r="CR72" s="14"/>
      <c r="CS72" s="14">
        <f>SUM(CS73:CS75)</f>
        <v>0</v>
      </c>
      <c r="CT72" s="14"/>
      <c r="CU72" s="14"/>
      <c r="CV72" s="422"/>
      <c r="CW72" s="14"/>
      <c r="CX72" s="14">
        <f>SUM(CX73:CX75)</f>
        <v>0</v>
      </c>
      <c r="CY72" s="14"/>
      <c r="CZ72" s="14"/>
      <c r="DA72" s="422"/>
      <c r="DB72" s="14"/>
      <c r="DC72" s="14">
        <f>SUM(DC73:DC75)</f>
        <v>0</v>
      </c>
      <c r="DD72" s="14"/>
      <c r="DE72" s="14"/>
      <c r="DF72" s="422"/>
      <c r="DG72" s="14"/>
      <c r="DH72" s="14">
        <f>SUM(DH73:DH75)</f>
        <v>0</v>
      </c>
      <c r="DI72" s="14"/>
      <c r="DJ72" s="14"/>
      <c r="DK72" s="422"/>
      <c r="DL72" s="14"/>
      <c r="DM72" s="14">
        <f>SUM(DM73:DM75)</f>
        <v>0</v>
      </c>
      <c r="DN72" s="14"/>
      <c r="DO72" s="14"/>
      <c r="DP72" s="422"/>
      <c r="DQ72" s="14"/>
      <c r="DR72" s="14">
        <f>SUM(DR73:DR75)</f>
        <v>0</v>
      </c>
      <c r="DS72" s="14"/>
      <c r="DT72" s="14"/>
      <c r="DU72" s="422"/>
      <c r="DV72" s="14"/>
      <c r="DW72" s="14">
        <f>SUM(DW73:DW75)</f>
        <v>0</v>
      </c>
      <c r="DX72" s="14"/>
      <c r="DY72" s="14"/>
      <c r="DZ72" s="422"/>
      <c r="EA72" s="14"/>
      <c r="EB72" s="14">
        <f>SUM(EB73:EB75)</f>
        <v>0</v>
      </c>
      <c r="EC72" s="14"/>
      <c r="ED72" s="14"/>
      <c r="EE72" s="422"/>
      <c r="EF72" s="14"/>
      <c r="EG72" s="14">
        <f>SUM(EG73:EG75)</f>
        <v>0</v>
      </c>
      <c r="EH72" s="14"/>
      <c r="EI72" s="14"/>
      <c r="EJ72" s="422"/>
      <c r="EK72" s="14"/>
      <c r="EL72" s="14">
        <f>SUM(EL73:EL75)</f>
        <v>0</v>
      </c>
      <c r="EM72" s="14"/>
      <c r="EN72" s="14"/>
      <c r="EO72" s="484"/>
      <c r="EQ72" s="12"/>
      <c r="ER72" s="12"/>
    </row>
    <row r="73" spans="4:148" ht="12.75" hidden="1" customHeight="1" x14ac:dyDescent="0.2">
      <c r="D73" s="244" t="s">
        <v>344</v>
      </c>
      <c r="E73" s="82"/>
      <c r="F73" s="112"/>
      <c r="G73" s="374">
        <v>0</v>
      </c>
      <c r="H73" s="475"/>
      <c r="I73" s="19"/>
      <c r="J73" s="274"/>
      <c r="K73" s="173"/>
      <c r="L73" s="374">
        <f>L78</f>
        <v>0</v>
      </c>
      <c r="M73" s="475"/>
      <c r="N73" s="19"/>
      <c r="O73" s="274"/>
      <c r="P73" s="173"/>
      <c r="Q73" s="374">
        <f>Q78</f>
        <v>0</v>
      </c>
      <c r="R73" s="475"/>
      <c r="S73" s="19"/>
      <c r="T73" s="274"/>
      <c r="U73" s="173"/>
      <c r="V73" s="374">
        <f>V78</f>
        <v>0</v>
      </c>
      <c r="W73" s="475"/>
      <c r="X73" s="19"/>
      <c r="Y73" s="274"/>
      <c r="Z73" s="173"/>
      <c r="AA73" s="374">
        <f>AA78</f>
        <v>0</v>
      </c>
      <c r="AB73" s="475"/>
      <c r="AC73" s="19"/>
      <c r="AD73" s="274"/>
      <c r="AE73" s="173"/>
      <c r="AF73" s="374">
        <f>AF78</f>
        <v>0</v>
      </c>
      <c r="AG73" s="475"/>
      <c r="AH73" s="19"/>
      <c r="AI73" s="274"/>
      <c r="AJ73" s="173"/>
      <c r="AK73" s="374">
        <f>AK78</f>
        <v>0</v>
      </c>
      <c r="AL73" s="475"/>
      <c r="AM73" s="19"/>
      <c r="AN73" s="274"/>
      <c r="AO73" s="173"/>
      <c r="AP73" s="374">
        <f>AP78</f>
        <v>0</v>
      </c>
      <c r="AQ73" s="475"/>
      <c r="AR73" s="19"/>
      <c r="AS73" s="274"/>
      <c r="AT73" s="173"/>
      <c r="AU73" s="374">
        <f>AU78</f>
        <v>0</v>
      </c>
      <c r="AV73" s="475"/>
      <c r="AW73" s="19"/>
      <c r="AX73" s="274"/>
      <c r="AY73" s="173"/>
      <c r="AZ73" s="374">
        <f>AZ78</f>
        <v>0</v>
      </c>
      <c r="BA73" s="475"/>
      <c r="BB73" s="19"/>
      <c r="BC73" s="274"/>
      <c r="BD73" s="173"/>
      <c r="BE73" s="374">
        <f>BE78</f>
        <v>0</v>
      </c>
      <c r="BF73" s="475"/>
      <c r="BG73" s="19"/>
      <c r="BH73" s="274"/>
      <c r="BI73" s="173"/>
      <c r="BJ73" s="374">
        <f>BJ78</f>
        <v>0</v>
      </c>
      <c r="BK73" s="475"/>
      <c r="BL73" s="19"/>
      <c r="BM73" s="274"/>
      <c r="BN73" s="173"/>
      <c r="BO73" s="374">
        <f>BO78</f>
        <v>0</v>
      </c>
      <c r="BP73" s="475"/>
      <c r="BQ73" s="19"/>
      <c r="BR73" s="274"/>
      <c r="BS73" s="173"/>
      <c r="BT73" s="374">
        <f>BT78</f>
        <v>0</v>
      </c>
      <c r="BU73" s="475"/>
      <c r="BV73" s="19"/>
      <c r="BW73" s="274"/>
      <c r="BX73" s="173"/>
      <c r="BY73" s="374">
        <f>BY78</f>
        <v>0</v>
      </c>
      <c r="BZ73" s="475"/>
      <c r="CA73" s="19"/>
      <c r="CB73" s="274"/>
      <c r="CC73" s="173"/>
      <c r="CD73" s="374">
        <f>CD78</f>
        <v>0</v>
      </c>
      <c r="CE73" s="475"/>
      <c r="CF73" s="19"/>
      <c r="CG73" s="274"/>
      <c r="CH73" s="173"/>
      <c r="CI73" s="374">
        <f>CI78</f>
        <v>0</v>
      </c>
      <c r="CJ73" s="475"/>
      <c r="CK73" s="19"/>
      <c r="CL73" s="274"/>
      <c r="CM73" s="173"/>
      <c r="CN73" s="374">
        <f>CN78</f>
        <v>0</v>
      </c>
      <c r="CO73" s="475"/>
      <c r="CP73" s="19"/>
      <c r="CQ73" s="274"/>
      <c r="CR73" s="173"/>
      <c r="CS73" s="374">
        <f>CS78</f>
        <v>0</v>
      </c>
      <c r="CT73" s="475"/>
      <c r="CU73" s="19"/>
      <c r="CV73" s="274"/>
      <c r="CW73" s="173"/>
      <c r="CX73" s="374">
        <f>CX78</f>
        <v>0</v>
      </c>
      <c r="CY73" s="475"/>
      <c r="CZ73" s="19"/>
      <c r="DA73" s="274"/>
      <c r="DB73" s="173"/>
      <c r="DC73" s="374">
        <f>DC78</f>
        <v>0</v>
      </c>
      <c r="DD73" s="475"/>
      <c r="DE73" s="19"/>
      <c r="DF73" s="274"/>
      <c r="DG73" s="173"/>
      <c r="DH73" s="374">
        <f>DH78</f>
        <v>0</v>
      </c>
      <c r="DI73" s="475"/>
      <c r="DJ73" s="19"/>
      <c r="DK73" s="274"/>
      <c r="DL73" s="173"/>
      <c r="DM73" s="374">
        <f>DM78</f>
        <v>0</v>
      </c>
      <c r="DN73" s="475"/>
      <c r="DO73" s="19"/>
      <c r="DP73" s="274"/>
      <c r="DQ73" s="173"/>
      <c r="DR73" s="374">
        <f>DR78</f>
        <v>0</v>
      </c>
      <c r="DS73" s="475"/>
      <c r="DT73" s="19"/>
      <c r="DU73" s="274"/>
      <c r="DV73" s="173"/>
      <c r="DW73" s="374">
        <f>DW78</f>
        <v>0</v>
      </c>
      <c r="DX73" s="475"/>
      <c r="DY73" s="19"/>
      <c r="DZ73" s="274"/>
      <c r="EA73" s="173"/>
      <c r="EB73" s="374">
        <f>EB78</f>
        <v>0</v>
      </c>
      <c r="EC73" s="475"/>
      <c r="ED73" s="19"/>
      <c r="EE73" s="274"/>
      <c r="EF73" s="173"/>
      <c r="EG73" s="374">
        <f>EG78</f>
        <v>0</v>
      </c>
      <c r="EH73" s="475"/>
      <c r="EI73" s="19"/>
      <c r="EJ73" s="274"/>
      <c r="EK73" s="173"/>
      <c r="EL73" s="374">
        <f>EL78</f>
        <v>0</v>
      </c>
      <c r="EM73" s="475"/>
      <c r="EN73" s="19"/>
      <c r="EO73" s="244"/>
    </row>
    <row r="74" spans="4:148" ht="12.75" hidden="1" customHeight="1" x14ac:dyDescent="0.2">
      <c r="D74" s="244" t="s">
        <v>346</v>
      </c>
      <c r="E74" s="82"/>
      <c r="F74" s="82"/>
      <c r="G74" s="19">
        <v>0</v>
      </c>
      <c r="H74" s="18"/>
      <c r="I74" s="19"/>
      <c r="J74" s="274"/>
      <c r="K74" s="274"/>
      <c r="L74" s="19">
        <f>L79</f>
        <v>0</v>
      </c>
      <c r="M74" s="18"/>
      <c r="N74" s="19"/>
      <c r="O74" s="274"/>
      <c r="P74" s="274"/>
      <c r="Q74" s="19">
        <f>Q79</f>
        <v>0</v>
      </c>
      <c r="R74" s="18"/>
      <c r="S74" s="19"/>
      <c r="T74" s="274"/>
      <c r="U74" s="274"/>
      <c r="V74" s="19">
        <f>V79</f>
        <v>0</v>
      </c>
      <c r="W74" s="18"/>
      <c r="X74" s="19"/>
      <c r="Y74" s="274"/>
      <c r="Z74" s="274"/>
      <c r="AA74" s="19">
        <f>AA79</f>
        <v>0</v>
      </c>
      <c r="AB74" s="18"/>
      <c r="AC74" s="19"/>
      <c r="AD74" s="274"/>
      <c r="AE74" s="274"/>
      <c r="AF74" s="19">
        <f>AF79</f>
        <v>0</v>
      </c>
      <c r="AG74" s="18"/>
      <c r="AH74" s="19"/>
      <c r="AI74" s="274"/>
      <c r="AJ74" s="274"/>
      <c r="AK74" s="19">
        <f>AK79</f>
        <v>0</v>
      </c>
      <c r="AL74" s="18"/>
      <c r="AM74" s="19"/>
      <c r="AN74" s="274"/>
      <c r="AO74" s="274"/>
      <c r="AP74" s="19">
        <f>AP79</f>
        <v>0</v>
      </c>
      <c r="AQ74" s="18"/>
      <c r="AR74" s="19"/>
      <c r="AS74" s="274"/>
      <c r="AT74" s="274"/>
      <c r="AU74" s="19">
        <f>AU79</f>
        <v>0</v>
      </c>
      <c r="AV74" s="18"/>
      <c r="AW74" s="19"/>
      <c r="AX74" s="274"/>
      <c r="AY74" s="274"/>
      <c r="AZ74" s="19">
        <f>AZ79</f>
        <v>0</v>
      </c>
      <c r="BA74" s="18"/>
      <c r="BB74" s="19"/>
      <c r="BC74" s="274"/>
      <c r="BD74" s="274"/>
      <c r="BE74" s="19">
        <f>BE79</f>
        <v>0</v>
      </c>
      <c r="BF74" s="18"/>
      <c r="BG74" s="19"/>
      <c r="BH74" s="274"/>
      <c r="BI74" s="274"/>
      <c r="BJ74" s="19">
        <f>BJ79</f>
        <v>0</v>
      </c>
      <c r="BK74" s="18"/>
      <c r="BL74" s="19"/>
      <c r="BM74" s="274"/>
      <c r="BN74" s="274"/>
      <c r="BO74" s="19">
        <f>BO79</f>
        <v>0</v>
      </c>
      <c r="BP74" s="18"/>
      <c r="BQ74" s="19"/>
      <c r="BR74" s="274"/>
      <c r="BS74" s="274"/>
      <c r="BT74" s="19">
        <f>BT79</f>
        <v>0</v>
      </c>
      <c r="BU74" s="18"/>
      <c r="BV74" s="19"/>
      <c r="BW74" s="274"/>
      <c r="BX74" s="274"/>
      <c r="BY74" s="19">
        <f>BY79</f>
        <v>0</v>
      </c>
      <c r="BZ74" s="18"/>
      <c r="CA74" s="19"/>
      <c r="CB74" s="274"/>
      <c r="CC74" s="274"/>
      <c r="CD74" s="19">
        <f>CD79</f>
        <v>0</v>
      </c>
      <c r="CE74" s="18"/>
      <c r="CF74" s="19"/>
      <c r="CG74" s="274"/>
      <c r="CH74" s="274"/>
      <c r="CI74" s="19">
        <f>CI79</f>
        <v>0</v>
      </c>
      <c r="CJ74" s="18"/>
      <c r="CK74" s="19"/>
      <c r="CL74" s="274"/>
      <c r="CM74" s="274"/>
      <c r="CN74" s="19">
        <f>CN79</f>
        <v>0</v>
      </c>
      <c r="CO74" s="18"/>
      <c r="CP74" s="19"/>
      <c r="CQ74" s="274"/>
      <c r="CR74" s="274"/>
      <c r="CS74" s="19">
        <f>CS79</f>
        <v>0</v>
      </c>
      <c r="CT74" s="18"/>
      <c r="CU74" s="19"/>
      <c r="CV74" s="274"/>
      <c r="CW74" s="274"/>
      <c r="CX74" s="19">
        <f>CX79</f>
        <v>0</v>
      </c>
      <c r="CY74" s="18"/>
      <c r="CZ74" s="19"/>
      <c r="DA74" s="274"/>
      <c r="DB74" s="274"/>
      <c r="DC74" s="19">
        <f>DC79</f>
        <v>0</v>
      </c>
      <c r="DD74" s="18"/>
      <c r="DE74" s="19"/>
      <c r="DF74" s="274"/>
      <c r="DG74" s="274"/>
      <c r="DH74" s="19">
        <f>DH79</f>
        <v>0</v>
      </c>
      <c r="DI74" s="18"/>
      <c r="DJ74" s="19"/>
      <c r="DK74" s="274"/>
      <c r="DL74" s="274"/>
      <c r="DM74" s="19">
        <f>DM79</f>
        <v>0</v>
      </c>
      <c r="DN74" s="18"/>
      <c r="DO74" s="19"/>
      <c r="DP74" s="274"/>
      <c r="DQ74" s="274"/>
      <c r="DR74" s="19">
        <f>DR79</f>
        <v>0</v>
      </c>
      <c r="DS74" s="18"/>
      <c r="DT74" s="19"/>
      <c r="DU74" s="274"/>
      <c r="DV74" s="274"/>
      <c r="DW74" s="19">
        <f>DW79</f>
        <v>0</v>
      </c>
      <c r="DX74" s="18"/>
      <c r="DY74" s="19"/>
      <c r="DZ74" s="274"/>
      <c r="EA74" s="274"/>
      <c r="EB74" s="19">
        <f>EB79</f>
        <v>0</v>
      </c>
      <c r="EC74" s="18"/>
      <c r="ED74" s="19"/>
      <c r="EE74" s="274"/>
      <c r="EF74" s="274"/>
      <c r="EG74" s="19">
        <f>EG79</f>
        <v>0</v>
      </c>
      <c r="EH74" s="18"/>
      <c r="EI74" s="19"/>
      <c r="EJ74" s="274"/>
      <c r="EK74" s="274"/>
      <c r="EL74" s="19">
        <f>EL79</f>
        <v>0</v>
      </c>
      <c r="EM74" s="18"/>
      <c r="EN74" s="19"/>
      <c r="EO74" s="244"/>
    </row>
    <row r="75" spans="4:148" ht="12.75" hidden="1" customHeight="1" x14ac:dyDescent="0.2">
      <c r="D75" s="244" t="s">
        <v>354</v>
      </c>
      <c r="E75" s="82"/>
      <c r="F75" s="276"/>
      <c r="G75" s="37">
        <v>0</v>
      </c>
      <c r="H75" s="36"/>
      <c r="I75" s="19"/>
      <c r="J75" s="274"/>
      <c r="K75" s="231"/>
      <c r="L75" s="37">
        <f>L80</f>
        <v>0</v>
      </c>
      <c r="M75" s="36"/>
      <c r="N75" s="19"/>
      <c r="O75" s="274"/>
      <c r="P75" s="231"/>
      <c r="Q75" s="37">
        <f>Q80</f>
        <v>0</v>
      </c>
      <c r="R75" s="36"/>
      <c r="S75" s="19"/>
      <c r="T75" s="274"/>
      <c r="U75" s="231"/>
      <c r="V75" s="37">
        <f>V80</f>
        <v>0</v>
      </c>
      <c r="W75" s="36"/>
      <c r="X75" s="19"/>
      <c r="Y75" s="274"/>
      <c r="Z75" s="231"/>
      <c r="AA75" s="37">
        <f>AA80</f>
        <v>0</v>
      </c>
      <c r="AB75" s="36"/>
      <c r="AC75" s="19"/>
      <c r="AD75" s="274"/>
      <c r="AE75" s="231"/>
      <c r="AF75" s="37">
        <f>AF80</f>
        <v>0</v>
      </c>
      <c r="AG75" s="36"/>
      <c r="AH75" s="19"/>
      <c r="AI75" s="274"/>
      <c r="AJ75" s="231"/>
      <c r="AK75" s="37">
        <f>AK80</f>
        <v>0</v>
      </c>
      <c r="AL75" s="36"/>
      <c r="AM75" s="19"/>
      <c r="AN75" s="274"/>
      <c r="AO75" s="231"/>
      <c r="AP75" s="37">
        <f>AP80</f>
        <v>0</v>
      </c>
      <c r="AQ75" s="36"/>
      <c r="AR75" s="19"/>
      <c r="AS75" s="274"/>
      <c r="AT75" s="231"/>
      <c r="AU75" s="37">
        <f>AU80</f>
        <v>0</v>
      </c>
      <c r="AV75" s="36"/>
      <c r="AW75" s="19"/>
      <c r="AX75" s="274"/>
      <c r="AY75" s="231"/>
      <c r="AZ75" s="37">
        <f>AZ80</f>
        <v>0</v>
      </c>
      <c r="BA75" s="36"/>
      <c r="BB75" s="19"/>
      <c r="BC75" s="274"/>
      <c r="BD75" s="231"/>
      <c r="BE75" s="37">
        <f>BE80</f>
        <v>0</v>
      </c>
      <c r="BF75" s="36"/>
      <c r="BG75" s="19"/>
      <c r="BH75" s="274"/>
      <c r="BI75" s="231"/>
      <c r="BJ75" s="37">
        <f>BJ80</f>
        <v>0</v>
      </c>
      <c r="BK75" s="36"/>
      <c r="BL75" s="19"/>
      <c r="BM75" s="274"/>
      <c r="BN75" s="231"/>
      <c r="BO75" s="37">
        <f>BO80</f>
        <v>0</v>
      </c>
      <c r="BP75" s="36"/>
      <c r="BQ75" s="19"/>
      <c r="BR75" s="274"/>
      <c r="BS75" s="231"/>
      <c r="BT75" s="37">
        <f>BT80</f>
        <v>0</v>
      </c>
      <c r="BU75" s="36"/>
      <c r="BV75" s="19"/>
      <c r="BW75" s="274"/>
      <c r="BX75" s="231"/>
      <c r="BY75" s="37">
        <f>BY80</f>
        <v>0</v>
      </c>
      <c r="BZ75" s="36"/>
      <c r="CA75" s="19"/>
      <c r="CB75" s="274"/>
      <c r="CC75" s="231"/>
      <c r="CD75" s="37">
        <f>CD80</f>
        <v>0</v>
      </c>
      <c r="CE75" s="36"/>
      <c r="CF75" s="19"/>
      <c r="CG75" s="274"/>
      <c r="CH75" s="231"/>
      <c r="CI75" s="37">
        <f>CI80</f>
        <v>0</v>
      </c>
      <c r="CJ75" s="36"/>
      <c r="CK75" s="19"/>
      <c r="CL75" s="274"/>
      <c r="CM75" s="231"/>
      <c r="CN75" s="37">
        <f>CN80</f>
        <v>0</v>
      </c>
      <c r="CO75" s="36"/>
      <c r="CP75" s="19"/>
      <c r="CQ75" s="274"/>
      <c r="CR75" s="231"/>
      <c r="CS75" s="37">
        <f>CS80</f>
        <v>0</v>
      </c>
      <c r="CT75" s="36"/>
      <c r="CU75" s="19"/>
      <c r="CV75" s="274"/>
      <c r="CW75" s="231"/>
      <c r="CX75" s="37">
        <f>CX80</f>
        <v>0</v>
      </c>
      <c r="CY75" s="36"/>
      <c r="CZ75" s="19"/>
      <c r="DA75" s="274"/>
      <c r="DB75" s="231"/>
      <c r="DC75" s="37">
        <f>DC80</f>
        <v>0</v>
      </c>
      <c r="DD75" s="36"/>
      <c r="DE75" s="19"/>
      <c r="DF75" s="274"/>
      <c r="DG75" s="231"/>
      <c r="DH75" s="37">
        <f>DH80</f>
        <v>0</v>
      </c>
      <c r="DI75" s="36"/>
      <c r="DJ75" s="19"/>
      <c r="DK75" s="274"/>
      <c r="DL75" s="231"/>
      <c r="DM75" s="37">
        <f>DM80</f>
        <v>0</v>
      </c>
      <c r="DN75" s="36"/>
      <c r="DO75" s="19"/>
      <c r="DP75" s="274"/>
      <c r="DQ75" s="231"/>
      <c r="DR75" s="37">
        <f>DR80</f>
        <v>0</v>
      </c>
      <c r="DS75" s="36"/>
      <c r="DT75" s="19"/>
      <c r="DU75" s="274"/>
      <c r="DV75" s="231"/>
      <c r="DW75" s="37">
        <f>DW80</f>
        <v>0</v>
      </c>
      <c r="DX75" s="36"/>
      <c r="DY75" s="19"/>
      <c r="DZ75" s="274"/>
      <c r="EA75" s="231"/>
      <c r="EB75" s="37">
        <f>EB80</f>
        <v>0</v>
      </c>
      <c r="EC75" s="36"/>
      <c r="ED75" s="19"/>
      <c r="EE75" s="274"/>
      <c r="EF75" s="231"/>
      <c r="EG75" s="37">
        <f>EG80</f>
        <v>0</v>
      </c>
      <c r="EH75" s="36"/>
      <c r="EI75" s="19"/>
      <c r="EJ75" s="274"/>
      <c r="EK75" s="231"/>
      <c r="EL75" s="37">
        <f>EL80</f>
        <v>0</v>
      </c>
      <c r="EM75" s="36"/>
      <c r="EN75" s="19"/>
      <c r="EO75" s="244"/>
    </row>
    <row r="76" spans="4:148" ht="12.75" hidden="1" customHeight="1" x14ac:dyDescent="0.2">
      <c r="D76" s="244"/>
      <c r="E76" s="82"/>
      <c r="G76" s="19"/>
      <c r="H76" s="19"/>
      <c r="I76" s="19"/>
      <c r="J76" s="274"/>
      <c r="K76" s="19"/>
      <c r="L76" s="19"/>
      <c r="M76" s="19"/>
      <c r="N76" s="19"/>
      <c r="O76" s="274"/>
      <c r="P76" s="19"/>
      <c r="Q76" s="19"/>
      <c r="R76" s="19"/>
      <c r="S76" s="19"/>
      <c r="T76" s="274"/>
      <c r="U76" s="19"/>
      <c r="V76" s="19"/>
      <c r="W76" s="19"/>
      <c r="X76" s="19"/>
      <c r="Y76" s="274"/>
      <c r="Z76" s="19"/>
      <c r="AA76" s="19"/>
      <c r="AB76" s="19"/>
      <c r="AC76" s="19"/>
      <c r="AD76" s="274"/>
      <c r="AE76" s="19"/>
      <c r="AF76" s="19"/>
      <c r="AG76" s="19"/>
      <c r="AH76" s="19"/>
      <c r="AI76" s="274"/>
      <c r="AJ76" s="19"/>
      <c r="AK76" s="19"/>
      <c r="AL76" s="19"/>
      <c r="AM76" s="19"/>
      <c r="AN76" s="274"/>
      <c r="AO76" s="19"/>
      <c r="AP76" s="19"/>
      <c r="AQ76" s="19"/>
      <c r="AR76" s="19"/>
      <c r="AS76" s="274"/>
      <c r="AT76" s="19"/>
      <c r="AU76" s="19"/>
      <c r="AV76" s="19"/>
      <c r="AW76" s="19"/>
      <c r="AX76" s="274"/>
      <c r="AY76" s="19"/>
      <c r="AZ76" s="19"/>
      <c r="BA76" s="19"/>
      <c r="BB76" s="19"/>
      <c r="BC76" s="274"/>
      <c r="BD76" s="19"/>
      <c r="BE76" s="19"/>
      <c r="BF76" s="19"/>
      <c r="BG76" s="19"/>
      <c r="BH76" s="274"/>
      <c r="BI76" s="19"/>
      <c r="BJ76" s="19"/>
      <c r="BK76" s="19"/>
      <c r="BL76" s="19"/>
      <c r="BM76" s="274"/>
      <c r="BN76" s="19"/>
      <c r="BO76" s="19"/>
      <c r="BP76" s="19"/>
      <c r="BQ76" s="19"/>
      <c r="BR76" s="274"/>
      <c r="BS76" s="19"/>
      <c r="BT76" s="19"/>
      <c r="BU76" s="19"/>
      <c r="BV76" s="19"/>
      <c r="BW76" s="274"/>
      <c r="BX76" s="19"/>
      <c r="BY76" s="19"/>
      <c r="BZ76" s="19"/>
      <c r="CA76" s="19"/>
      <c r="CB76" s="274"/>
      <c r="CC76" s="19"/>
      <c r="CD76" s="19"/>
      <c r="CE76" s="19"/>
      <c r="CF76" s="19"/>
      <c r="CG76" s="274"/>
      <c r="CH76" s="19"/>
      <c r="CI76" s="19"/>
      <c r="CJ76" s="19"/>
      <c r="CK76" s="19"/>
      <c r="CL76" s="274"/>
      <c r="CM76" s="19"/>
      <c r="CN76" s="19"/>
      <c r="CO76" s="19"/>
      <c r="CP76" s="19"/>
      <c r="CQ76" s="274"/>
      <c r="CR76" s="19"/>
      <c r="CS76" s="19"/>
      <c r="CT76" s="19"/>
      <c r="CU76" s="19"/>
      <c r="CV76" s="274"/>
      <c r="CW76" s="19"/>
      <c r="CX76" s="19"/>
      <c r="CY76" s="19"/>
      <c r="CZ76" s="19"/>
      <c r="DA76" s="274"/>
      <c r="DB76" s="19"/>
      <c r="DC76" s="19"/>
      <c r="DD76" s="19"/>
      <c r="DE76" s="19"/>
      <c r="DF76" s="274"/>
      <c r="DG76" s="19"/>
      <c r="DH76" s="19"/>
      <c r="DI76" s="19"/>
      <c r="DJ76" s="19"/>
      <c r="DK76" s="274"/>
      <c r="DL76" s="19"/>
      <c r="DM76" s="19"/>
      <c r="DN76" s="19"/>
      <c r="DO76" s="19"/>
      <c r="DP76" s="274"/>
      <c r="DQ76" s="19"/>
      <c r="DR76" s="19"/>
      <c r="DS76" s="19"/>
      <c r="DT76" s="19"/>
      <c r="DU76" s="274"/>
      <c r="DV76" s="19"/>
      <c r="DW76" s="19"/>
      <c r="DX76" s="19"/>
      <c r="DY76" s="19"/>
      <c r="DZ76" s="274"/>
      <c r="EA76" s="19"/>
      <c r="EB76" s="19"/>
      <c r="EC76" s="19"/>
      <c r="ED76" s="19"/>
      <c r="EE76" s="274"/>
      <c r="EF76" s="19"/>
      <c r="EG76" s="19"/>
      <c r="EH76" s="19"/>
      <c r="EI76" s="19"/>
      <c r="EJ76" s="274"/>
      <c r="EK76" s="19"/>
      <c r="EL76" s="19"/>
      <c r="EM76" s="19"/>
      <c r="EN76" s="19"/>
      <c r="EO76" s="244"/>
    </row>
    <row r="77" spans="4:148" ht="12.75" hidden="1" customHeight="1" x14ac:dyDescent="0.2">
      <c r="D77" s="244" t="s">
        <v>457</v>
      </c>
      <c r="E77" s="82"/>
      <c r="G77" s="19">
        <v>0</v>
      </c>
      <c r="H77" s="19"/>
      <c r="I77" s="19"/>
      <c r="J77" s="274"/>
      <c r="K77" s="19"/>
      <c r="L77" s="19">
        <f>SUM(L78:L80)</f>
        <v>0</v>
      </c>
      <c r="M77" s="19"/>
      <c r="N77" s="19"/>
      <c r="O77" s="274"/>
      <c r="P77" s="19"/>
      <c r="Q77" s="19">
        <f>SUM(Q78:Q80)</f>
        <v>0</v>
      </c>
      <c r="R77" s="19"/>
      <c r="S77" s="19"/>
      <c r="T77" s="274"/>
      <c r="U77" s="19"/>
      <c r="V77" s="19">
        <f>SUM(V78:V80)</f>
        <v>0</v>
      </c>
      <c r="W77" s="19"/>
      <c r="X77" s="19"/>
      <c r="Y77" s="274"/>
      <c r="Z77" s="19"/>
      <c r="AA77" s="19">
        <f>SUM(AA78:AA80)</f>
        <v>0</v>
      </c>
      <c r="AB77" s="19"/>
      <c r="AC77" s="19"/>
      <c r="AD77" s="274"/>
      <c r="AE77" s="19"/>
      <c r="AF77" s="19">
        <f>SUM(AF78:AF80)</f>
        <v>0</v>
      </c>
      <c r="AG77" s="19"/>
      <c r="AH77" s="19"/>
      <c r="AI77" s="274"/>
      <c r="AJ77" s="19"/>
      <c r="AK77" s="19">
        <f>SUM(AK78:AK80)</f>
        <v>0</v>
      </c>
      <c r="AL77" s="19"/>
      <c r="AM77" s="19"/>
      <c r="AN77" s="274"/>
      <c r="AO77" s="19"/>
      <c r="AP77" s="19">
        <f>SUM(AP78:AP80)</f>
        <v>0</v>
      </c>
      <c r="AQ77" s="19"/>
      <c r="AR77" s="19"/>
      <c r="AS77" s="274"/>
      <c r="AT77" s="19"/>
      <c r="AU77" s="19">
        <f>SUM(AU78:AU80)</f>
        <v>0</v>
      </c>
      <c r="AV77" s="19"/>
      <c r="AW77" s="19"/>
      <c r="AX77" s="274"/>
      <c r="AY77" s="19"/>
      <c r="AZ77" s="19">
        <f>SUM(AZ78:AZ80)</f>
        <v>0</v>
      </c>
      <c r="BA77" s="19"/>
      <c r="BB77" s="19"/>
      <c r="BC77" s="274"/>
      <c r="BD77" s="19"/>
      <c r="BE77" s="19">
        <f>SUM(BE78:BE80)</f>
        <v>0</v>
      </c>
      <c r="BF77" s="19"/>
      <c r="BG77" s="19"/>
      <c r="BH77" s="274"/>
      <c r="BI77" s="19"/>
      <c r="BJ77" s="19">
        <f>SUM(BJ78:BJ80)</f>
        <v>0</v>
      </c>
      <c r="BK77" s="19"/>
      <c r="BL77" s="19"/>
      <c r="BM77" s="274"/>
      <c r="BN77" s="19"/>
      <c r="BO77" s="19">
        <f>SUM(BO78:BO80)</f>
        <v>0</v>
      </c>
      <c r="BP77" s="19"/>
      <c r="BQ77" s="19"/>
      <c r="BR77" s="274"/>
      <c r="BS77" s="19"/>
      <c r="BT77" s="19">
        <f>SUM(BT78:BT80)</f>
        <v>0</v>
      </c>
      <c r="BU77" s="19"/>
      <c r="BV77" s="19"/>
      <c r="BW77" s="274"/>
      <c r="BX77" s="19"/>
      <c r="BY77" s="19">
        <f>SUM(BY78:BY80)</f>
        <v>0</v>
      </c>
      <c r="BZ77" s="19"/>
      <c r="CA77" s="19"/>
      <c r="CB77" s="274"/>
      <c r="CC77" s="19"/>
      <c r="CD77" s="19">
        <f>SUM(CD78:CD80)</f>
        <v>0</v>
      </c>
      <c r="CE77" s="19"/>
      <c r="CF77" s="19"/>
      <c r="CG77" s="274"/>
      <c r="CH77" s="19"/>
      <c r="CI77" s="19">
        <f>SUM(CI78:CI80)</f>
        <v>0</v>
      </c>
      <c r="CJ77" s="19"/>
      <c r="CK77" s="19"/>
      <c r="CL77" s="274"/>
      <c r="CM77" s="19"/>
      <c r="CN77" s="19">
        <f>SUM(CN78:CN80)</f>
        <v>0</v>
      </c>
      <c r="CO77" s="19"/>
      <c r="CP77" s="19"/>
      <c r="CQ77" s="274"/>
      <c r="CR77" s="19"/>
      <c r="CS77" s="19">
        <f>SUM(CS78:CS80)</f>
        <v>0</v>
      </c>
      <c r="CT77" s="19"/>
      <c r="CU77" s="19"/>
      <c r="CV77" s="274"/>
      <c r="CW77" s="19"/>
      <c r="CX77" s="19">
        <f>SUM(CX78:CX80)</f>
        <v>0</v>
      </c>
      <c r="CY77" s="19"/>
      <c r="CZ77" s="19"/>
      <c r="DA77" s="274"/>
      <c r="DB77" s="19"/>
      <c r="DC77" s="19">
        <f>SUM(DC78:DC80)</f>
        <v>0</v>
      </c>
      <c r="DD77" s="19"/>
      <c r="DE77" s="19"/>
      <c r="DF77" s="274"/>
      <c r="DG77" s="19"/>
      <c r="DH77" s="19">
        <f>SUM(DH78:DH80)</f>
        <v>0</v>
      </c>
      <c r="DI77" s="19"/>
      <c r="DJ77" s="19"/>
      <c r="DK77" s="274"/>
      <c r="DL77" s="19"/>
      <c r="DM77" s="19">
        <f>SUM(DM78:DM80)</f>
        <v>0</v>
      </c>
      <c r="DN77" s="19"/>
      <c r="DO77" s="19"/>
      <c r="DP77" s="274"/>
      <c r="DQ77" s="19"/>
      <c r="DR77" s="19">
        <f>SUM(DR78:DR80)</f>
        <v>0</v>
      </c>
      <c r="DS77" s="19"/>
      <c r="DT77" s="19"/>
      <c r="DU77" s="274"/>
      <c r="DV77" s="19"/>
      <c r="DW77" s="19">
        <f>SUM(DW78:DW80)</f>
        <v>0</v>
      </c>
      <c r="DX77" s="19"/>
      <c r="DY77" s="19"/>
      <c r="DZ77" s="274"/>
      <c r="EA77" s="19"/>
      <c r="EB77" s="19">
        <f>SUM(EB78:EB80)</f>
        <v>0</v>
      </c>
      <c r="EC77" s="19"/>
      <c r="ED77" s="19"/>
      <c r="EE77" s="274"/>
      <c r="EF77" s="19"/>
      <c r="EG77" s="19">
        <f>SUM(EG78:EG80)</f>
        <v>0</v>
      </c>
      <c r="EH77" s="19"/>
      <c r="EI77" s="19"/>
      <c r="EJ77" s="274"/>
      <c r="EK77" s="19"/>
      <c r="EL77" s="19">
        <f>SUM(EL78:EL80)</f>
        <v>0</v>
      </c>
      <c r="EM77" s="19"/>
      <c r="EN77" s="19"/>
      <c r="EO77" s="244"/>
    </row>
    <row r="78" spans="4:148" ht="12.75" hidden="1" customHeight="1" x14ac:dyDescent="0.2">
      <c r="D78" s="244" t="s">
        <v>344</v>
      </c>
      <c r="E78" s="82"/>
      <c r="F78" s="112"/>
      <c r="G78" s="374">
        <v>0</v>
      </c>
      <c r="H78" s="475"/>
      <c r="I78" s="19"/>
      <c r="J78" s="274"/>
      <c r="K78" s="173"/>
      <c r="L78" s="374">
        <v>0</v>
      </c>
      <c r="M78" s="475"/>
      <c r="N78" s="19"/>
      <c r="O78" s="274"/>
      <c r="P78" s="173"/>
      <c r="Q78" s="374">
        <v>0</v>
      </c>
      <c r="R78" s="475"/>
      <c r="S78" s="19"/>
      <c r="T78" s="274"/>
      <c r="U78" s="173"/>
      <c r="V78" s="374">
        <v>0</v>
      </c>
      <c r="W78" s="475"/>
      <c r="X78" s="19"/>
      <c r="Y78" s="274"/>
      <c r="Z78" s="173"/>
      <c r="AA78" s="374">
        <v>0</v>
      </c>
      <c r="AB78" s="475"/>
      <c r="AC78" s="19"/>
      <c r="AD78" s="274"/>
      <c r="AE78" s="173"/>
      <c r="AF78" s="374">
        <v>0</v>
      </c>
      <c r="AG78" s="475"/>
      <c r="AH78" s="19"/>
      <c r="AI78" s="274"/>
      <c r="AJ78" s="173"/>
      <c r="AK78" s="374">
        <v>0</v>
      </c>
      <c r="AL78" s="475"/>
      <c r="AM78" s="19"/>
      <c r="AN78" s="274"/>
      <c r="AO78" s="173"/>
      <c r="AP78" s="374">
        <v>0</v>
      </c>
      <c r="AQ78" s="475"/>
      <c r="AR78" s="19"/>
      <c r="AS78" s="274"/>
      <c r="AT78" s="173"/>
      <c r="AU78" s="374">
        <v>0</v>
      </c>
      <c r="AV78" s="475"/>
      <c r="AW78" s="19"/>
      <c r="AX78" s="274"/>
      <c r="AY78" s="173"/>
      <c r="AZ78" s="374">
        <v>0</v>
      </c>
      <c r="BA78" s="475"/>
      <c r="BB78" s="19"/>
      <c r="BC78" s="274"/>
      <c r="BD78" s="173"/>
      <c r="BE78" s="374">
        <v>0</v>
      </c>
      <c r="BF78" s="475"/>
      <c r="BG78" s="19"/>
      <c r="BH78" s="274"/>
      <c r="BI78" s="173"/>
      <c r="BJ78" s="374">
        <v>0</v>
      </c>
      <c r="BK78" s="475"/>
      <c r="BL78" s="19"/>
      <c r="BM78" s="274"/>
      <c r="BN78" s="173"/>
      <c r="BO78" s="374">
        <v>0</v>
      </c>
      <c r="BP78" s="475"/>
      <c r="BQ78" s="19"/>
      <c r="BR78" s="274"/>
      <c r="BS78" s="173"/>
      <c r="BT78" s="374">
        <f>SUM(L78:BO78)</f>
        <v>0</v>
      </c>
      <c r="BU78" s="475"/>
      <c r="BV78" s="19"/>
      <c r="BW78" s="274"/>
      <c r="BX78" s="173"/>
      <c r="BY78" s="374">
        <f>SUM(Q78:BT78)</f>
        <v>0</v>
      </c>
      <c r="BZ78" s="475"/>
      <c r="CA78" s="19"/>
      <c r="CB78" s="274"/>
      <c r="CC78" s="173"/>
      <c r="CD78" s="374">
        <v>0</v>
      </c>
      <c r="CE78" s="475"/>
      <c r="CF78" s="19"/>
      <c r="CG78" s="274"/>
      <c r="CH78" s="173"/>
      <c r="CI78" s="374">
        <v>0</v>
      </c>
      <c r="CJ78" s="475"/>
      <c r="CK78" s="19"/>
      <c r="CL78" s="274"/>
      <c r="CM78" s="173"/>
      <c r="CN78" s="374">
        <v>0</v>
      </c>
      <c r="CO78" s="475"/>
      <c r="CP78" s="19"/>
      <c r="CQ78" s="274"/>
      <c r="CR78" s="173"/>
      <c r="CS78" s="374">
        <v>0</v>
      </c>
      <c r="CT78" s="475"/>
      <c r="CU78" s="19"/>
      <c r="CV78" s="274"/>
      <c r="CW78" s="173"/>
      <c r="CX78" s="374">
        <v>0</v>
      </c>
      <c r="CY78" s="475"/>
      <c r="CZ78" s="19"/>
      <c r="DA78" s="274"/>
      <c r="DB78" s="173"/>
      <c r="DC78" s="374">
        <v>0</v>
      </c>
      <c r="DD78" s="475"/>
      <c r="DE78" s="19"/>
      <c r="DF78" s="274"/>
      <c r="DG78" s="173"/>
      <c r="DH78" s="374">
        <v>0</v>
      </c>
      <c r="DI78" s="475"/>
      <c r="DJ78" s="19"/>
      <c r="DK78" s="274"/>
      <c r="DL78" s="173"/>
      <c r="DM78" s="374">
        <v>0</v>
      </c>
      <c r="DN78" s="475"/>
      <c r="DO78" s="19"/>
      <c r="DP78" s="274"/>
      <c r="DQ78" s="173"/>
      <c r="DR78" s="374">
        <v>0</v>
      </c>
      <c r="DS78" s="475"/>
      <c r="DT78" s="19"/>
      <c r="DU78" s="274"/>
      <c r="DV78" s="173"/>
      <c r="DW78" s="374">
        <v>0</v>
      </c>
      <c r="DX78" s="475"/>
      <c r="DY78" s="19"/>
      <c r="DZ78" s="274"/>
      <c r="EA78" s="173"/>
      <c r="EB78" s="374">
        <v>0</v>
      </c>
      <c r="EC78" s="475"/>
      <c r="ED78" s="19"/>
      <c r="EE78" s="274"/>
      <c r="EF78" s="173"/>
      <c r="EG78" s="374">
        <v>0</v>
      </c>
      <c r="EH78" s="475"/>
      <c r="EI78" s="19"/>
      <c r="EJ78" s="274"/>
      <c r="EK78" s="173"/>
      <c r="EL78" s="374">
        <f>SUM(CD78:EG78)</f>
        <v>0</v>
      </c>
      <c r="EM78" s="475"/>
      <c r="EN78" s="19"/>
      <c r="EO78" s="244"/>
    </row>
    <row r="79" spans="4:148" ht="12.75" hidden="1" customHeight="1" x14ac:dyDescent="0.2">
      <c r="D79" s="244" t="s">
        <v>346</v>
      </c>
      <c r="E79" s="82"/>
      <c r="F79" s="82"/>
      <c r="G79" s="19">
        <v>0</v>
      </c>
      <c r="H79" s="18"/>
      <c r="I79" s="19"/>
      <c r="J79" s="274"/>
      <c r="K79" s="274"/>
      <c r="L79" s="19">
        <v>0</v>
      </c>
      <c r="M79" s="18"/>
      <c r="N79" s="19"/>
      <c r="O79" s="274"/>
      <c r="P79" s="274"/>
      <c r="Q79" s="19">
        <v>0</v>
      </c>
      <c r="R79" s="18"/>
      <c r="S79" s="19"/>
      <c r="T79" s="274"/>
      <c r="U79" s="274"/>
      <c r="V79" s="19">
        <v>0</v>
      </c>
      <c r="W79" s="18"/>
      <c r="X79" s="19"/>
      <c r="Y79" s="274"/>
      <c r="Z79" s="274"/>
      <c r="AA79" s="19">
        <v>0</v>
      </c>
      <c r="AB79" s="18"/>
      <c r="AC79" s="19"/>
      <c r="AD79" s="274"/>
      <c r="AE79" s="274"/>
      <c r="AF79" s="19">
        <v>0</v>
      </c>
      <c r="AG79" s="18"/>
      <c r="AH79" s="19"/>
      <c r="AI79" s="274"/>
      <c r="AJ79" s="274"/>
      <c r="AK79" s="19">
        <v>0</v>
      </c>
      <c r="AL79" s="18"/>
      <c r="AM79" s="19"/>
      <c r="AN79" s="274"/>
      <c r="AO79" s="274"/>
      <c r="AP79" s="19">
        <v>0</v>
      </c>
      <c r="AQ79" s="18"/>
      <c r="AR79" s="19"/>
      <c r="AS79" s="274"/>
      <c r="AT79" s="274"/>
      <c r="AU79" s="19">
        <v>0</v>
      </c>
      <c r="AV79" s="18"/>
      <c r="AW79" s="19"/>
      <c r="AX79" s="274"/>
      <c r="AY79" s="274"/>
      <c r="AZ79" s="19">
        <v>0</v>
      </c>
      <c r="BA79" s="18"/>
      <c r="BB79" s="19"/>
      <c r="BC79" s="274"/>
      <c r="BD79" s="274"/>
      <c r="BE79" s="19">
        <v>0</v>
      </c>
      <c r="BF79" s="18"/>
      <c r="BG79" s="19"/>
      <c r="BH79" s="274"/>
      <c r="BI79" s="274"/>
      <c r="BJ79" s="19">
        <v>0</v>
      </c>
      <c r="BK79" s="18"/>
      <c r="BL79" s="19"/>
      <c r="BM79" s="274"/>
      <c r="BN79" s="274"/>
      <c r="BO79" s="19">
        <v>0</v>
      </c>
      <c r="BP79" s="18"/>
      <c r="BQ79" s="19"/>
      <c r="BR79" s="274"/>
      <c r="BS79" s="274"/>
      <c r="BT79" s="19">
        <f>SUM(L79:BO79)</f>
        <v>0</v>
      </c>
      <c r="BU79" s="18"/>
      <c r="BV79" s="19"/>
      <c r="BW79" s="274"/>
      <c r="BX79" s="274"/>
      <c r="BY79" s="19">
        <f>SUM(Q79:BT79)</f>
        <v>0</v>
      </c>
      <c r="BZ79" s="18"/>
      <c r="CA79" s="19"/>
      <c r="CB79" s="274"/>
      <c r="CC79" s="274"/>
      <c r="CD79" s="19">
        <v>0</v>
      </c>
      <c r="CE79" s="18"/>
      <c r="CF79" s="19"/>
      <c r="CG79" s="274"/>
      <c r="CH79" s="274"/>
      <c r="CI79" s="19">
        <v>0</v>
      </c>
      <c r="CJ79" s="18"/>
      <c r="CK79" s="19"/>
      <c r="CL79" s="274"/>
      <c r="CM79" s="274"/>
      <c r="CN79" s="19">
        <v>0</v>
      </c>
      <c r="CO79" s="18"/>
      <c r="CP79" s="19"/>
      <c r="CQ79" s="274"/>
      <c r="CR79" s="274"/>
      <c r="CS79" s="19">
        <v>0</v>
      </c>
      <c r="CT79" s="18"/>
      <c r="CU79" s="19"/>
      <c r="CV79" s="274"/>
      <c r="CW79" s="274"/>
      <c r="CX79" s="19">
        <v>0</v>
      </c>
      <c r="CY79" s="18"/>
      <c r="CZ79" s="19"/>
      <c r="DA79" s="274"/>
      <c r="DB79" s="274"/>
      <c r="DC79" s="19">
        <v>0</v>
      </c>
      <c r="DD79" s="18"/>
      <c r="DE79" s="19"/>
      <c r="DF79" s="274"/>
      <c r="DG79" s="274"/>
      <c r="DH79" s="19">
        <v>0</v>
      </c>
      <c r="DI79" s="18"/>
      <c r="DJ79" s="19"/>
      <c r="DK79" s="274"/>
      <c r="DL79" s="274"/>
      <c r="DM79" s="19">
        <v>0</v>
      </c>
      <c r="DN79" s="18"/>
      <c r="DO79" s="19"/>
      <c r="DP79" s="274"/>
      <c r="DQ79" s="274"/>
      <c r="DR79" s="19">
        <v>0</v>
      </c>
      <c r="DS79" s="18"/>
      <c r="DT79" s="19"/>
      <c r="DU79" s="274"/>
      <c r="DV79" s="274"/>
      <c r="DW79" s="19">
        <v>0</v>
      </c>
      <c r="DX79" s="18"/>
      <c r="DY79" s="19"/>
      <c r="DZ79" s="274"/>
      <c r="EA79" s="274"/>
      <c r="EB79" s="19">
        <v>0</v>
      </c>
      <c r="EC79" s="18"/>
      <c r="ED79" s="19"/>
      <c r="EE79" s="274"/>
      <c r="EF79" s="274"/>
      <c r="EG79" s="19">
        <v>0</v>
      </c>
      <c r="EH79" s="18"/>
      <c r="EI79" s="19"/>
      <c r="EJ79" s="274"/>
      <c r="EK79" s="274"/>
      <c r="EL79" s="19">
        <f>SUM(CD79:EG79)</f>
        <v>0</v>
      </c>
      <c r="EM79" s="18"/>
      <c r="EN79" s="19"/>
      <c r="EO79" s="244"/>
    </row>
    <row r="80" spans="4:148" ht="12.75" hidden="1" customHeight="1" x14ac:dyDescent="0.2">
      <c r="D80" s="244" t="s">
        <v>354</v>
      </c>
      <c r="E80" s="82"/>
      <c r="F80" s="276"/>
      <c r="G80" s="37">
        <v>0</v>
      </c>
      <c r="H80" s="36"/>
      <c r="I80" s="19"/>
      <c r="J80" s="274"/>
      <c r="K80" s="231"/>
      <c r="L80" s="37">
        <v>0</v>
      </c>
      <c r="M80" s="36"/>
      <c r="N80" s="19"/>
      <c r="O80" s="274"/>
      <c r="P80" s="231"/>
      <c r="Q80" s="37">
        <v>0</v>
      </c>
      <c r="R80" s="36"/>
      <c r="S80" s="19"/>
      <c r="T80" s="274"/>
      <c r="U80" s="231"/>
      <c r="V80" s="37">
        <v>0</v>
      </c>
      <c r="W80" s="36"/>
      <c r="X80" s="19"/>
      <c r="Y80" s="274"/>
      <c r="Z80" s="231"/>
      <c r="AA80" s="37">
        <v>0</v>
      </c>
      <c r="AB80" s="36"/>
      <c r="AC80" s="19"/>
      <c r="AD80" s="274"/>
      <c r="AE80" s="231"/>
      <c r="AF80" s="37">
        <v>0</v>
      </c>
      <c r="AG80" s="36"/>
      <c r="AH80" s="19"/>
      <c r="AI80" s="274"/>
      <c r="AJ80" s="231"/>
      <c r="AK80" s="37">
        <v>0</v>
      </c>
      <c r="AL80" s="36"/>
      <c r="AM80" s="19"/>
      <c r="AN80" s="274"/>
      <c r="AO80" s="231"/>
      <c r="AP80" s="37">
        <v>0</v>
      </c>
      <c r="AQ80" s="36"/>
      <c r="AR80" s="19"/>
      <c r="AS80" s="274"/>
      <c r="AT80" s="231"/>
      <c r="AU80" s="37">
        <v>0</v>
      </c>
      <c r="AV80" s="36"/>
      <c r="AW80" s="19"/>
      <c r="AX80" s="274"/>
      <c r="AY80" s="231"/>
      <c r="AZ80" s="37">
        <v>0</v>
      </c>
      <c r="BA80" s="36"/>
      <c r="BB80" s="19"/>
      <c r="BC80" s="274"/>
      <c r="BD80" s="231"/>
      <c r="BE80" s="37">
        <v>0</v>
      </c>
      <c r="BF80" s="36"/>
      <c r="BG80" s="19"/>
      <c r="BH80" s="274"/>
      <c r="BI80" s="231"/>
      <c r="BJ80" s="37">
        <v>0</v>
      </c>
      <c r="BK80" s="36"/>
      <c r="BL80" s="19"/>
      <c r="BM80" s="274"/>
      <c r="BN80" s="231"/>
      <c r="BO80" s="37">
        <v>0</v>
      </c>
      <c r="BP80" s="36"/>
      <c r="BQ80" s="19"/>
      <c r="BR80" s="274"/>
      <c r="BS80" s="231"/>
      <c r="BT80" s="37">
        <f>SUM(L80:BO80)</f>
        <v>0</v>
      </c>
      <c r="BU80" s="36"/>
      <c r="BV80" s="19"/>
      <c r="BW80" s="274"/>
      <c r="BX80" s="231"/>
      <c r="BY80" s="37">
        <f>SUM(Q80:BT80)</f>
        <v>0</v>
      </c>
      <c r="BZ80" s="36"/>
      <c r="CA80" s="19"/>
      <c r="CB80" s="274"/>
      <c r="CC80" s="231"/>
      <c r="CD80" s="37">
        <v>0</v>
      </c>
      <c r="CE80" s="36"/>
      <c r="CF80" s="19"/>
      <c r="CG80" s="274"/>
      <c r="CH80" s="231"/>
      <c r="CI80" s="37">
        <v>0</v>
      </c>
      <c r="CJ80" s="36"/>
      <c r="CK80" s="19"/>
      <c r="CL80" s="274"/>
      <c r="CM80" s="231"/>
      <c r="CN80" s="37">
        <v>0</v>
      </c>
      <c r="CO80" s="36"/>
      <c r="CP80" s="19"/>
      <c r="CQ80" s="274"/>
      <c r="CR80" s="231"/>
      <c r="CS80" s="37">
        <v>0</v>
      </c>
      <c r="CT80" s="36"/>
      <c r="CU80" s="19"/>
      <c r="CV80" s="274"/>
      <c r="CW80" s="231"/>
      <c r="CX80" s="37">
        <v>0</v>
      </c>
      <c r="CY80" s="36"/>
      <c r="CZ80" s="19"/>
      <c r="DA80" s="274"/>
      <c r="DB80" s="231"/>
      <c r="DC80" s="37">
        <v>0</v>
      </c>
      <c r="DD80" s="36"/>
      <c r="DE80" s="19"/>
      <c r="DF80" s="274"/>
      <c r="DG80" s="231"/>
      <c r="DH80" s="37">
        <v>0</v>
      </c>
      <c r="DI80" s="36"/>
      <c r="DJ80" s="19"/>
      <c r="DK80" s="274"/>
      <c r="DL80" s="231"/>
      <c r="DM80" s="37">
        <v>0</v>
      </c>
      <c r="DN80" s="36"/>
      <c r="DO80" s="19"/>
      <c r="DP80" s="274"/>
      <c r="DQ80" s="231"/>
      <c r="DR80" s="37">
        <v>0</v>
      </c>
      <c r="DS80" s="36"/>
      <c r="DT80" s="19"/>
      <c r="DU80" s="274"/>
      <c r="DV80" s="231"/>
      <c r="DW80" s="37">
        <v>0</v>
      </c>
      <c r="DX80" s="36"/>
      <c r="DY80" s="19"/>
      <c r="DZ80" s="274"/>
      <c r="EA80" s="231"/>
      <c r="EB80" s="37">
        <v>0</v>
      </c>
      <c r="EC80" s="36"/>
      <c r="ED80" s="19"/>
      <c r="EE80" s="274"/>
      <c r="EF80" s="231"/>
      <c r="EG80" s="37">
        <v>0</v>
      </c>
      <c r="EH80" s="36"/>
      <c r="EI80" s="19"/>
      <c r="EJ80" s="274"/>
      <c r="EK80" s="231"/>
      <c r="EL80" s="37">
        <f>SUM(CD80:EG80)</f>
        <v>0</v>
      </c>
      <c r="EM80" s="36"/>
      <c r="EN80" s="19"/>
      <c r="EO80" s="244"/>
    </row>
    <row r="81" spans="4:145" ht="12.75" hidden="1" customHeight="1" x14ac:dyDescent="0.2">
      <c r="D81" s="244"/>
      <c r="E81" s="82"/>
      <c r="G81" s="19"/>
      <c r="H81" s="19"/>
      <c r="I81" s="19"/>
      <c r="J81" s="274"/>
      <c r="K81" s="19"/>
      <c r="L81" s="19"/>
      <c r="M81" s="19"/>
      <c r="N81" s="19"/>
      <c r="O81" s="274"/>
      <c r="P81" s="19"/>
      <c r="Q81" s="19"/>
      <c r="R81" s="19"/>
      <c r="S81" s="19"/>
      <c r="T81" s="274"/>
      <c r="U81" s="19"/>
      <c r="V81" s="19"/>
      <c r="W81" s="19"/>
      <c r="X81" s="19"/>
      <c r="Y81" s="274"/>
      <c r="Z81" s="19"/>
      <c r="AA81" s="19"/>
      <c r="AB81" s="19"/>
      <c r="AC81" s="19"/>
      <c r="AD81" s="274"/>
      <c r="AE81" s="19"/>
      <c r="AF81" s="19"/>
      <c r="AG81" s="19"/>
      <c r="AH81" s="19"/>
      <c r="AI81" s="274"/>
      <c r="AJ81" s="19"/>
      <c r="AK81" s="19"/>
      <c r="AL81" s="19"/>
      <c r="AM81" s="19"/>
      <c r="AN81" s="274"/>
      <c r="AO81" s="19"/>
      <c r="AP81" s="19"/>
      <c r="AQ81" s="19"/>
      <c r="AR81" s="19"/>
      <c r="AS81" s="274"/>
      <c r="AT81" s="19"/>
      <c r="AU81" s="19"/>
      <c r="AV81" s="19"/>
      <c r="AW81" s="19"/>
      <c r="AX81" s="274"/>
      <c r="AY81" s="19"/>
      <c r="AZ81" s="19"/>
      <c r="BA81" s="19"/>
      <c r="BB81" s="19"/>
      <c r="BC81" s="274"/>
      <c r="BD81" s="19"/>
      <c r="BE81" s="19"/>
      <c r="BF81" s="19"/>
      <c r="BG81" s="19"/>
      <c r="BH81" s="274"/>
      <c r="BI81" s="19"/>
      <c r="BJ81" s="19"/>
      <c r="BK81" s="19"/>
      <c r="BL81" s="19"/>
      <c r="BM81" s="274"/>
      <c r="BN81" s="19"/>
      <c r="BO81" s="19"/>
      <c r="BP81" s="19"/>
      <c r="BQ81" s="19"/>
      <c r="BR81" s="274"/>
      <c r="BS81" s="19"/>
      <c r="BT81" s="19"/>
      <c r="BU81" s="19"/>
      <c r="BV81" s="19"/>
      <c r="BW81" s="274"/>
      <c r="BX81" s="19"/>
      <c r="BY81" s="19"/>
      <c r="BZ81" s="19"/>
      <c r="CA81" s="19"/>
      <c r="CB81" s="274"/>
      <c r="CC81" s="19"/>
      <c r="CD81" s="19"/>
      <c r="CE81" s="19"/>
      <c r="CF81" s="19"/>
      <c r="CG81" s="274"/>
      <c r="CH81" s="19"/>
      <c r="CI81" s="19"/>
      <c r="CJ81" s="19"/>
      <c r="CK81" s="19"/>
      <c r="CL81" s="274"/>
      <c r="CM81" s="19"/>
      <c r="CN81" s="19"/>
      <c r="CO81" s="19"/>
      <c r="CP81" s="19"/>
      <c r="CQ81" s="274"/>
      <c r="CR81" s="19"/>
      <c r="CS81" s="19"/>
      <c r="CT81" s="19"/>
      <c r="CU81" s="19"/>
      <c r="CV81" s="274"/>
      <c r="CW81" s="19"/>
      <c r="CX81" s="19"/>
      <c r="CY81" s="19"/>
      <c r="CZ81" s="19"/>
      <c r="DA81" s="274"/>
      <c r="DB81" s="19"/>
      <c r="DC81" s="19"/>
      <c r="DD81" s="19"/>
      <c r="DE81" s="19"/>
      <c r="DF81" s="274"/>
      <c r="DG81" s="19"/>
      <c r="DH81" s="19"/>
      <c r="DI81" s="19"/>
      <c r="DJ81" s="19"/>
      <c r="DK81" s="274"/>
      <c r="DL81" s="19"/>
      <c r="DM81" s="19"/>
      <c r="DN81" s="19"/>
      <c r="DO81" s="19"/>
      <c r="DP81" s="274"/>
      <c r="DQ81" s="19"/>
      <c r="DR81" s="19"/>
      <c r="DS81" s="19"/>
      <c r="DT81" s="19"/>
      <c r="DU81" s="274"/>
      <c r="DV81" s="19"/>
      <c r="DW81" s="19"/>
      <c r="DX81" s="19"/>
      <c r="DY81" s="19"/>
      <c r="DZ81" s="274"/>
      <c r="EA81" s="19"/>
      <c r="EB81" s="19"/>
      <c r="EC81" s="19"/>
      <c r="ED81" s="19"/>
      <c r="EE81" s="274"/>
      <c r="EF81" s="19"/>
      <c r="EG81" s="19"/>
      <c r="EH81" s="19"/>
      <c r="EI81" s="19"/>
      <c r="EJ81" s="274"/>
      <c r="EK81" s="19"/>
      <c r="EL81" s="19"/>
      <c r="EM81" s="19"/>
      <c r="EN81" s="19"/>
      <c r="EO81" s="244"/>
    </row>
    <row r="82" spans="4:145" ht="12.75" hidden="1" customHeight="1" x14ac:dyDescent="0.2">
      <c r="D82" s="244" t="s">
        <v>448</v>
      </c>
      <c r="E82" s="82"/>
      <c r="G82" s="19">
        <v>0</v>
      </c>
      <c r="H82" s="19"/>
      <c r="I82" s="19"/>
      <c r="J82" s="274"/>
      <c r="K82" s="19"/>
      <c r="L82" s="19">
        <f>SUM(L83:L85)</f>
        <v>0</v>
      </c>
      <c r="M82" s="19"/>
      <c r="N82" s="19"/>
      <c r="O82" s="274"/>
      <c r="P82" s="19"/>
      <c r="Q82" s="19">
        <f>SUM(Q83:Q85)</f>
        <v>0</v>
      </c>
      <c r="R82" s="19"/>
      <c r="S82" s="19"/>
      <c r="T82" s="274"/>
      <c r="U82" s="19"/>
      <c r="V82" s="19">
        <f>SUM(V83:V85)</f>
        <v>0</v>
      </c>
      <c r="W82" s="19"/>
      <c r="X82" s="19"/>
      <c r="Y82" s="274"/>
      <c r="Z82" s="19"/>
      <c r="AA82" s="19">
        <f>SUM(AA83:AA85)</f>
        <v>0</v>
      </c>
      <c r="AB82" s="19"/>
      <c r="AC82" s="19"/>
      <c r="AD82" s="274"/>
      <c r="AE82" s="19"/>
      <c r="AF82" s="19">
        <f>SUM(AF83:AF85)</f>
        <v>0</v>
      </c>
      <c r="AG82" s="19"/>
      <c r="AH82" s="19"/>
      <c r="AI82" s="274"/>
      <c r="AJ82" s="19"/>
      <c r="AK82" s="19">
        <f>SUM(AK83:AK85)</f>
        <v>0</v>
      </c>
      <c r="AL82" s="19"/>
      <c r="AM82" s="19"/>
      <c r="AN82" s="274"/>
      <c r="AO82" s="19"/>
      <c r="AP82" s="19">
        <f>SUM(AP83:AP85)</f>
        <v>0</v>
      </c>
      <c r="AQ82" s="19"/>
      <c r="AR82" s="19"/>
      <c r="AS82" s="274"/>
      <c r="AT82" s="19"/>
      <c r="AU82" s="19">
        <f>SUM(AU83:AU85)</f>
        <v>0</v>
      </c>
      <c r="AV82" s="19"/>
      <c r="AW82" s="19"/>
      <c r="AX82" s="274"/>
      <c r="AY82" s="19"/>
      <c r="AZ82" s="19">
        <f>SUM(AZ83:AZ85)</f>
        <v>0</v>
      </c>
      <c r="BA82" s="19"/>
      <c r="BB82" s="19"/>
      <c r="BC82" s="274"/>
      <c r="BD82" s="19"/>
      <c r="BE82" s="19">
        <f>SUM(BE83:BE85)</f>
        <v>0</v>
      </c>
      <c r="BF82" s="19"/>
      <c r="BG82" s="19"/>
      <c r="BH82" s="274"/>
      <c r="BI82" s="19"/>
      <c r="BJ82" s="19">
        <f>SUM(BJ83:BJ85)</f>
        <v>0</v>
      </c>
      <c r="BK82" s="19"/>
      <c r="BL82" s="19"/>
      <c r="BM82" s="274"/>
      <c r="BN82" s="19"/>
      <c r="BO82" s="19">
        <f>SUM(BO83:BO85)</f>
        <v>0</v>
      </c>
      <c r="BP82" s="19"/>
      <c r="BQ82" s="19"/>
      <c r="BR82" s="274"/>
      <c r="BS82" s="19"/>
      <c r="BT82" s="19">
        <f>SUM(BT83:BT85)</f>
        <v>0</v>
      </c>
      <c r="BU82" s="19"/>
      <c r="BV82" s="19"/>
      <c r="BW82" s="274"/>
      <c r="BX82" s="19"/>
      <c r="BY82" s="19">
        <f>SUM(BY83:BY85)</f>
        <v>0</v>
      </c>
      <c r="BZ82" s="19"/>
      <c r="CA82" s="19"/>
      <c r="CB82" s="274"/>
      <c r="CC82" s="19"/>
      <c r="CD82" s="19">
        <f>SUM(CD83:CD85)</f>
        <v>0</v>
      </c>
      <c r="CE82" s="19"/>
      <c r="CF82" s="19"/>
      <c r="CG82" s="274"/>
      <c r="CH82" s="19"/>
      <c r="CI82" s="19">
        <f>SUM(CI83:CI85)</f>
        <v>0</v>
      </c>
      <c r="CJ82" s="19"/>
      <c r="CK82" s="19"/>
      <c r="CL82" s="274"/>
      <c r="CM82" s="19"/>
      <c r="CN82" s="19">
        <f>SUM(CN83:CN85)</f>
        <v>0</v>
      </c>
      <c r="CO82" s="19"/>
      <c r="CP82" s="19"/>
      <c r="CQ82" s="274"/>
      <c r="CR82" s="19"/>
      <c r="CS82" s="19">
        <f>SUM(CS83:CS85)</f>
        <v>0</v>
      </c>
      <c r="CT82" s="19"/>
      <c r="CU82" s="19"/>
      <c r="CV82" s="274"/>
      <c r="CW82" s="19"/>
      <c r="CX82" s="19">
        <f>SUM(CX83:CX85)</f>
        <v>0</v>
      </c>
      <c r="CY82" s="19"/>
      <c r="CZ82" s="19"/>
      <c r="DA82" s="274"/>
      <c r="DB82" s="19"/>
      <c r="DC82" s="19">
        <f>SUM(DC83:DC85)</f>
        <v>0</v>
      </c>
      <c r="DD82" s="19"/>
      <c r="DE82" s="19"/>
      <c r="DF82" s="274"/>
      <c r="DG82" s="19"/>
      <c r="DH82" s="19">
        <f>SUM(DH83:DH85)</f>
        <v>0</v>
      </c>
      <c r="DI82" s="19"/>
      <c r="DJ82" s="19"/>
      <c r="DK82" s="274"/>
      <c r="DL82" s="19"/>
      <c r="DM82" s="19">
        <f>SUM(DM83:DM85)</f>
        <v>0</v>
      </c>
      <c r="DN82" s="19"/>
      <c r="DO82" s="19"/>
      <c r="DP82" s="274"/>
      <c r="DQ82" s="19"/>
      <c r="DR82" s="19">
        <f>SUM(DR83:DR85)</f>
        <v>0</v>
      </c>
      <c r="DS82" s="19"/>
      <c r="DT82" s="19"/>
      <c r="DU82" s="274"/>
      <c r="DV82" s="19"/>
      <c r="DW82" s="19">
        <f>SUM(DW83:DW85)</f>
        <v>0</v>
      </c>
      <c r="DX82" s="19"/>
      <c r="DY82" s="19"/>
      <c r="DZ82" s="274"/>
      <c r="EA82" s="19"/>
      <c r="EB82" s="19">
        <f>SUM(EB83:EB85)</f>
        <v>0</v>
      </c>
      <c r="EC82" s="19"/>
      <c r="ED82" s="19"/>
      <c r="EE82" s="274"/>
      <c r="EF82" s="19"/>
      <c r="EG82" s="19">
        <f>SUM(EG83:EG85)</f>
        <v>0</v>
      </c>
      <c r="EH82" s="19"/>
      <c r="EI82" s="19"/>
      <c r="EJ82" s="274"/>
      <c r="EK82" s="19"/>
      <c r="EL82" s="19">
        <f>SUM(EL83:EL85)</f>
        <v>0</v>
      </c>
      <c r="EM82" s="19"/>
      <c r="EN82" s="19"/>
      <c r="EO82" s="244"/>
    </row>
    <row r="83" spans="4:145" ht="12.75" hidden="1" customHeight="1" x14ac:dyDescent="0.2">
      <c r="D83" s="244" t="s">
        <v>344</v>
      </c>
      <c r="E83" s="82"/>
      <c r="F83" s="112"/>
      <c r="G83" s="374">
        <v>0</v>
      </c>
      <c r="H83" s="475"/>
      <c r="I83" s="19"/>
      <c r="J83" s="274"/>
      <c r="K83" s="173"/>
      <c r="L83" s="374">
        <v>0</v>
      </c>
      <c r="M83" s="475"/>
      <c r="N83" s="19"/>
      <c r="O83" s="274"/>
      <c r="P83" s="173"/>
      <c r="Q83" s="374">
        <v>0</v>
      </c>
      <c r="R83" s="475"/>
      <c r="S83" s="19"/>
      <c r="T83" s="274"/>
      <c r="U83" s="173"/>
      <c r="V83" s="374">
        <v>0</v>
      </c>
      <c r="W83" s="475"/>
      <c r="X83" s="19"/>
      <c r="Y83" s="274"/>
      <c r="Z83" s="173"/>
      <c r="AA83" s="374">
        <v>0</v>
      </c>
      <c r="AB83" s="475"/>
      <c r="AC83" s="19"/>
      <c r="AD83" s="274"/>
      <c r="AE83" s="173"/>
      <c r="AF83" s="374">
        <v>0</v>
      </c>
      <c r="AG83" s="475"/>
      <c r="AH83" s="19"/>
      <c r="AI83" s="274"/>
      <c r="AJ83" s="173"/>
      <c r="AK83" s="374">
        <v>0</v>
      </c>
      <c r="AL83" s="475"/>
      <c r="AM83" s="19"/>
      <c r="AN83" s="274"/>
      <c r="AO83" s="173"/>
      <c r="AP83" s="374">
        <v>0</v>
      </c>
      <c r="AQ83" s="475"/>
      <c r="AR83" s="19"/>
      <c r="AS83" s="274"/>
      <c r="AT83" s="173"/>
      <c r="AU83" s="374">
        <v>0</v>
      </c>
      <c r="AV83" s="475"/>
      <c r="AW83" s="19"/>
      <c r="AX83" s="274"/>
      <c r="AY83" s="173"/>
      <c r="AZ83" s="374">
        <v>0</v>
      </c>
      <c r="BA83" s="475"/>
      <c r="BB83" s="19"/>
      <c r="BC83" s="274"/>
      <c r="BD83" s="173"/>
      <c r="BE83" s="374">
        <v>0</v>
      </c>
      <c r="BF83" s="475"/>
      <c r="BG83" s="19"/>
      <c r="BH83" s="274"/>
      <c r="BI83" s="173"/>
      <c r="BJ83" s="374">
        <v>0</v>
      </c>
      <c r="BK83" s="475"/>
      <c r="BL83" s="19"/>
      <c r="BM83" s="274"/>
      <c r="BN83" s="173"/>
      <c r="BO83" s="374">
        <v>0</v>
      </c>
      <c r="BP83" s="475"/>
      <c r="BQ83" s="19"/>
      <c r="BR83" s="274"/>
      <c r="BS83" s="173"/>
      <c r="BT83" s="374">
        <f>SUM(L83:BO83)</f>
        <v>0</v>
      </c>
      <c r="BU83" s="475"/>
      <c r="BV83" s="19"/>
      <c r="BW83" s="274"/>
      <c r="BX83" s="173"/>
      <c r="BY83" s="374">
        <f>SUM(Q83:BT83)</f>
        <v>0</v>
      </c>
      <c r="BZ83" s="475"/>
      <c r="CA83" s="19"/>
      <c r="CB83" s="274"/>
      <c r="CC83" s="173"/>
      <c r="CD83" s="374">
        <v>0</v>
      </c>
      <c r="CE83" s="475"/>
      <c r="CF83" s="19"/>
      <c r="CG83" s="274"/>
      <c r="CH83" s="173"/>
      <c r="CI83" s="374">
        <v>0</v>
      </c>
      <c r="CJ83" s="475"/>
      <c r="CK83" s="19"/>
      <c r="CL83" s="274"/>
      <c r="CM83" s="173"/>
      <c r="CN83" s="374">
        <v>0</v>
      </c>
      <c r="CO83" s="475"/>
      <c r="CP83" s="19"/>
      <c r="CQ83" s="274"/>
      <c r="CR83" s="173"/>
      <c r="CS83" s="374">
        <v>0</v>
      </c>
      <c r="CT83" s="475"/>
      <c r="CU83" s="19"/>
      <c r="CV83" s="274"/>
      <c r="CW83" s="173"/>
      <c r="CX83" s="374">
        <v>0</v>
      </c>
      <c r="CY83" s="475"/>
      <c r="CZ83" s="19"/>
      <c r="DA83" s="274"/>
      <c r="DB83" s="173"/>
      <c r="DC83" s="374">
        <v>0</v>
      </c>
      <c r="DD83" s="475"/>
      <c r="DE83" s="19"/>
      <c r="DF83" s="274"/>
      <c r="DG83" s="173"/>
      <c r="DH83" s="374">
        <v>0</v>
      </c>
      <c r="DI83" s="475"/>
      <c r="DJ83" s="19"/>
      <c r="DK83" s="274"/>
      <c r="DL83" s="173"/>
      <c r="DM83" s="374">
        <v>0</v>
      </c>
      <c r="DN83" s="475"/>
      <c r="DO83" s="19"/>
      <c r="DP83" s="274"/>
      <c r="DQ83" s="173"/>
      <c r="DR83" s="374">
        <v>0</v>
      </c>
      <c r="DS83" s="475"/>
      <c r="DT83" s="19"/>
      <c r="DU83" s="274"/>
      <c r="DV83" s="173"/>
      <c r="DW83" s="374">
        <v>0</v>
      </c>
      <c r="DX83" s="475"/>
      <c r="DY83" s="19"/>
      <c r="DZ83" s="274"/>
      <c r="EA83" s="173"/>
      <c r="EB83" s="374">
        <v>0</v>
      </c>
      <c r="EC83" s="475"/>
      <c r="ED83" s="19"/>
      <c r="EE83" s="274"/>
      <c r="EF83" s="173"/>
      <c r="EG83" s="374">
        <v>0</v>
      </c>
      <c r="EH83" s="475"/>
      <c r="EI83" s="19"/>
      <c r="EJ83" s="274"/>
      <c r="EK83" s="173"/>
      <c r="EL83" s="374">
        <f>SUM(CD83:EG83)</f>
        <v>0</v>
      </c>
      <c r="EM83" s="475"/>
      <c r="EN83" s="19"/>
      <c r="EO83" s="244"/>
    </row>
    <row r="84" spans="4:145" ht="12.75" hidden="1" customHeight="1" x14ac:dyDescent="0.2">
      <c r="D84" s="244" t="s">
        <v>346</v>
      </c>
      <c r="E84" s="82"/>
      <c r="F84" s="82"/>
      <c r="G84" s="19">
        <v>0</v>
      </c>
      <c r="H84" s="18"/>
      <c r="I84" s="19"/>
      <c r="J84" s="274"/>
      <c r="K84" s="274"/>
      <c r="L84" s="19">
        <v>0</v>
      </c>
      <c r="M84" s="18"/>
      <c r="N84" s="19"/>
      <c r="O84" s="274"/>
      <c r="P84" s="274"/>
      <c r="Q84" s="19">
        <v>0</v>
      </c>
      <c r="R84" s="18"/>
      <c r="S84" s="19"/>
      <c r="T84" s="274"/>
      <c r="U84" s="274"/>
      <c r="V84" s="19">
        <v>0</v>
      </c>
      <c r="W84" s="18"/>
      <c r="X84" s="19"/>
      <c r="Y84" s="274"/>
      <c r="Z84" s="274"/>
      <c r="AA84" s="19">
        <v>0</v>
      </c>
      <c r="AB84" s="18"/>
      <c r="AC84" s="19"/>
      <c r="AD84" s="274"/>
      <c r="AE84" s="274"/>
      <c r="AF84" s="19">
        <v>0</v>
      </c>
      <c r="AG84" s="18"/>
      <c r="AH84" s="19"/>
      <c r="AI84" s="274"/>
      <c r="AJ84" s="274"/>
      <c r="AK84" s="19">
        <v>0</v>
      </c>
      <c r="AL84" s="18"/>
      <c r="AM84" s="19"/>
      <c r="AN84" s="274"/>
      <c r="AO84" s="274"/>
      <c r="AP84" s="19">
        <v>0</v>
      </c>
      <c r="AQ84" s="18"/>
      <c r="AR84" s="19"/>
      <c r="AS84" s="274"/>
      <c r="AT84" s="274"/>
      <c r="AU84" s="19">
        <v>0</v>
      </c>
      <c r="AV84" s="18"/>
      <c r="AW84" s="19"/>
      <c r="AX84" s="274"/>
      <c r="AY84" s="274"/>
      <c r="AZ84" s="19">
        <v>0</v>
      </c>
      <c r="BA84" s="18"/>
      <c r="BB84" s="19"/>
      <c r="BC84" s="274"/>
      <c r="BD84" s="274"/>
      <c r="BE84" s="19">
        <v>0</v>
      </c>
      <c r="BF84" s="18"/>
      <c r="BG84" s="19"/>
      <c r="BH84" s="274"/>
      <c r="BI84" s="274"/>
      <c r="BJ84" s="19">
        <v>0</v>
      </c>
      <c r="BK84" s="18"/>
      <c r="BL84" s="19"/>
      <c r="BM84" s="274"/>
      <c r="BN84" s="274"/>
      <c r="BO84" s="19">
        <v>0</v>
      </c>
      <c r="BP84" s="18"/>
      <c r="BQ84" s="19"/>
      <c r="BR84" s="274"/>
      <c r="BS84" s="274"/>
      <c r="BT84" s="19">
        <f>SUM(L84:BO84)</f>
        <v>0</v>
      </c>
      <c r="BU84" s="18"/>
      <c r="BV84" s="19"/>
      <c r="BW84" s="274"/>
      <c r="BX84" s="274"/>
      <c r="BY84" s="19">
        <f>SUM(Q84:BT84)</f>
        <v>0</v>
      </c>
      <c r="BZ84" s="18"/>
      <c r="CA84" s="19"/>
      <c r="CB84" s="274"/>
      <c r="CC84" s="274"/>
      <c r="CD84" s="19">
        <v>0</v>
      </c>
      <c r="CE84" s="18"/>
      <c r="CF84" s="19"/>
      <c r="CG84" s="274"/>
      <c r="CH84" s="274"/>
      <c r="CI84" s="19">
        <v>0</v>
      </c>
      <c r="CJ84" s="18"/>
      <c r="CK84" s="19"/>
      <c r="CL84" s="274"/>
      <c r="CM84" s="274"/>
      <c r="CN84" s="19">
        <v>0</v>
      </c>
      <c r="CO84" s="18"/>
      <c r="CP84" s="19"/>
      <c r="CQ84" s="274"/>
      <c r="CR84" s="274"/>
      <c r="CS84" s="19">
        <v>0</v>
      </c>
      <c r="CT84" s="18"/>
      <c r="CU84" s="19"/>
      <c r="CV84" s="274"/>
      <c r="CW84" s="274"/>
      <c r="CX84" s="19">
        <v>0</v>
      </c>
      <c r="CY84" s="18"/>
      <c r="CZ84" s="19"/>
      <c r="DA84" s="274"/>
      <c r="DB84" s="274"/>
      <c r="DC84" s="19">
        <v>0</v>
      </c>
      <c r="DD84" s="18"/>
      <c r="DE84" s="19"/>
      <c r="DF84" s="274"/>
      <c r="DG84" s="274"/>
      <c r="DH84" s="19">
        <v>0</v>
      </c>
      <c r="DI84" s="18"/>
      <c r="DJ84" s="19"/>
      <c r="DK84" s="274"/>
      <c r="DL84" s="274"/>
      <c r="DM84" s="19">
        <v>0</v>
      </c>
      <c r="DN84" s="18"/>
      <c r="DO84" s="19"/>
      <c r="DP84" s="274"/>
      <c r="DQ84" s="274"/>
      <c r="DR84" s="19">
        <v>0</v>
      </c>
      <c r="DS84" s="18"/>
      <c r="DT84" s="19"/>
      <c r="DU84" s="274"/>
      <c r="DV84" s="274"/>
      <c r="DW84" s="19">
        <v>0</v>
      </c>
      <c r="DX84" s="18"/>
      <c r="DY84" s="19"/>
      <c r="DZ84" s="274"/>
      <c r="EA84" s="274"/>
      <c r="EB84" s="19">
        <v>0</v>
      </c>
      <c r="EC84" s="18"/>
      <c r="ED84" s="19"/>
      <c r="EE84" s="274"/>
      <c r="EF84" s="274"/>
      <c r="EG84" s="19">
        <v>0</v>
      </c>
      <c r="EH84" s="18"/>
      <c r="EI84" s="19"/>
      <c r="EJ84" s="274"/>
      <c r="EK84" s="274"/>
      <c r="EL84" s="19">
        <f>SUM(CD84:EG84)</f>
        <v>0</v>
      </c>
      <c r="EM84" s="18"/>
      <c r="EN84" s="19"/>
      <c r="EO84" s="244"/>
    </row>
    <row r="85" spans="4:145" ht="12.75" hidden="1" customHeight="1" x14ac:dyDescent="0.2">
      <c r="D85" s="244" t="s">
        <v>354</v>
      </c>
      <c r="E85" s="82"/>
      <c r="F85" s="276"/>
      <c r="G85" s="37">
        <v>0</v>
      </c>
      <c r="H85" s="36"/>
      <c r="I85" s="19"/>
      <c r="J85" s="274"/>
      <c r="K85" s="231"/>
      <c r="L85" s="37">
        <v>0</v>
      </c>
      <c r="M85" s="36"/>
      <c r="N85" s="19"/>
      <c r="O85" s="274"/>
      <c r="P85" s="231"/>
      <c r="Q85" s="37">
        <v>0</v>
      </c>
      <c r="R85" s="36"/>
      <c r="S85" s="19"/>
      <c r="T85" s="274"/>
      <c r="U85" s="231"/>
      <c r="V85" s="37">
        <v>0</v>
      </c>
      <c r="W85" s="36"/>
      <c r="X85" s="19"/>
      <c r="Y85" s="274"/>
      <c r="Z85" s="231"/>
      <c r="AA85" s="37">
        <v>0</v>
      </c>
      <c r="AB85" s="36"/>
      <c r="AC85" s="19"/>
      <c r="AD85" s="274"/>
      <c r="AE85" s="231"/>
      <c r="AF85" s="37">
        <v>0</v>
      </c>
      <c r="AG85" s="36"/>
      <c r="AH85" s="19"/>
      <c r="AI85" s="274"/>
      <c r="AJ85" s="231"/>
      <c r="AK85" s="37">
        <v>0</v>
      </c>
      <c r="AL85" s="36"/>
      <c r="AM85" s="19"/>
      <c r="AN85" s="274"/>
      <c r="AO85" s="231"/>
      <c r="AP85" s="37">
        <v>0</v>
      </c>
      <c r="AQ85" s="36"/>
      <c r="AR85" s="19"/>
      <c r="AS85" s="274"/>
      <c r="AT85" s="231"/>
      <c r="AU85" s="37">
        <v>0</v>
      </c>
      <c r="AV85" s="36"/>
      <c r="AW85" s="19"/>
      <c r="AX85" s="274"/>
      <c r="AY85" s="231"/>
      <c r="AZ85" s="37">
        <v>0</v>
      </c>
      <c r="BA85" s="36"/>
      <c r="BB85" s="19"/>
      <c r="BC85" s="274"/>
      <c r="BD85" s="231"/>
      <c r="BE85" s="37">
        <v>0</v>
      </c>
      <c r="BF85" s="36"/>
      <c r="BG85" s="19"/>
      <c r="BH85" s="274"/>
      <c r="BI85" s="231"/>
      <c r="BJ85" s="37">
        <v>0</v>
      </c>
      <c r="BK85" s="36"/>
      <c r="BL85" s="19"/>
      <c r="BM85" s="274"/>
      <c r="BN85" s="231"/>
      <c r="BO85" s="37">
        <v>0</v>
      </c>
      <c r="BP85" s="36"/>
      <c r="BQ85" s="19"/>
      <c r="BR85" s="274"/>
      <c r="BS85" s="231"/>
      <c r="BT85" s="37">
        <f>SUM(L85:BO85)</f>
        <v>0</v>
      </c>
      <c r="BU85" s="36"/>
      <c r="BV85" s="19"/>
      <c r="BW85" s="274"/>
      <c r="BX85" s="231"/>
      <c r="BY85" s="37">
        <f>SUM(Q85:BT85)</f>
        <v>0</v>
      </c>
      <c r="BZ85" s="36"/>
      <c r="CA85" s="19"/>
      <c r="CB85" s="274"/>
      <c r="CC85" s="231"/>
      <c r="CD85" s="37">
        <v>0</v>
      </c>
      <c r="CE85" s="36"/>
      <c r="CF85" s="19"/>
      <c r="CG85" s="274"/>
      <c r="CH85" s="231"/>
      <c r="CI85" s="37">
        <v>0</v>
      </c>
      <c r="CJ85" s="36"/>
      <c r="CK85" s="19"/>
      <c r="CL85" s="274"/>
      <c r="CM85" s="231"/>
      <c r="CN85" s="37">
        <v>0</v>
      </c>
      <c r="CO85" s="36"/>
      <c r="CP85" s="19"/>
      <c r="CQ85" s="274"/>
      <c r="CR85" s="231"/>
      <c r="CS85" s="37">
        <v>0</v>
      </c>
      <c r="CT85" s="36"/>
      <c r="CU85" s="19"/>
      <c r="CV85" s="274"/>
      <c r="CW85" s="231"/>
      <c r="CX85" s="37">
        <v>0</v>
      </c>
      <c r="CY85" s="36"/>
      <c r="CZ85" s="19"/>
      <c r="DA85" s="274"/>
      <c r="DB85" s="231"/>
      <c r="DC85" s="37">
        <v>0</v>
      </c>
      <c r="DD85" s="36"/>
      <c r="DE85" s="19"/>
      <c r="DF85" s="274"/>
      <c r="DG85" s="231"/>
      <c r="DH85" s="37">
        <v>0</v>
      </c>
      <c r="DI85" s="36"/>
      <c r="DJ85" s="19"/>
      <c r="DK85" s="274"/>
      <c r="DL85" s="231"/>
      <c r="DM85" s="37">
        <v>0</v>
      </c>
      <c r="DN85" s="36"/>
      <c r="DO85" s="19"/>
      <c r="DP85" s="274"/>
      <c r="DQ85" s="231"/>
      <c r="DR85" s="37">
        <v>0</v>
      </c>
      <c r="DS85" s="36"/>
      <c r="DT85" s="19"/>
      <c r="DU85" s="274"/>
      <c r="DV85" s="231"/>
      <c r="DW85" s="37">
        <v>0</v>
      </c>
      <c r="DX85" s="36"/>
      <c r="DY85" s="19"/>
      <c r="DZ85" s="274"/>
      <c r="EA85" s="231"/>
      <c r="EB85" s="37">
        <v>0</v>
      </c>
      <c r="EC85" s="36"/>
      <c r="ED85" s="19"/>
      <c r="EE85" s="274"/>
      <c r="EF85" s="231"/>
      <c r="EG85" s="37">
        <v>0</v>
      </c>
      <c r="EH85" s="36"/>
      <c r="EI85" s="19"/>
      <c r="EJ85" s="274"/>
      <c r="EK85" s="231"/>
      <c r="EL85" s="37">
        <f>SUM(CD85:EG85)</f>
        <v>0</v>
      </c>
      <c r="EM85" s="36"/>
      <c r="EN85" s="19"/>
      <c r="EO85" s="244"/>
    </row>
    <row r="86" spans="4:145" ht="12.75" hidden="1" customHeight="1" x14ac:dyDescent="0.2">
      <c r="D86" s="244"/>
      <c r="E86" s="82"/>
      <c r="G86" s="19"/>
      <c r="H86" s="19"/>
      <c r="I86" s="19"/>
      <c r="J86" s="274"/>
      <c r="K86" s="19"/>
      <c r="L86" s="19"/>
      <c r="M86" s="19"/>
      <c r="N86" s="19"/>
      <c r="O86" s="274"/>
      <c r="P86" s="19"/>
      <c r="Q86" s="19"/>
      <c r="R86" s="19"/>
      <c r="S86" s="19"/>
      <c r="T86" s="274"/>
      <c r="U86" s="19"/>
      <c r="V86" s="19"/>
      <c r="W86" s="19"/>
      <c r="X86" s="19"/>
      <c r="Y86" s="274"/>
      <c r="Z86" s="19"/>
      <c r="AA86" s="19"/>
      <c r="AB86" s="19"/>
      <c r="AC86" s="19"/>
      <c r="AD86" s="274"/>
      <c r="AE86" s="19"/>
      <c r="AF86" s="19"/>
      <c r="AG86" s="19"/>
      <c r="AH86" s="19"/>
      <c r="AI86" s="274"/>
      <c r="AJ86" s="19"/>
      <c r="AK86" s="19"/>
      <c r="AL86" s="19"/>
      <c r="AM86" s="19"/>
      <c r="AN86" s="274"/>
      <c r="AO86" s="19"/>
      <c r="AP86" s="19"/>
      <c r="AQ86" s="19"/>
      <c r="AR86" s="19"/>
      <c r="AS86" s="274"/>
      <c r="AT86" s="19"/>
      <c r="AU86" s="19"/>
      <c r="AV86" s="19"/>
      <c r="AW86" s="19"/>
      <c r="AX86" s="274"/>
      <c r="AY86" s="19"/>
      <c r="AZ86" s="19"/>
      <c r="BA86" s="19"/>
      <c r="BB86" s="19"/>
      <c r="BC86" s="274"/>
      <c r="BD86" s="19"/>
      <c r="BE86" s="19"/>
      <c r="BF86" s="19"/>
      <c r="BG86" s="19"/>
      <c r="BH86" s="274"/>
      <c r="BI86" s="19"/>
      <c r="BJ86" s="19"/>
      <c r="BK86" s="19"/>
      <c r="BL86" s="19"/>
      <c r="BM86" s="274"/>
      <c r="BN86" s="19"/>
      <c r="BO86" s="19"/>
      <c r="BP86" s="19"/>
      <c r="BQ86" s="19"/>
      <c r="BR86" s="274"/>
      <c r="BS86" s="19"/>
      <c r="BT86" s="19"/>
      <c r="BU86" s="19"/>
      <c r="BV86" s="19"/>
      <c r="BW86" s="274"/>
      <c r="BX86" s="19"/>
      <c r="BY86" s="19"/>
      <c r="BZ86" s="19"/>
      <c r="CA86" s="19"/>
      <c r="CB86" s="274"/>
      <c r="CC86" s="19"/>
      <c r="CD86" s="19"/>
      <c r="CE86" s="19"/>
      <c r="CF86" s="19"/>
      <c r="CG86" s="274"/>
      <c r="CH86" s="19"/>
      <c r="CI86" s="19"/>
      <c r="CJ86" s="19"/>
      <c r="CK86" s="19"/>
      <c r="CL86" s="274"/>
      <c r="CM86" s="19"/>
      <c r="CN86" s="19"/>
      <c r="CO86" s="19"/>
      <c r="CP86" s="19"/>
      <c r="CQ86" s="274"/>
      <c r="CR86" s="19"/>
      <c r="CS86" s="19"/>
      <c r="CT86" s="19"/>
      <c r="CU86" s="19"/>
      <c r="CV86" s="274"/>
      <c r="CW86" s="19"/>
      <c r="CX86" s="19"/>
      <c r="CY86" s="19"/>
      <c r="CZ86" s="19"/>
      <c r="DA86" s="274"/>
      <c r="DB86" s="19"/>
      <c r="DC86" s="19"/>
      <c r="DD86" s="19"/>
      <c r="DE86" s="19"/>
      <c r="DF86" s="274"/>
      <c r="DG86" s="19"/>
      <c r="DH86" s="19"/>
      <c r="DI86" s="19"/>
      <c r="DJ86" s="19"/>
      <c r="DK86" s="274"/>
      <c r="DL86" s="19"/>
      <c r="DM86" s="19"/>
      <c r="DN86" s="19"/>
      <c r="DO86" s="19"/>
      <c r="DP86" s="274"/>
      <c r="DQ86" s="19"/>
      <c r="DR86" s="19"/>
      <c r="DS86" s="19"/>
      <c r="DT86" s="19"/>
      <c r="DU86" s="274"/>
      <c r="DV86" s="19"/>
      <c r="DW86" s="19"/>
      <c r="DX86" s="19"/>
      <c r="DY86" s="19"/>
      <c r="DZ86" s="274"/>
      <c r="EA86" s="19"/>
      <c r="EB86" s="19"/>
      <c r="EC86" s="19"/>
      <c r="ED86" s="19"/>
      <c r="EE86" s="274"/>
      <c r="EF86" s="19"/>
      <c r="EG86" s="19"/>
      <c r="EH86" s="19"/>
      <c r="EI86" s="19"/>
      <c r="EJ86" s="274"/>
      <c r="EK86" s="19"/>
      <c r="EL86" s="19"/>
      <c r="EM86" s="19"/>
      <c r="EN86" s="19"/>
      <c r="EO86" s="244"/>
    </row>
    <row r="87" spans="4:145" ht="12.75" hidden="1" customHeight="1" x14ac:dyDescent="0.2">
      <c r="D87" s="244" t="s">
        <v>458</v>
      </c>
      <c r="E87" s="82"/>
      <c r="G87" s="19">
        <v>0</v>
      </c>
      <c r="H87" s="19"/>
      <c r="I87" s="19"/>
      <c r="J87" s="274"/>
      <c r="K87" s="19"/>
      <c r="L87" s="19">
        <f>SUM(L88:L90)</f>
        <v>0</v>
      </c>
      <c r="M87" s="19"/>
      <c r="N87" s="19"/>
      <c r="O87" s="274"/>
      <c r="P87" s="19"/>
      <c r="Q87" s="19">
        <f>SUM(Q88:Q90)</f>
        <v>0</v>
      </c>
      <c r="R87" s="19"/>
      <c r="S87" s="19"/>
      <c r="T87" s="274"/>
      <c r="U87" s="19"/>
      <c r="V87" s="19">
        <f>SUM(V88:V90)</f>
        <v>0</v>
      </c>
      <c r="W87" s="19"/>
      <c r="X87" s="19"/>
      <c r="Y87" s="274"/>
      <c r="Z87" s="19"/>
      <c r="AA87" s="19">
        <f>SUM(AA88:AA90)</f>
        <v>0</v>
      </c>
      <c r="AB87" s="19"/>
      <c r="AC87" s="19"/>
      <c r="AD87" s="274"/>
      <c r="AE87" s="19"/>
      <c r="AF87" s="19">
        <f>SUM(AF88:AF90)</f>
        <v>0</v>
      </c>
      <c r="AG87" s="19"/>
      <c r="AH87" s="19"/>
      <c r="AI87" s="274"/>
      <c r="AJ87" s="19"/>
      <c r="AK87" s="19">
        <f>SUM(AK88:AK90)</f>
        <v>0</v>
      </c>
      <c r="AL87" s="19"/>
      <c r="AM87" s="19"/>
      <c r="AN87" s="274"/>
      <c r="AO87" s="19"/>
      <c r="AP87" s="19">
        <f>SUM(AP88:AP90)</f>
        <v>0</v>
      </c>
      <c r="AQ87" s="19"/>
      <c r="AR87" s="19"/>
      <c r="AS87" s="274"/>
      <c r="AT87" s="19"/>
      <c r="AU87" s="19">
        <f>SUM(AU88:AU90)</f>
        <v>0</v>
      </c>
      <c r="AV87" s="19"/>
      <c r="AW87" s="19"/>
      <c r="AX87" s="274"/>
      <c r="AY87" s="19"/>
      <c r="AZ87" s="19">
        <f>SUM(AZ88:AZ90)</f>
        <v>0</v>
      </c>
      <c r="BA87" s="19"/>
      <c r="BB87" s="19"/>
      <c r="BC87" s="274"/>
      <c r="BD87" s="19"/>
      <c r="BE87" s="19">
        <f>SUM(BE88:BE90)</f>
        <v>0</v>
      </c>
      <c r="BF87" s="19"/>
      <c r="BG87" s="19"/>
      <c r="BH87" s="274"/>
      <c r="BI87" s="19"/>
      <c r="BJ87" s="19">
        <f>SUM(BJ88:BJ90)</f>
        <v>0</v>
      </c>
      <c r="BK87" s="19"/>
      <c r="BL87" s="19"/>
      <c r="BM87" s="274"/>
      <c r="BN87" s="19"/>
      <c r="BO87" s="19">
        <f>SUM(BO88:BO90)</f>
        <v>0</v>
      </c>
      <c r="BP87" s="19"/>
      <c r="BQ87" s="19"/>
      <c r="BR87" s="274"/>
      <c r="BS87" s="19"/>
      <c r="BT87" s="19">
        <f>SUM(BT88:BT90)</f>
        <v>0</v>
      </c>
      <c r="BU87" s="19"/>
      <c r="BV87" s="19"/>
      <c r="BW87" s="274"/>
      <c r="BX87" s="19"/>
      <c r="BY87" s="19">
        <f>SUM(BY88:BY90)</f>
        <v>0</v>
      </c>
      <c r="BZ87" s="19"/>
      <c r="CA87" s="19"/>
      <c r="CB87" s="274"/>
      <c r="CC87" s="19"/>
      <c r="CD87" s="19">
        <f>SUM(CD88:CD90)</f>
        <v>0</v>
      </c>
      <c r="CE87" s="19"/>
      <c r="CF87" s="19"/>
      <c r="CG87" s="274"/>
      <c r="CH87" s="19"/>
      <c r="CI87" s="19">
        <f>SUM(CI88:CI90)</f>
        <v>0</v>
      </c>
      <c r="CJ87" s="19"/>
      <c r="CK87" s="19"/>
      <c r="CL87" s="274"/>
      <c r="CM87" s="19"/>
      <c r="CN87" s="19">
        <f>SUM(CN88:CN90)</f>
        <v>0</v>
      </c>
      <c r="CO87" s="19"/>
      <c r="CP87" s="19"/>
      <c r="CQ87" s="274"/>
      <c r="CR87" s="19"/>
      <c r="CS87" s="19">
        <f>SUM(CS88:CS90)</f>
        <v>0</v>
      </c>
      <c r="CT87" s="19"/>
      <c r="CU87" s="19"/>
      <c r="CV87" s="274"/>
      <c r="CW87" s="19"/>
      <c r="CX87" s="19">
        <f>SUM(CX88:CX90)</f>
        <v>0</v>
      </c>
      <c r="CY87" s="19"/>
      <c r="CZ87" s="19"/>
      <c r="DA87" s="274"/>
      <c r="DB87" s="19"/>
      <c r="DC87" s="19">
        <f>SUM(DC88:DC90)</f>
        <v>0</v>
      </c>
      <c r="DD87" s="19"/>
      <c r="DE87" s="19"/>
      <c r="DF87" s="274"/>
      <c r="DG87" s="19"/>
      <c r="DH87" s="19">
        <f>SUM(DH88:DH90)</f>
        <v>0</v>
      </c>
      <c r="DI87" s="19"/>
      <c r="DJ87" s="19"/>
      <c r="DK87" s="274"/>
      <c r="DL87" s="19"/>
      <c r="DM87" s="19">
        <f>SUM(DM88:DM90)</f>
        <v>0</v>
      </c>
      <c r="DN87" s="19"/>
      <c r="DO87" s="19"/>
      <c r="DP87" s="274"/>
      <c r="DQ87" s="19"/>
      <c r="DR87" s="19">
        <f>SUM(DR88:DR90)</f>
        <v>0</v>
      </c>
      <c r="DS87" s="19"/>
      <c r="DT87" s="19"/>
      <c r="DU87" s="274"/>
      <c r="DV87" s="19"/>
      <c r="DW87" s="19">
        <f>SUM(DW88:DW90)</f>
        <v>0</v>
      </c>
      <c r="DX87" s="19"/>
      <c r="DY87" s="19"/>
      <c r="DZ87" s="274"/>
      <c r="EA87" s="19"/>
      <c r="EB87" s="19">
        <f>SUM(EB88:EB90)</f>
        <v>0</v>
      </c>
      <c r="EC87" s="19"/>
      <c r="ED87" s="19"/>
      <c r="EE87" s="274"/>
      <c r="EF87" s="19"/>
      <c r="EG87" s="19">
        <f>SUM(EG88:EG90)</f>
        <v>0</v>
      </c>
      <c r="EH87" s="19"/>
      <c r="EI87" s="19"/>
      <c r="EJ87" s="274"/>
      <c r="EK87" s="19"/>
      <c r="EL87" s="19">
        <f>SUM(EL88:EL90)</f>
        <v>0</v>
      </c>
      <c r="EM87" s="19"/>
      <c r="EN87" s="19"/>
      <c r="EO87" s="244"/>
    </row>
    <row r="88" spans="4:145" ht="12.75" hidden="1" customHeight="1" x14ac:dyDescent="0.2">
      <c r="D88" s="244" t="s">
        <v>344</v>
      </c>
      <c r="E88" s="82"/>
      <c r="F88" s="112"/>
      <c r="G88" s="374">
        <v>0</v>
      </c>
      <c r="H88" s="475"/>
      <c r="I88" s="19"/>
      <c r="J88" s="274"/>
      <c r="K88" s="173"/>
      <c r="L88" s="374">
        <v>0</v>
      </c>
      <c r="M88" s="475"/>
      <c r="N88" s="19"/>
      <c r="O88" s="274"/>
      <c r="P88" s="173"/>
      <c r="Q88" s="374">
        <v>0</v>
      </c>
      <c r="R88" s="475"/>
      <c r="S88" s="19"/>
      <c r="T88" s="274"/>
      <c r="U88" s="173"/>
      <c r="V88" s="374">
        <v>0</v>
      </c>
      <c r="W88" s="475"/>
      <c r="X88" s="19"/>
      <c r="Y88" s="274"/>
      <c r="Z88" s="173"/>
      <c r="AA88" s="374">
        <v>0</v>
      </c>
      <c r="AB88" s="475"/>
      <c r="AC88" s="19"/>
      <c r="AD88" s="274"/>
      <c r="AE88" s="173"/>
      <c r="AF88" s="374">
        <v>0</v>
      </c>
      <c r="AG88" s="475"/>
      <c r="AH88" s="19"/>
      <c r="AI88" s="274"/>
      <c r="AJ88" s="173"/>
      <c r="AK88" s="374">
        <v>0</v>
      </c>
      <c r="AL88" s="475"/>
      <c r="AM88" s="19"/>
      <c r="AN88" s="274"/>
      <c r="AO88" s="173"/>
      <c r="AP88" s="374">
        <v>0</v>
      </c>
      <c r="AQ88" s="475"/>
      <c r="AR88" s="19"/>
      <c r="AS88" s="274"/>
      <c r="AT88" s="173"/>
      <c r="AU88" s="374">
        <v>0</v>
      </c>
      <c r="AV88" s="475"/>
      <c r="AW88" s="19"/>
      <c r="AX88" s="274"/>
      <c r="AY88" s="173"/>
      <c r="AZ88" s="374">
        <v>0</v>
      </c>
      <c r="BA88" s="475"/>
      <c r="BB88" s="19"/>
      <c r="BC88" s="274"/>
      <c r="BD88" s="173"/>
      <c r="BE88" s="374">
        <v>0</v>
      </c>
      <c r="BF88" s="475"/>
      <c r="BG88" s="19"/>
      <c r="BH88" s="274"/>
      <c r="BI88" s="173"/>
      <c r="BJ88" s="374">
        <v>0</v>
      </c>
      <c r="BK88" s="475"/>
      <c r="BL88" s="19"/>
      <c r="BM88" s="274"/>
      <c r="BN88" s="173"/>
      <c r="BO88" s="374">
        <v>0</v>
      </c>
      <c r="BP88" s="475"/>
      <c r="BQ88" s="19"/>
      <c r="BR88" s="274"/>
      <c r="BS88" s="173"/>
      <c r="BT88" s="374">
        <f>SUM(L88:BO88)</f>
        <v>0</v>
      </c>
      <c r="BU88" s="475"/>
      <c r="BV88" s="19"/>
      <c r="BW88" s="274"/>
      <c r="BX88" s="173"/>
      <c r="BY88" s="374">
        <f>SUM(Q88:BT88)</f>
        <v>0</v>
      </c>
      <c r="BZ88" s="475"/>
      <c r="CA88" s="19"/>
      <c r="CB88" s="274"/>
      <c r="CC88" s="173"/>
      <c r="CD88" s="374">
        <v>0</v>
      </c>
      <c r="CE88" s="475"/>
      <c r="CF88" s="19"/>
      <c r="CG88" s="274"/>
      <c r="CH88" s="173"/>
      <c r="CI88" s="374">
        <v>0</v>
      </c>
      <c r="CJ88" s="475"/>
      <c r="CK88" s="19"/>
      <c r="CL88" s="274"/>
      <c r="CM88" s="173"/>
      <c r="CN88" s="374">
        <v>0</v>
      </c>
      <c r="CO88" s="475"/>
      <c r="CP88" s="19"/>
      <c r="CQ88" s="274"/>
      <c r="CR88" s="173"/>
      <c r="CS88" s="374">
        <v>0</v>
      </c>
      <c r="CT88" s="475"/>
      <c r="CU88" s="19"/>
      <c r="CV88" s="274"/>
      <c r="CW88" s="173"/>
      <c r="CX88" s="374">
        <v>0</v>
      </c>
      <c r="CY88" s="475"/>
      <c r="CZ88" s="19"/>
      <c r="DA88" s="274"/>
      <c r="DB88" s="173"/>
      <c r="DC88" s="374">
        <v>0</v>
      </c>
      <c r="DD88" s="475"/>
      <c r="DE88" s="19"/>
      <c r="DF88" s="274"/>
      <c r="DG88" s="173"/>
      <c r="DH88" s="374">
        <v>0</v>
      </c>
      <c r="DI88" s="475"/>
      <c r="DJ88" s="19"/>
      <c r="DK88" s="274"/>
      <c r="DL88" s="173"/>
      <c r="DM88" s="374">
        <v>0</v>
      </c>
      <c r="DN88" s="475"/>
      <c r="DO88" s="19"/>
      <c r="DP88" s="274"/>
      <c r="DQ88" s="173"/>
      <c r="DR88" s="374">
        <v>0</v>
      </c>
      <c r="DS88" s="475"/>
      <c r="DT88" s="19"/>
      <c r="DU88" s="274"/>
      <c r="DV88" s="173"/>
      <c r="DW88" s="374">
        <v>0</v>
      </c>
      <c r="DX88" s="475"/>
      <c r="DY88" s="19"/>
      <c r="DZ88" s="274"/>
      <c r="EA88" s="173"/>
      <c r="EB88" s="374">
        <v>0</v>
      </c>
      <c r="EC88" s="475"/>
      <c r="ED88" s="19"/>
      <c r="EE88" s="274"/>
      <c r="EF88" s="173"/>
      <c r="EG88" s="374">
        <v>0</v>
      </c>
      <c r="EH88" s="475"/>
      <c r="EI88" s="19"/>
      <c r="EJ88" s="274"/>
      <c r="EK88" s="173"/>
      <c r="EL88" s="374">
        <f>SUM(CD88:EG88)</f>
        <v>0</v>
      </c>
      <c r="EM88" s="475"/>
      <c r="EN88" s="19"/>
      <c r="EO88" s="244"/>
    </row>
    <row r="89" spans="4:145" ht="12.75" hidden="1" customHeight="1" x14ac:dyDescent="0.2">
      <c r="D89" s="244" t="s">
        <v>346</v>
      </c>
      <c r="E89" s="82"/>
      <c r="F89" s="82"/>
      <c r="G89" s="19">
        <v>0</v>
      </c>
      <c r="H89" s="18"/>
      <c r="I89" s="19"/>
      <c r="J89" s="274"/>
      <c r="K89" s="274"/>
      <c r="L89" s="19">
        <v>0</v>
      </c>
      <c r="M89" s="18"/>
      <c r="N89" s="19"/>
      <c r="O89" s="274"/>
      <c r="P89" s="274"/>
      <c r="Q89" s="19">
        <v>0</v>
      </c>
      <c r="R89" s="18"/>
      <c r="S89" s="19"/>
      <c r="T89" s="274"/>
      <c r="U89" s="274"/>
      <c r="V89" s="19">
        <v>0</v>
      </c>
      <c r="W89" s="18"/>
      <c r="X89" s="19"/>
      <c r="Y89" s="274"/>
      <c r="Z89" s="274"/>
      <c r="AA89" s="19">
        <v>0</v>
      </c>
      <c r="AB89" s="18"/>
      <c r="AC89" s="19"/>
      <c r="AD89" s="274"/>
      <c r="AE89" s="274"/>
      <c r="AF89" s="19">
        <v>0</v>
      </c>
      <c r="AG89" s="18"/>
      <c r="AH89" s="19"/>
      <c r="AI89" s="274"/>
      <c r="AJ89" s="274"/>
      <c r="AK89" s="19">
        <v>0</v>
      </c>
      <c r="AL89" s="18"/>
      <c r="AM89" s="19"/>
      <c r="AN89" s="274"/>
      <c r="AO89" s="274"/>
      <c r="AP89" s="19">
        <v>0</v>
      </c>
      <c r="AQ89" s="18"/>
      <c r="AR89" s="19"/>
      <c r="AS89" s="274"/>
      <c r="AT89" s="274"/>
      <c r="AU89" s="19">
        <v>0</v>
      </c>
      <c r="AV89" s="18"/>
      <c r="AW89" s="19"/>
      <c r="AX89" s="274"/>
      <c r="AY89" s="274"/>
      <c r="AZ89" s="19">
        <v>0</v>
      </c>
      <c r="BA89" s="18"/>
      <c r="BB89" s="19"/>
      <c r="BC89" s="274"/>
      <c r="BD89" s="274"/>
      <c r="BE89" s="19">
        <v>0</v>
      </c>
      <c r="BF89" s="18"/>
      <c r="BG89" s="19"/>
      <c r="BH89" s="274"/>
      <c r="BI89" s="274"/>
      <c r="BJ89" s="19">
        <v>0</v>
      </c>
      <c r="BK89" s="18"/>
      <c r="BL89" s="19"/>
      <c r="BM89" s="274"/>
      <c r="BN89" s="274"/>
      <c r="BO89" s="19">
        <v>0</v>
      </c>
      <c r="BP89" s="18"/>
      <c r="BQ89" s="19"/>
      <c r="BR89" s="274"/>
      <c r="BS89" s="274"/>
      <c r="BT89" s="19">
        <f>SUM(L89:BO89)</f>
        <v>0</v>
      </c>
      <c r="BU89" s="18"/>
      <c r="BV89" s="19"/>
      <c r="BW89" s="274"/>
      <c r="BX89" s="274"/>
      <c r="BY89" s="19">
        <f>SUM(Q89:BT89)</f>
        <v>0</v>
      </c>
      <c r="BZ89" s="18"/>
      <c r="CA89" s="19"/>
      <c r="CB89" s="274"/>
      <c r="CC89" s="274"/>
      <c r="CD89" s="19">
        <v>0</v>
      </c>
      <c r="CE89" s="18"/>
      <c r="CF89" s="19"/>
      <c r="CG89" s="274"/>
      <c r="CH89" s="274"/>
      <c r="CI89" s="19">
        <v>0</v>
      </c>
      <c r="CJ89" s="18"/>
      <c r="CK89" s="19"/>
      <c r="CL89" s="274"/>
      <c r="CM89" s="274"/>
      <c r="CN89" s="19">
        <v>0</v>
      </c>
      <c r="CO89" s="18"/>
      <c r="CP89" s="19"/>
      <c r="CQ89" s="274"/>
      <c r="CR89" s="274"/>
      <c r="CS89" s="19">
        <v>0</v>
      </c>
      <c r="CT89" s="18"/>
      <c r="CU89" s="19"/>
      <c r="CV89" s="274"/>
      <c r="CW89" s="274"/>
      <c r="CX89" s="19">
        <v>0</v>
      </c>
      <c r="CY89" s="18"/>
      <c r="CZ89" s="19"/>
      <c r="DA89" s="274"/>
      <c r="DB89" s="274"/>
      <c r="DC89" s="19">
        <v>0</v>
      </c>
      <c r="DD89" s="18"/>
      <c r="DE89" s="19"/>
      <c r="DF89" s="274"/>
      <c r="DG89" s="274"/>
      <c r="DH89" s="19">
        <v>0</v>
      </c>
      <c r="DI89" s="18"/>
      <c r="DJ89" s="19"/>
      <c r="DK89" s="274"/>
      <c r="DL89" s="274"/>
      <c r="DM89" s="19">
        <v>0</v>
      </c>
      <c r="DN89" s="18"/>
      <c r="DO89" s="19"/>
      <c r="DP89" s="274"/>
      <c r="DQ89" s="274"/>
      <c r="DR89" s="19">
        <v>0</v>
      </c>
      <c r="DS89" s="18"/>
      <c r="DT89" s="19"/>
      <c r="DU89" s="274"/>
      <c r="DV89" s="274"/>
      <c r="DW89" s="19">
        <v>0</v>
      </c>
      <c r="DX89" s="18"/>
      <c r="DY89" s="19"/>
      <c r="DZ89" s="274"/>
      <c r="EA89" s="274"/>
      <c r="EB89" s="19">
        <v>0</v>
      </c>
      <c r="EC89" s="18"/>
      <c r="ED89" s="19"/>
      <c r="EE89" s="274"/>
      <c r="EF89" s="274"/>
      <c r="EG89" s="19">
        <v>0</v>
      </c>
      <c r="EH89" s="18"/>
      <c r="EI89" s="19"/>
      <c r="EJ89" s="274"/>
      <c r="EK89" s="274"/>
      <c r="EL89" s="19">
        <f>SUM(CD89:EG89)</f>
        <v>0</v>
      </c>
      <c r="EM89" s="18"/>
      <c r="EN89" s="19"/>
      <c r="EO89" s="244"/>
    </row>
    <row r="90" spans="4:145" ht="12.75" hidden="1" customHeight="1" x14ac:dyDescent="0.2">
      <c r="D90" s="244" t="s">
        <v>354</v>
      </c>
      <c r="E90" s="82"/>
      <c r="F90" s="276"/>
      <c r="G90" s="37">
        <v>0</v>
      </c>
      <c r="H90" s="36"/>
      <c r="I90" s="19"/>
      <c r="J90" s="274"/>
      <c r="K90" s="231"/>
      <c r="L90" s="37">
        <v>0</v>
      </c>
      <c r="M90" s="36"/>
      <c r="N90" s="19"/>
      <c r="O90" s="274"/>
      <c r="P90" s="231"/>
      <c r="Q90" s="37">
        <v>0</v>
      </c>
      <c r="R90" s="36"/>
      <c r="S90" s="19"/>
      <c r="T90" s="274"/>
      <c r="U90" s="231"/>
      <c r="V90" s="37">
        <v>0</v>
      </c>
      <c r="W90" s="36"/>
      <c r="X90" s="19"/>
      <c r="Y90" s="274"/>
      <c r="Z90" s="231"/>
      <c r="AA90" s="37">
        <v>0</v>
      </c>
      <c r="AB90" s="36"/>
      <c r="AC90" s="19"/>
      <c r="AD90" s="274"/>
      <c r="AE90" s="231"/>
      <c r="AF90" s="37">
        <v>0</v>
      </c>
      <c r="AG90" s="36"/>
      <c r="AH90" s="19"/>
      <c r="AI90" s="274"/>
      <c r="AJ90" s="231"/>
      <c r="AK90" s="37">
        <v>0</v>
      </c>
      <c r="AL90" s="36"/>
      <c r="AM90" s="19"/>
      <c r="AN90" s="274"/>
      <c r="AO90" s="231"/>
      <c r="AP90" s="37">
        <v>0</v>
      </c>
      <c r="AQ90" s="36"/>
      <c r="AR90" s="19"/>
      <c r="AS90" s="274"/>
      <c r="AT90" s="231"/>
      <c r="AU90" s="37">
        <v>0</v>
      </c>
      <c r="AV90" s="36"/>
      <c r="AW90" s="19"/>
      <c r="AX90" s="274"/>
      <c r="AY90" s="231"/>
      <c r="AZ90" s="37">
        <v>0</v>
      </c>
      <c r="BA90" s="36"/>
      <c r="BB90" s="19"/>
      <c r="BC90" s="274"/>
      <c r="BD90" s="231"/>
      <c r="BE90" s="37">
        <v>0</v>
      </c>
      <c r="BF90" s="36"/>
      <c r="BG90" s="19"/>
      <c r="BH90" s="274"/>
      <c r="BI90" s="231"/>
      <c r="BJ90" s="37">
        <v>0</v>
      </c>
      <c r="BK90" s="36"/>
      <c r="BL90" s="19"/>
      <c r="BM90" s="274"/>
      <c r="BN90" s="231"/>
      <c r="BO90" s="37">
        <v>0</v>
      </c>
      <c r="BP90" s="36"/>
      <c r="BQ90" s="19"/>
      <c r="BR90" s="274"/>
      <c r="BS90" s="231"/>
      <c r="BT90" s="37">
        <f>SUM(L90:BO90)</f>
        <v>0</v>
      </c>
      <c r="BU90" s="36"/>
      <c r="BV90" s="19"/>
      <c r="BW90" s="274"/>
      <c r="BX90" s="231"/>
      <c r="BY90" s="37">
        <f>SUM(Q90:BT90)</f>
        <v>0</v>
      </c>
      <c r="BZ90" s="36"/>
      <c r="CA90" s="19"/>
      <c r="CB90" s="274"/>
      <c r="CC90" s="231"/>
      <c r="CD90" s="37">
        <v>0</v>
      </c>
      <c r="CE90" s="36"/>
      <c r="CF90" s="19"/>
      <c r="CG90" s="274"/>
      <c r="CH90" s="231"/>
      <c r="CI90" s="37">
        <v>0</v>
      </c>
      <c r="CJ90" s="36"/>
      <c r="CK90" s="19"/>
      <c r="CL90" s="274"/>
      <c r="CM90" s="231"/>
      <c r="CN90" s="37">
        <v>0</v>
      </c>
      <c r="CO90" s="36"/>
      <c r="CP90" s="19"/>
      <c r="CQ90" s="274"/>
      <c r="CR90" s="231"/>
      <c r="CS90" s="37">
        <v>0</v>
      </c>
      <c r="CT90" s="36"/>
      <c r="CU90" s="19"/>
      <c r="CV90" s="274"/>
      <c r="CW90" s="231"/>
      <c r="CX90" s="37">
        <v>0</v>
      </c>
      <c r="CY90" s="36"/>
      <c r="CZ90" s="19"/>
      <c r="DA90" s="274"/>
      <c r="DB90" s="231"/>
      <c r="DC90" s="37">
        <v>0</v>
      </c>
      <c r="DD90" s="36"/>
      <c r="DE90" s="19"/>
      <c r="DF90" s="274"/>
      <c r="DG90" s="231"/>
      <c r="DH90" s="37">
        <v>0</v>
      </c>
      <c r="DI90" s="36"/>
      <c r="DJ90" s="19"/>
      <c r="DK90" s="274"/>
      <c r="DL90" s="231"/>
      <c r="DM90" s="37">
        <v>0</v>
      </c>
      <c r="DN90" s="36"/>
      <c r="DO90" s="19"/>
      <c r="DP90" s="274"/>
      <c r="DQ90" s="231"/>
      <c r="DR90" s="37">
        <v>0</v>
      </c>
      <c r="DS90" s="36"/>
      <c r="DT90" s="19"/>
      <c r="DU90" s="274"/>
      <c r="DV90" s="231"/>
      <c r="DW90" s="37">
        <v>0</v>
      </c>
      <c r="DX90" s="36"/>
      <c r="DY90" s="19"/>
      <c r="DZ90" s="274"/>
      <c r="EA90" s="231"/>
      <c r="EB90" s="37">
        <v>0</v>
      </c>
      <c r="EC90" s="36"/>
      <c r="ED90" s="19"/>
      <c r="EE90" s="274"/>
      <c r="EF90" s="231"/>
      <c r="EG90" s="37">
        <v>0</v>
      </c>
      <c r="EH90" s="36"/>
      <c r="EI90" s="19"/>
      <c r="EJ90" s="274"/>
      <c r="EK90" s="231"/>
      <c r="EL90" s="37">
        <f>SUM(CD90:EG90)</f>
        <v>0</v>
      </c>
      <c r="EM90" s="36"/>
      <c r="EN90" s="19"/>
      <c r="EO90" s="244"/>
    </row>
    <row r="91" spans="4:145" ht="12.75" hidden="1" customHeight="1" x14ac:dyDescent="0.2">
      <c r="D91" s="244"/>
      <c r="E91" s="82"/>
      <c r="G91" s="19"/>
      <c r="H91" s="19"/>
      <c r="I91" s="19"/>
      <c r="J91" s="274"/>
      <c r="K91" s="19"/>
      <c r="L91" s="19"/>
      <c r="M91" s="19"/>
      <c r="N91" s="19"/>
      <c r="O91" s="274"/>
      <c r="P91" s="19"/>
      <c r="Q91" s="19"/>
      <c r="R91" s="19"/>
      <c r="S91" s="19"/>
      <c r="T91" s="274"/>
      <c r="U91" s="19"/>
      <c r="V91" s="19"/>
      <c r="W91" s="19"/>
      <c r="X91" s="19"/>
      <c r="Y91" s="274"/>
      <c r="Z91" s="19"/>
      <c r="AA91" s="19"/>
      <c r="AB91" s="19"/>
      <c r="AC91" s="19"/>
      <c r="AD91" s="274"/>
      <c r="AE91" s="19"/>
      <c r="AF91" s="19"/>
      <c r="AG91" s="19"/>
      <c r="AH91" s="19"/>
      <c r="AI91" s="274"/>
      <c r="AJ91" s="19"/>
      <c r="AK91" s="19"/>
      <c r="AL91" s="19"/>
      <c r="AM91" s="19"/>
      <c r="AN91" s="274"/>
      <c r="AO91" s="19"/>
      <c r="AP91" s="19"/>
      <c r="AQ91" s="19"/>
      <c r="AR91" s="19"/>
      <c r="AS91" s="274"/>
      <c r="AT91" s="19"/>
      <c r="AU91" s="19"/>
      <c r="AV91" s="19"/>
      <c r="AW91" s="19"/>
      <c r="AX91" s="274"/>
      <c r="AY91" s="19"/>
      <c r="AZ91" s="19"/>
      <c r="BA91" s="19"/>
      <c r="BB91" s="19"/>
      <c r="BC91" s="274"/>
      <c r="BD91" s="19"/>
      <c r="BE91" s="19"/>
      <c r="BF91" s="19"/>
      <c r="BG91" s="19"/>
      <c r="BH91" s="274"/>
      <c r="BI91" s="19"/>
      <c r="BJ91" s="19"/>
      <c r="BK91" s="19"/>
      <c r="BL91" s="19"/>
      <c r="BM91" s="274"/>
      <c r="BN91" s="19"/>
      <c r="BO91" s="19"/>
      <c r="BP91" s="19"/>
      <c r="BQ91" s="19"/>
      <c r="BR91" s="274"/>
      <c r="BS91" s="19"/>
      <c r="BT91" s="19"/>
      <c r="BU91" s="19"/>
      <c r="BV91" s="19"/>
      <c r="BW91" s="274"/>
      <c r="BX91" s="19"/>
      <c r="BY91" s="19"/>
      <c r="BZ91" s="19"/>
      <c r="CA91" s="19"/>
      <c r="CB91" s="274"/>
      <c r="CC91" s="19"/>
      <c r="CD91" s="19"/>
      <c r="CE91" s="19"/>
      <c r="CF91" s="19"/>
      <c r="CG91" s="274"/>
      <c r="CH91" s="19"/>
      <c r="CI91" s="19"/>
      <c r="CJ91" s="19"/>
      <c r="CK91" s="19"/>
      <c r="CL91" s="274"/>
      <c r="CM91" s="19"/>
      <c r="CN91" s="19"/>
      <c r="CO91" s="19"/>
      <c r="CP91" s="19"/>
      <c r="CQ91" s="274"/>
      <c r="CR91" s="19"/>
      <c r="CS91" s="19"/>
      <c r="CT91" s="19"/>
      <c r="CU91" s="19"/>
      <c r="CV91" s="274"/>
      <c r="CW91" s="19"/>
      <c r="CX91" s="19"/>
      <c r="CY91" s="19"/>
      <c r="CZ91" s="19"/>
      <c r="DA91" s="274"/>
      <c r="DB91" s="19"/>
      <c r="DC91" s="19"/>
      <c r="DD91" s="19"/>
      <c r="DE91" s="19"/>
      <c r="DF91" s="274"/>
      <c r="DG91" s="19"/>
      <c r="DH91" s="19"/>
      <c r="DI91" s="19"/>
      <c r="DJ91" s="19"/>
      <c r="DK91" s="274"/>
      <c r="DL91" s="19"/>
      <c r="DM91" s="19"/>
      <c r="DN91" s="19"/>
      <c r="DO91" s="19"/>
      <c r="DP91" s="274"/>
      <c r="DQ91" s="19"/>
      <c r="DR91" s="19"/>
      <c r="DS91" s="19"/>
      <c r="DT91" s="19"/>
      <c r="DU91" s="274"/>
      <c r="DV91" s="19"/>
      <c r="DW91" s="19"/>
      <c r="DX91" s="19"/>
      <c r="DY91" s="19"/>
      <c r="DZ91" s="274"/>
      <c r="EA91" s="19"/>
      <c r="EB91" s="19"/>
      <c r="EC91" s="19"/>
      <c r="ED91" s="19"/>
      <c r="EE91" s="274"/>
      <c r="EF91" s="19"/>
      <c r="EG91" s="19"/>
      <c r="EH91" s="19"/>
      <c r="EI91" s="19"/>
      <c r="EJ91" s="274"/>
      <c r="EK91" s="19"/>
      <c r="EL91" s="19"/>
      <c r="EM91" s="19"/>
      <c r="EN91" s="19"/>
      <c r="EO91" s="244"/>
    </row>
    <row r="92" spans="4:145" ht="12.75" hidden="1" customHeight="1" x14ac:dyDescent="0.2">
      <c r="D92" s="244" t="s">
        <v>459</v>
      </c>
      <c r="E92" s="82"/>
      <c r="G92" s="19">
        <v>0</v>
      </c>
      <c r="H92" s="19"/>
      <c r="I92" s="19"/>
      <c r="J92" s="274"/>
      <c r="K92" s="19"/>
      <c r="L92" s="19">
        <f>SUM(L93:L95)</f>
        <v>0</v>
      </c>
      <c r="M92" s="19"/>
      <c r="N92" s="19"/>
      <c r="O92" s="274"/>
      <c r="P92" s="19"/>
      <c r="Q92" s="19">
        <f>SUM(Q93:Q95)</f>
        <v>0</v>
      </c>
      <c r="R92" s="19"/>
      <c r="S92" s="19"/>
      <c r="T92" s="274"/>
      <c r="U92" s="19"/>
      <c r="V92" s="19">
        <f>SUM(V93:V95)</f>
        <v>0</v>
      </c>
      <c r="W92" s="19"/>
      <c r="X92" s="19"/>
      <c r="Y92" s="274"/>
      <c r="Z92" s="19"/>
      <c r="AA92" s="19">
        <f>SUM(AA93:AA95)</f>
        <v>0</v>
      </c>
      <c r="AB92" s="19"/>
      <c r="AC92" s="19"/>
      <c r="AD92" s="274"/>
      <c r="AE92" s="19"/>
      <c r="AF92" s="19">
        <f>SUM(AF93:AF95)</f>
        <v>0</v>
      </c>
      <c r="AG92" s="19"/>
      <c r="AH92" s="19"/>
      <c r="AI92" s="274"/>
      <c r="AJ92" s="19"/>
      <c r="AK92" s="19">
        <f>SUM(AK93:AK95)</f>
        <v>0</v>
      </c>
      <c r="AL92" s="19"/>
      <c r="AM92" s="19"/>
      <c r="AN92" s="274"/>
      <c r="AO92" s="19"/>
      <c r="AP92" s="19">
        <f>SUM(AP93:AP95)</f>
        <v>0</v>
      </c>
      <c r="AQ92" s="19"/>
      <c r="AR92" s="19"/>
      <c r="AS92" s="274"/>
      <c r="AT92" s="19"/>
      <c r="AU92" s="19">
        <f>SUM(AU93:AU95)</f>
        <v>0</v>
      </c>
      <c r="AV92" s="19"/>
      <c r="AW92" s="19"/>
      <c r="AX92" s="274"/>
      <c r="AY92" s="19"/>
      <c r="AZ92" s="19">
        <f>SUM(AZ93:AZ95)</f>
        <v>0</v>
      </c>
      <c r="BA92" s="19"/>
      <c r="BB92" s="19"/>
      <c r="BC92" s="274"/>
      <c r="BD92" s="19"/>
      <c r="BE92" s="19">
        <f>SUM(BE93:BE95)</f>
        <v>0</v>
      </c>
      <c r="BF92" s="19"/>
      <c r="BG92" s="19"/>
      <c r="BH92" s="274"/>
      <c r="BI92" s="19"/>
      <c r="BJ92" s="19">
        <f>SUM(BJ93:BJ95)</f>
        <v>0</v>
      </c>
      <c r="BK92" s="19"/>
      <c r="BL92" s="19"/>
      <c r="BM92" s="274"/>
      <c r="BN92" s="19"/>
      <c r="BO92" s="19">
        <f>SUM(BO93:BO95)</f>
        <v>0</v>
      </c>
      <c r="BP92" s="19"/>
      <c r="BQ92" s="19"/>
      <c r="BR92" s="274"/>
      <c r="BS92" s="19"/>
      <c r="BT92" s="19">
        <f>SUM(BT93:BT95)</f>
        <v>0</v>
      </c>
      <c r="BU92" s="19"/>
      <c r="BV92" s="19"/>
      <c r="BW92" s="274"/>
      <c r="BX92" s="19"/>
      <c r="BY92" s="19">
        <f>SUM(BY93:BY95)</f>
        <v>0</v>
      </c>
      <c r="BZ92" s="19"/>
      <c r="CA92" s="19"/>
      <c r="CB92" s="274"/>
      <c r="CC92" s="19"/>
      <c r="CD92" s="19">
        <f>SUM(CD93:CD95)</f>
        <v>0</v>
      </c>
      <c r="CE92" s="19"/>
      <c r="CF92" s="19"/>
      <c r="CG92" s="274"/>
      <c r="CH92" s="19"/>
      <c r="CI92" s="19">
        <f>SUM(CI93:CI95)</f>
        <v>0</v>
      </c>
      <c r="CJ92" s="19"/>
      <c r="CK92" s="19"/>
      <c r="CL92" s="274"/>
      <c r="CM92" s="19"/>
      <c r="CN92" s="19">
        <f>SUM(CN93:CN95)</f>
        <v>0</v>
      </c>
      <c r="CO92" s="19"/>
      <c r="CP92" s="19"/>
      <c r="CQ92" s="274"/>
      <c r="CR92" s="19"/>
      <c r="CS92" s="19">
        <f>SUM(CS93:CS95)</f>
        <v>0</v>
      </c>
      <c r="CT92" s="19"/>
      <c r="CU92" s="19"/>
      <c r="CV92" s="274"/>
      <c r="CW92" s="19"/>
      <c r="CX92" s="19">
        <f>SUM(CX93:CX95)</f>
        <v>0</v>
      </c>
      <c r="CY92" s="19"/>
      <c r="CZ92" s="19"/>
      <c r="DA92" s="274"/>
      <c r="DB92" s="19"/>
      <c r="DC92" s="19">
        <f>SUM(DC93:DC95)</f>
        <v>0</v>
      </c>
      <c r="DD92" s="19"/>
      <c r="DE92" s="19"/>
      <c r="DF92" s="274"/>
      <c r="DG92" s="19"/>
      <c r="DH92" s="19">
        <f>SUM(DH93:DH95)</f>
        <v>0</v>
      </c>
      <c r="DI92" s="19"/>
      <c r="DJ92" s="19"/>
      <c r="DK92" s="274"/>
      <c r="DL92" s="19"/>
      <c r="DM92" s="19">
        <f>SUM(DM93:DM95)</f>
        <v>0</v>
      </c>
      <c r="DN92" s="19"/>
      <c r="DO92" s="19"/>
      <c r="DP92" s="274"/>
      <c r="DQ92" s="19"/>
      <c r="DR92" s="19">
        <f>SUM(DR93:DR95)</f>
        <v>0</v>
      </c>
      <c r="DS92" s="19"/>
      <c r="DT92" s="19"/>
      <c r="DU92" s="274"/>
      <c r="DV92" s="19"/>
      <c r="DW92" s="19">
        <f>SUM(DW93:DW95)</f>
        <v>0</v>
      </c>
      <c r="DX92" s="19"/>
      <c r="DY92" s="19"/>
      <c r="DZ92" s="274"/>
      <c r="EA92" s="19"/>
      <c r="EB92" s="19">
        <f>SUM(EB93:EB95)</f>
        <v>0</v>
      </c>
      <c r="EC92" s="19"/>
      <c r="ED92" s="19"/>
      <c r="EE92" s="274"/>
      <c r="EF92" s="19"/>
      <c r="EG92" s="19">
        <f>SUM(EG93:EG95)</f>
        <v>0</v>
      </c>
      <c r="EH92" s="19"/>
      <c r="EI92" s="19"/>
      <c r="EJ92" s="274"/>
      <c r="EK92" s="19"/>
      <c r="EL92" s="19">
        <f>SUM(EL93:EL95)</f>
        <v>0</v>
      </c>
      <c r="EM92" s="19"/>
      <c r="EN92" s="19"/>
      <c r="EO92" s="244"/>
    </row>
    <row r="93" spans="4:145" ht="12.75" hidden="1" customHeight="1" x14ac:dyDescent="0.2">
      <c r="D93" s="244" t="s">
        <v>344</v>
      </c>
      <c r="E93" s="82"/>
      <c r="F93" s="112"/>
      <c r="G93" s="374">
        <v>0</v>
      </c>
      <c r="H93" s="475"/>
      <c r="I93" s="19"/>
      <c r="J93" s="274"/>
      <c r="K93" s="173"/>
      <c r="L93" s="374">
        <v>0</v>
      </c>
      <c r="M93" s="475"/>
      <c r="N93" s="19"/>
      <c r="O93" s="274"/>
      <c r="P93" s="173"/>
      <c r="Q93" s="374">
        <v>0</v>
      </c>
      <c r="R93" s="475"/>
      <c r="S93" s="19"/>
      <c r="T93" s="274"/>
      <c r="U93" s="173"/>
      <c r="V93" s="374">
        <v>0</v>
      </c>
      <c r="W93" s="475"/>
      <c r="X93" s="19"/>
      <c r="Y93" s="274"/>
      <c r="Z93" s="173"/>
      <c r="AA93" s="374">
        <v>0</v>
      </c>
      <c r="AB93" s="475"/>
      <c r="AC93" s="19"/>
      <c r="AD93" s="274"/>
      <c r="AE93" s="173"/>
      <c r="AF93" s="374">
        <v>0</v>
      </c>
      <c r="AG93" s="475"/>
      <c r="AH93" s="19"/>
      <c r="AI93" s="274"/>
      <c r="AJ93" s="173"/>
      <c r="AK93" s="374">
        <v>0</v>
      </c>
      <c r="AL93" s="475"/>
      <c r="AM93" s="19"/>
      <c r="AN93" s="274"/>
      <c r="AO93" s="173"/>
      <c r="AP93" s="374">
        <v>0</v>
      </c>
      <c r="AQ93" s="475"/>
      <c r="AR93" s="19"/>
      <c r="AS93" s="274"/>
      <c r="AT93" s="173"/>
      <c r="AU93" s="374">
        <v>0</v>
      </c>
      <c r="AV93" s="475"/>
      <c r="AW93" s="19"/>
      <c r="AX93" s="274"/>
      <c r="AY93" s="173"/>
      <c r="AZ93" s="374">
        <v>0</v>
      </c>
      <c r="BA93" s="475"/>
      <c r="BB93" s="19"/>
      <c r="BC93" s="274"/>
      <c r="BD93" s="173"/>
      <c r="BE93" s="374">
        <v>0</v>
      </c>
      <c r="BF93" s="475"/>
      <c r="BG93" s="19"/>
      <c r="BH93" s="274"/>
      <c r="BI93" s="173"/>
      <c r="BJ93" s="374">
        <v>0</v>
      </c>
      <c r="BK93" s="475"/>
      <c r="BL93" s="19"/>
      <c r="BM93" s="274"/>
      <c r="BN93" s="173"/>
      <c r="BO93" s="374">
        <v>0</v>
      </c>
      <c r="BP93" s="475"/>
      <c r="BQ93" s="19"/>
      <c r="BR93" s="274"/>
      <c r="BS93" s="173"/>
      <c r="BT93" s="374">
        <f>SUM(L93:BO93)</f>
        <v>0</v>
      </c>
      <c r="BU93" s="475"/>
      <c r="BV93" s="19"/>
      <c r="BW93" s="274"/>
      <c r="BX93" s="173"/>
      <c r="BY93" s="374">
        <f>SUM(Q93:BT93)</f>
        <v>0</v>
      </c>
      <c r="BZ93" s="475"/>
      <c r="CA93" s="19"/>
      <c r="CB93" s="274"/>
      <c r="CC93" s="173"/>
      <c r="CD93" s="374">
        <v>0</v>
      </c>
      <c r="CE93" s="475"/>
      <c r="CF93" s="19"/>
      <c r="CG93" s="274"/>
      <c r="CH93" s="173"/>
      <c r="CI93" s="374">
        <v>0</v>
      </c>
      <c r="CJ93" s="475"/>
      <c r="CK93" s="19"/>
      <c r="CL93" s="274"/>
      <c r="CM93" s="173"/>
      <c r="CN93" s="374">
        <v>0</v>
      </c>
      <c r="CO93" s="475"/>
      <c r="CP93" s="19"/>
      <c r="CQ93" s="274"/>
      <c r="CR93" s="173"/>
      <c r="CS93" s="374">
        <v>0</v>
      </c>
      <c r="CT93" s="475"/>
      <c r="CU93" s="19"/>
      <c r="CV93" s="274"/>
      <c r="CW93" s="173"/>
      <c r="CX93" s="374">
        <v>0</v>
      </c>
      <c r="CY93" s="475"/>
      <c r="CZ93" s="19"/>
      <c r="DA93" s="274"/>
      <c r="DB93" s="173"/>
      <c r="DC93" s="374">
        <v>0</v>
      </c>
      <c r="DD93" s="475"/>
      <c r="DE93" s="19"/>
      <c r="DF93" s="274"/>
      <c r="DG93" s="173"/>
      <c r="DH93" s="374">
        <v>0</v>
      </c>
      <c r="DI93" s="475"/>
      <c r="DJ93" s="19"/>
      <c r="DK93" s="274"/>
      <c r="DL93" s="173"/>
      <c r="DM93" s="374">
        <v>0</v>
      </c>
      <c r="DN93" s="475"/>
      <c r="DO93" s="19"/>
      <c r="DP93" s="274"/>
      <c r="DQ93" s="173"/>
      <c r="DR93" s="374">
        <v>0</v>
      </c>
      <c r="DS93" s="475"/>
      <c r="DT93" s="19"/>
      <c r="DU93" s="274"/>
      <c r="DV93" s="173"/>
      <c r="DW93" s="374">
        <v>0</v>
      </c>
      <c r="DX93" s="475"/>
      <c r="DY93" s="19"/>
      <c r="DZ93" s="274"/>
      <c r="EA93" s="173"/>
      <c r="EB93" s="374">
        <v>0</v>
      </c>
      <c r="EC93" s="475"/>
      <c r="ED93" s="19"/>
      <c r="EE93" s="274"/>
      <c r="EF93" s="173"/>
      <c r="EG93" s="374">
        <v>0</v>
      </c>
      <c r="EH93" s="475"/>
      <c r="EI93" s="19"/>
      <c r="EJ93" s="274"/>
      <c r="EK93" s="173"/>
      <c r="EL93" s="374">
        <f>SUM(CD93:EG93)</f>
        <v>0</v>
      </c>
      <c r="EM93" s="475"/>
      <c r="EN93" s="19"/>
      <c r="EO93" s="244"/>
    </row>
    <row r="94" spans="4:145" ht="12.75" hidden="1" customHeight="1" x14ac:dyDescent="0.2">
      <c r="D94" s="244" t="s">
        <v>346</v>
      </c>
      <c r="E94" s="82"/>
      <c r="F94" s="82"/>
      <c r="G94" s="19">
        <v>0</v>
      </c>
      <c r="H94" s="18"/>
      <c r="I94" s="19"/>
      <c r="J94" s="274"/>
      <c r="K94" s="274"/>
      <c r="L94" s="19">
        <v>0</v>
      </c>
      <c r="M94" s="18"/>
      <c r="N94" s="19"/>
      <c r="O94" s="274"/>
      <c r="P94" s="274"/>
      <c r="Q94" s="19">
        <v>0</v>
      </c>
      <c r="R94" s="18"/>
      <c r="S94" s="19"/>
      <c r="T94" s="274"/>
      <c r="U94" s="274"/>
      <c r="V94" s="19">
        <v>0</v>
      </c>
      <c r="W94" s="18"/>
      <c r="X94" s="19"/>
      <c r="Y94" s="274"/>
      <c r="Z94" s="274"/>
      <c r="AA94" s="19">
        <v>0</v>
      </c>
      <c r="AB94" s="18"/>
      <c r="AC94" s="19"/>
      <c r="AD94" s="274"/>
      <c r="AE94" s="274"/>
      <c r="AF94" s="19">
        <v>0</v>
      </c>
      <c r="AG94" s="18"/>
      <c r="AH94" s="19"/>
      <c r="AI94" s="274"/>
      <c r="AJ94" s="274"/>
      <c r="AK94" s="19">
        <v>0</v>
      </c>
      <c r="AL94" s="18"/>
      <c r="AM94" s="19"/>
      <c r="AN94" s="274"/>
      <c r="AO94" s="274"/>
      <c r="AP94" s="19">
        <v>0</v>
      </c>
      <c r="AQ94" s="18"/>
      <c r="AR94" s="19"/>
      <c r="AS94" s="274"/>
      <c r="AT94" s="274"/>
      <c r="AU94" s="19">
        <v>0</v>
      </c>
      <c r="AV94" s="18"/>
      <c r="AW94" s="19"/>
      <c r="AX94" s="274"/>
      <c r="AY94" s="274"/>
      <c r="AZ94" s="19">
        <v>0</v>
      </c>
      <c r="BA94" s="18"/>
      <c r="BB94" s="19"/>
      <c r="BC94" s="274"/>
      <c r="BD94" s="274"/>
      <c r="BE94" s="19">
        <v>0</v>
      </c>
      <c r="BF94" s="18"/>
      <c r="BG94" s="19"/>
      <c r="BH94" s="274"/>
      <c r="BI94" s="274"/>
      <c r="BJ94" s="19">
        <v>0</v>
      </c>
      <c r="BK94" s="18"/>
      <c r="BL94" s="19"/>
      <c r="BM94" s="274"/>
      <c r="BN94" s="274"/>
      <c r="BO94" s="19">
        <v>0</v>
      </c>
      <c r="BP94" s="18"/>
      <c r="BQ94" s="19"/>
      <c r="BR94" s="274"/>
      <c r="BS94" s="274"/>
      <c r="BT94" s="19">
        <f>SUM(L94:BO94)</f>
        <v>0</v>
      </c>
      <c r="BU94" s="18"/>
      <c r="BV94" s="19"/>
      <c r="BW94" s="274"/>
      <c r="BX94" s="274"/>
      <c r="BY94" s="19">
        <f>SUM(Q94:BT94)</f>
        <v>0</v>
      </c>
      <c r="BZ94" s="18"/>
      <c r="CA94" s="19"/>
      <c r="CB94" s="274"/>
      <c r="CC94" s="274"/>
      <c r="CD94" s="19">
        <v>0</v>
      </c>
      <c r="CE94" s="18"/>
      <c r="CF94" s="19"/>
      <c r="CG94" s="274"/>
      <c r="CH94" s="274"/>
      <c r="CI94" s="19">
        <v>0</v>
      </c>
      <c r="CJ94" s="18"/>
      <c r="CK94" s="19"/>
      <c r="CL94" s="274"/>
      <c r="CM94" s="274"/>
      <c r="CN94" s="19">
        <v>0</v>
      </c>
      <c r="CO94" s="18"/>
      <c r="CP94" s="19"/>
      <c r="CQ94" s="274"/>
      <c r="CR94" s="274"/>
      <c r="CS94" s="19">
        <v>0</v>
      </c>
      <c r="CT94" s="18"/>
      <c r="CU94" s="19"/>
      <c r="CV94" s="274"/>
      <c r="CW94" s="274"/>
      <c r="CX94" s="19">
        <v>0</v>
      </c>
      <c r="CY94" s="18"/>
      <c r="CZ94" s="19"/>
      <c r="DA94" s="274"/>
      <c r="DB94" s="274"/>
      <c r="DC94" s="19">
        <v>0</v>
      </c>
      <c r="DD94" s="18"/>
      <c r="DE94" s="19"/>
      <c r="DF94" s="274"/>
      <c r="DG94" s="274"/>
      <c r="DH94" s="19">
        <v>0</v>
      </c>
      <c r="DI94" s="18"/>
      <c r="DJ94" s="19"/>
      <c r="DK94" s="274"/>
      <c r="DL94" s="274"/>
      <c r="DM94" s="19">
        <v>0</v>
      </c>
      <c r="DN94" s="18"/>
      <c r="DO94" s="19"/>
      <c r="DP94" s="274"/>
      <c r="DQ94" s="274"/>
      <c r="DR94" s="19">
        <v>0</v>
      </c>
      <c r="DS94" s="18"/>
      <c r="DT94" s="19"/>
      <c r="DU94" s="274"/>
      <c r="DV94" s="274"/>
      <c r="DW94" s="19">
        <v>0</v>
      </c>
      <c r="DX94" s="18"/>
      <c r="DY94" s="19"/>
      <c r="DZ94" s="274"/>
      <c r="EA94" s="274"/>
      <c r="EB94" s="19">
        <v>0</v>
      </c>
      <c r="EC94" s="18"/>
      <c r="ED94" s="19"/>
      <c r="EE94" s="274"/>
      <c r="EF94" s="274"/>
      <c r="EG94" s="19">
        <v>0</v>
      </c>
      <c r="EH94" s="18"/>
      <c r="EI94" s="19"/>
      <c r="EJ94" s="274"/>
      <c r="EK94" s="274"/>
      <c r="EL94" s="19">
        <f>SUM(CD94:EG94)</f>
        <v>0</v>
      </c>
      <c r="EM94" s="18"/>
      <c r="EN94" s="19"/>
      <c r="EO94" s="244"/>
    </row>
    <row r="95" spans="4:145" ht="12.75" hidden="1" customHeight="1" x14ac:dyDescent="0.2">
      <c r="D95" s="244" t="s">
        <v>354</v>
      </c>
      <c r="E95" s="82"/>
      <c r="F95" s="276"/>
      <c r="G95" s="37">
        <v>0</v>
      </c>
      <c r="H95" s="36"/>
      <c r="I95" s="19"/>
      <c r="J95" s="274"/>
      <c r="K95" s="231"/>
      <c r="L95" s="37">
        <v>0</v>
      </c>
      <c r="M95" s="36"/>
      <c r="N95" s="19"/>
      <c r="O95" s="274"/>
      <c r="P95" s="231"/>
      <c r="Q95" s="37">
        <v>0</v>
      </c>
      <c r="R95" s="36"/>
      <c r="S95" s="19"/>
      <c r="T95" s="274"/>
      <c r="U95" s="231"/>
      <c r="V95" s="37">
        <v>0</v>
      </c>
      <c r="W95" s="36"/>
      <c r="X95" s="19"/>
      <c r="Y95" s="274"/>
      <c r="Z95" s="231"/>
      <c r="AA95" s="37">
        <v>0</v>
      </c>
      <c r="AB95" s="36"/>
      <c r="AC95" s="19"/>
      <c r="AD95" s="274"/>
      <c r="AE95" s="231"/>
      <c r="AF95" s="37">
        <v>0</v>
      </c>
      <c r="AG95" s="36"/>
      <c r="AH95" s="19"/>
      <c r="AI95" s="274"/>
      <c r="AJ95" s="231"/>
      <c r="AK95" s="37">
        <v>0</v>
      </c>
      <c r="AL95" s="36"/>
      <c r="AM95" s="19"/>
      <c r="AN95" s="274"/>
      <c r="AO95" s="231"/>
      <c r="AP95" s="37">
        <v>0</v>
      </c>
      <c r="AQ95" s="36"/>
      <c r="AR95" s="19"/>
      <c r="AS95" s="274"/>
      <c r="AT95" s="231"/>
      <c r="AU95" s="37">
        <v>0</v>
      </c>
      <c r="AV95" s="36"/>
      <c r="AW95" s="19"/>
      <c r="AX95" s="274"/>
      <c r="AY95" s="231"/>
      <c r="AZ95" s="37">
        <v>0</v>
      </c>
      <c r="BA95" s="36"/>
      <c r="BB95" s="19"/>
      <c r="BC95" s="274"/>
      <c r="BD95" s="231"/>
      <c r="BE95" s="37">
        <v>0</v>
      </c>
      <c r="BF95" s="36"/>
      <c r="BG95" s="19"/>
      <c r="BH95" s="274"/>
      <c r="BI95" s="231"/>
      <c r="BJ95" s="37">
        <v>0</v>
      </c>
      <c r="BK95" s="36"/>
      <c r="BL95" s="19"/>
      <c r="BM95" s="274"/>
      <c r="BN95" s="231"/>
      <c r="BO95" s="37">
        <v>0</v>
      </c>
      <c r="BP95" s="36"/>
      <c r="BQ95" s="19"/>
      <c r="BR95" s="274"/>
      <c r="BS95" s="231"/>
      <c r="BT95" s="37">
        <f>SUM(L95:BO95)</f>
        <v>0</v>
      </c>
      <c r="BU95" s="36"/>
      <c r="BV95" s="19"/>
      <c r="BW95" s="274"/>
      <c r="BX95" s="231"/>
      <c r="BY95" s="37">
        <f>SUM(Q95:BT95)</f>
        <v>0</v>
      </c>
      <c r="BZ95" s="36"/>
      <c r="CA95" s="19"/>
      <c r="CB95" s="274"/>
      <c r="CC95" s="231"/>
      <c r="CD95" s="37">
        <v>0</v>
      </c>
      <c r="CE95" s="36"/>
      <c r="CF95" s="19"/>
      <c r="CG95" s="274"/>
      <c r="CH95" s="231"/>
      <c r="CI95" s="37">
        <v>0</v>
      </c>
      <c r="CJ95" s="36"/>
      <c r="CK95" s="19"/>
      <c r="CL95" s="274"/>
      <c r="CM95" s="231"/>
      <c r="CN95" s="37">
        <v>0</v>
      </c>
      <c r="CO95" s="36"/>
      <c r="CP95" s="19"/>
      <c r="CQ95" s="274"/>
      <c r="CR95" s="231"/>
      <c r="CS95" s="37">
        <v>0</v>
      </c>
      <c r="CT95" s="36"/>
      <c r="CU95" s="19"/>
      <c r="CV95" s="274"/>
      <c r="CW95" s="231"/>
      <c r="CX95" s="37">
        <v>0</v>
      </c>
      <c r="CY95" s="36"/>
      <c r="CZ95" s="19"/>
      <c r="DA95" s="274"/>
      <c r="DB95" s="231"/>
      <c r="DC95" s="37">
        <v>0</v>
      </c>
      <c r="DD95" s="36"/>
      <c r="DE95" s="19"/>
      <c r="DF95" s="274"/>
      <c r="DG95" s="231"/>
      <c r="DH95" s="37">
        <v>0</v>
      </c>
      <c r="DI95" s="36"/>
      <c r="DJ95" s="19"/>
      <c r="DK95" s="274"/>
      <c r="DL95" s="231"/>
      <c r="DM95" s="37">
        <v>0</v>
      </c>
      <c r="DN95" s="36"/>
      <c r="DO95" s="19"/>
      <c r="DP95" s="274"/>
      <c r="DQ95" s="231"/>
      <c r="DR95" s="37">
        <v>0</v>
      </c>
      <c r="DS95" s="36"/>
      <c r="DT95" s="19"/>
      <c r="DU95" s="274"/>
      <c r="DV95" s="231"/>
      <c r="DW95" s="37">
        <v>0</v>
      </c>
      <c r="DX95" s="36"/>
      <c r="DY95" s="19"/>
      <c r="DZ95" s="274"/>
      <c r="EA95" s="231"/>
      <c r="EB95" s="37">
        <v>0</v>
      </c>
      <c r="EC95" s="36"/>
      <c r="ED95" s="19"/>
      <c r="EE95" s="274"/>
      <c r="EF95" s="231"/>
      <c r="EG95" s="37">
        <v>0</v>
      </c>
      <c r="EH95" s="36"/>
      <c r="EI95" s="19"/>
      <c r="EJ95" s="274"/>
      <c r="EK95" s="231"/>
      <c r="EL95" s="37">
        <f>SUM(CD95:EG95)</f>
        <v>0</v>
      </c>
      <c r="EM95" s="36"/>
      <c r="EN95" s="19"/>
      <c r="EO95" s="244"/>
    </row>
    <row r="96" spans="4:145" ht="12.75" hidden="1" customHeight="1" x14ac:dyDescent="0.2">
      <c r="D96" s="244"/>
      <c r="E96" s="82"/>
      <c r="G96" s="19"/>
      <c r="H96" s="19"/>
      <c r="I96" s="19"/>
      <c r="J96" s="274"/>
      <c r="K96" s="19"/>
      <c r="L96" s="19"/>
      <c r="M96" s="19"/>
      <c r="N96" s="19"/>
      <c r="O96" s="274"/>
      <c r="P96" s="19"/>
      <c r="Q96" s="19"/>
      <c r="R96" s="19"/>
      <c r="S96" s="19"/>
      <c r="T96" s="274"/>
      <c r="U96" s="19"/>
      <c r="V96" s="19"/>
      <c r="W96" s="19"/>
      <c r="X96" s="19"/>
      <c r="Y96" s="274"/>
      <c r="Z96" s="19"/>
      <c r="AA96" s="19"/>
      <c r="AB96" s="19"/>
      <c r="AC96" s="19"/>
      <c r="AD96" s="274"/>
      <c r="AE96" s="19"/>
      <c r="AF96" s="19"/>
      <c r="AG96" s="19"/>
      <c r="AH96" s="19"/>
      <c r="AI96" s="274"/>
      <c r="AJ96" s="19"/>
      <c r="AK96" s="19"/>
      <c r="AL96" s="19"/>
      <c r="AM96" s="19"/>
      <c r="AN96" s="274"/>
      <c r="AO96" s="19"/>
      <c r="AP96" s="19"/>
      <c r="AQ96" s="19"/>
      <c r="AR96" s="19"/>
      <c r="AS96" s="274"/>
      <c r="AT96" s="19"/>
      <c r="AU96" s="19"/>
      <c r="AV96" s="19"/>
      <c r="AW96" s="19"/>
      <c r="AX96" s="274"/>
      <c r="AY96" s="19"/>
      <c r="AZ96" s="19"/>
      <c r="BA96" s="19"/>
      <c r="BB96" s="19"/>
      <c r="BC96" s="274"/>
      <c r="BD96" s="19"/>
      <c r="BE96" s="19"/>
      <c r="BF96" s="19"/>
      <c r="BG96" s="19"/>
      <c r="BH96" s="274"/>
      <c r="BI96" s="19"/>
      <c r="BJ96" s="19"/>
      <c r="BK96" s="19"/>
      <c r="BL96" s="19"/>
      <c r="BM96" s="274"/>
      <c r="BN96" s="19"/>
      <c r="BO96" s="19"/>
      <c r="BP96" s="19"/>
      <c r="BQ96" s="19"/>
      <c r="BR96" s="274"/>
      <c r="BS96" s="19"/>
      <c r="BT96" s="19"/>
      <c r="BU96" s="19"/>
      <c r="BV96" s="19"/>
      <c r="BW96" s="274"/>
      <c r="BX96" s="19"/>
      <c r="BY96" s="19"/>
      <c r="BZ96" s="19"/>
      <c r="CA96" s="19"/>
      <c r="CB96" s="274"/>
      <c r="CC96" s="19"/>
      <c r="CD96" s="19"/>
      <c r="CE96" s="19"/>
      <c r="CF96" s="19"/>
      <c r="CG96" s="274"/>
      <c r="CH96" s="19"/>
      <c r="CI96" s="19"/>
      <c r="CJ96" s="19"/>
      <c r="CK96" s="19"/>
      <c r="CL96" s="274"/>
      <c r="CM96" s="19"/>
      <c r="CN96" s="19"/>
      <c r="CO96" s="19"/>
      <c r="CP96" s="19"/>
      <c r="CQ96" s="274"/>
      <c r="CR96" s="19"/>
      <c r="CS96" s="19"/>
      <c r="CT96" s="19"/>
      <c r="CU96" s="19"/>
      <c r="CV96" s="274"/>
      <c r="CW96" s="19"/>
      <c r="CX96" s="19"/>
      <c r="CY96" s="19"/>
      <c r="CZ96" s="19"/>
      <c r="DA96" s="274"/>
      <c r="DB96" s="19"/>
      <c r="DC96" s="19"/>
      <c r="DD96" s="19"/>
      <c r="DE96" s="19"/>
      <c r="DF96" s="274"/>
      <c r="DG96" s="19"/>
      <c r="DH96" s="19"/>
      <c r="DI96" s="19"/>
      <c r="DJ96" s="19"/>
      <c r="DK96" s="274"/>
      <c r="DL96" s="19"/>
      <c r="DM96" s="19"/>
      <c r="DN96" s="19"/>
      <c r="DO96" s="19"/>
      <c r="DP96" s="274"/>
      <c r="DQ96" s="19"/>
      <c r="DR96" s="19"/>
      <c r="DS96" s="19"/>
      <c r="DT96" s="19"/>
      <c r="DU96" s="274"/>
      <c r="DV96" s="19"/>
      <c r="DW96" s="19"/>
      <c r="DX96" s="19"/>
      <c r="DY96" s="19"/>
      <c r="DZ96" s="274"/>
      <c r="EA96" s="19"/>
      <c r="EB96" s="19"/>
      <c r="EC96" s="19"/>
      <c r="ED96" s="19"/>
      <c r="EE96" s="274"/>
      <c r="EF96" s="19"/>
      <c r="EG96" s="19"/>
      <c r="EH96" s="19"/>
      <c r="EI96" s="19"/>
      <c r="EJ96" s="274"/>
      <c r="EK96" s="19"/>
      <c r="EL96" s="19"/>
      <c r="EM96" s="19"/>
      <c r="EN96" s="19"/>
      <c r="EO96" s="244"/>
    </row>
    <row r="97" spans="4:145" ht="12.75" hidden="1" customHeight="1" x14ac:dyDescent="0.2">
      <c r="D97" s="244" t="s">
        <v>460</v>
      </c>
      <c r="E97" s="82"/>
      <c r="G97" s="19">
        <v>0</v>
      </c>
      <c r="H97" s="19"/>
      <c r="I97" s="19"/>
      <c r="J97" s="274"/>
      <c r="K97" s="19"/>
      <c r="L97" s="19">
        <f>SUM(L98:L100)</f>
        <v>0</v>
      </c>
      <c r="M97" s="19"/>
      <c r="N97" s="19"/>
      <c r="O97" s="274"/>
      <c r="P97" s="19"/>
      <c r="Q97" s="19">
        <f>SUM(Q98:Q100)</f>
        <v>0</v>
      </c>
      <c r="R97" s="19"/>
      <c r="S97" s="19"/>
      <c r="T97" s="274"/>
      <c r="U97" s="19"/>
      <c r="V97" s="19">
        <f>SUM(V98:V100)</f>
        <v>0</v>
      </c>
      <c r="W97" s="19"/>
      <c r="X97" s="19"/>
      <c r="Y97" s="274"/>
      <c r="Z97" s="19"/>
      <c r="AA97" s="19">
        <f>SUM(AA98:AA100)</f>
        <v>0</v>
      </c>
      <c r="AB97" s="19"/>
      <c r="AC97" s="19"/>
      <c r="AD97" s="274"/>
      <c r="AE97" s="19"/>
      <c r="AF97" s="19">
        <f>SUM(AF98:AF100)</f>
        <v>0</v>
      </c>
      <c r="AG97" s="19"/>
      <c r="AH97" s="19"/>
      <c r="AI97" s="274"/>
      <c r="AJ97" s="19"/>
      <c r="AK97" s="19">
        <f>SUM(AK98:AK100)</f>
        <v>0</v>
      </c>
      <c r="AL97" s="19"/>
      <c r="AM97" s="19"/>
      <c r="AN97" s="274"/>
      <c r="AO97" s="19"/>
      <c r="AP97" s="19">
        <f>SUM(AP98:AP100)</f>
        <v>0</v>
      </c>
      <c r="AQ97" s="19"/>
      <c r="AR97" s="19"/>
      <c r="AS97" s="274"/>
      <c r="AT97" s="19"/>
      <c r="AU97" s="19">
        <f>SUM(AU98:AU100)</f>
        <v>0</v>
      </c>
      <c r="AV97" s="19"/>
      <c r="AW97" s="19"/>
      <c r="AX97" s="274"/>
      <c r="AY97" s="19"/>
      <c r="AZ97" s="19">
        <f>SUM(AZ98:AZ100)</f>
        <v>0</v>
      </c>
      <c r="BA97" s="19"/>
      <c r="BB97" s="19"/>
      <c r="BC97" s="274"/>
      <c r="BD97" s="19"/>
      <c r="BE97" s="19">
        <f>SUM(BE98:BE100)</f>
        <v>0</v>
      </c>
      <c r="BF97" s="19"/>
      <c r="BG97" s="19"/>
      <c r="BH97" s="274"/>
      <c r="BI97" s="19"/>
      <c r="BJ97" s="19">
        <f>SUM(BJ98:BJ100)</f>
        <v>0</v>
      </c>
      <c r="BK97" s="19"/>
      <c r="BL97" s="19"/>
      <c r="BM97" s="274"/>
      <c r="BN97" s="19"/>
      <c r="BO97" s="19">
        <f>SUM(BO98:BO100)</f>
        <v>0</v>
      </c>
      <c r="BP97" s="19"/>
      <c r="BQ97" s="19"/>
      <c r="BR97" s="274"/>
      <c r="BS97" s="19"/>
      <c r="BT97" s="19">
        <f>SUM(BT98:BT100)</f>
        <v>0</v>
      </c>
      <c r="BU97" s="19"/>
      <c r="BV97" s="19"/>
      <c r="BW97" s="274"/>
      <c r="BX97" s="19"/>
      <c r="BY97" s="19">
        <f>SUM(BY98:BY100)</f>
        <v>0</v>
      </c>
      <c r="BZ97" s="19"/>
      <c r="CA97" s="19"/>
      <c r="CB97" s="274"/>
      <c r="CC97" s="19"/>
      <c r="CD97" s="19">
        <f>SUM(CD98:CD100)</f>
        <v>0</v>
      </c>
      <c r="CE97" s="19"/>
      <c r="CF97" s="19"/>
      <c r="CG97" s="274"/>
      <c r="CH97" s="19"/>
      <c r="CI97" s="19">
        <f>SUM(CI98:CI100)</f>
        <v>0</v>
      </c>
      <c r="CJ97" s="19"/>
      <c r="CK97" s="19"/>
      <c r="CL97" s="274"/>
      <c r="CM97" s="19"/>
      <c r="CN97" s="19">
        <f>SUM(CN98:CN100)</f>
        <v>0</v>
      </c>
      <c r="CO97" s="19"/>
      <c r="CP97" s="19"/>
      <c r="CQ97" s="274"/>
      <c r="CR97" s="19"/>
      <c r="CS97" s="19">
        <f>SUM(CS98:CS100)</f>
        <v>0</v>
      </c>
      <c r="CT97" s="19"/>
      <c r="CU97" s="19"/>
      <c r="CV97" s="274"/>
      <c r="CW97" s="19"/>
      <c r="CX97" s="19">
        <f>SUM(CX98:CX100)</f>
        <v>0</v>
      </c>
      <c r="CY97" s="19"/>
      <c r="CZ97" s="19"/>
      <c r="DA97" s="274"/>
      <c r="DB97" s="19"/>
      <c r="DC97" s="19">
        <f>SUM(DC98:DC100)</f>
        <v>0</v>
      </c>
      <c r="DD97" s="19"/>
      <c r="DE97" s="19"/>
      <c r="DF97" s="274"/>
      <c r="DG97" s="19"/>
      <c r="DH97" s="19">
        <f>SUM(DH98:DH100)</f>
        <v>0</v>
      </c>
      <c r="DI97" s="19"/>
      <c r="DJ97" s="19"/>
      <c r="DK97" s="274"/>
      <c r="DL97" s="19"/>
      <c r="DM97" s="19">
        <f>SUM(DM98:DM100)</f>
        <v>0</v>
      </c>
      <c r="DN97" s="19"/>
      <c r="DO97" s="19"/>
      <c r="DP97" s="274"/>
      <c r="DQ97" s="19"/>
      <c r="DR97" s="19">
        <f>SUM(DR98:DR100)</f>
        <v>0</v>
      </c>
      <c r="DS97" s="19"/>
      <c r="DT97" s="19"/>
      <c r="DU97" s="274"/>
      <c r="DV97" s="19"/>
      <c r="DW97" s="19">
        <f>SUM(DW98:DW100)</f>
        <v>0</v>
      </c>
      <c r="DX97" s="19"/>
      <c r="DY97" s="19"/>
      <c r="DZ97" s="274"/>
      <c r="EA97" s="19"/>
      <c r="EB97" s="19">
        <f>SUM(EB98:EB100)</f>
        <v>0</v>
      </c>
      <c r="EC97" s="19"/>
      <c r="ED97" s="19"/>
      <c r="EE97" s="274"/>
      <c r="EF97" s="19"/>
      <c r="EG97" s="19">
        <f>SUM(EG98:EG100)</f>
        <v>0</v>
      </c>
      <c r="EH97" s="19"/>
      <c r="EI97" s="19"/>
      <c r="EJ97" s="274"/>
      <c r="EK97" s="19"/>
      <c r="EL97" s="19">
        <f>SUM(EL98:EL100)</f>
        <v>0</v>
      </c>
      <c r="EM97" s="19"/>
      <c r="EN97" s="19"/>
      <c r="EO97" s="244"/>
    </row>
    <row r="98" spans="4:145" ht="12.75" hidden="1" customHeight="1" x14ac:dyDescent="0.2">
      <c r="D98" s="244" t="s">
        <v>344</v>
      </c>
      <c r="E98" s="82"/>
      <c r="F98" s="112"/>
      <c r="G98" s="374">
        <v>0</v>
      </c>
      <c r="H98" s="475"/>
      <c r="I98" s="19"/>
      <c r="J98" s="274"/>
      <c r="K98" s="173"/>
      <c r="L98" s="374">
        <v>0</v>
      </c>
      <c r="M98" s="475"/>
      <c r="N98" s="19"/>
      <c r="O98" s="274"/>
      <c r="P98" s="173"/>
      <c r="Q98" s="374">
        <v>0</v>
      </c>
      <c r="R98" s="475"/>
      <c r="S98" s="19"/>
      <c r="T98" s="274"/>
      <c r="U98" s="173"/>
      <c r="V98" s="374">
        <v>0</v>
      </c>
      <c r="W98" s="475"/>
      <c r="X98" s="19"/>
      <c r="Y98" s="274"/>
      <c r="Z98" s="173"/>
      <c r="AA98" s="374">
        <v>0</v>
      </c>
      <c r="AB98" s="475"/>
      <c r="AC98" s="19"/>
      <c r="AD98" s="274"/>
      <c r="AE98" s="173"/>
      <c r="AF98" s="374">
        <v>0</v>
      </c>
      <c r="AG98" s="475"/>
      <c r="AH98" s="19"/>
      <c r="AI98" s="274"/>
      <c r="AJ98" s="173"/>
      <c r="AK98" s="374">
        <v>0</v>
      </c>
      <c r="AL98" s="475"/>
      <c r="AM98" s="19"/>
      <c r="AN98" s="274"/>
      <c r="AO98" s="173"/>
      <c r="AP98" s="374">
        <v>0</v>
      </c>
      <c r="AQ98" s="475"/>
      <c r="AR98" s="19"/>
      <c r="AS98" s="274"/>
      <c r="AT98" s="173"/>
      <c r="AU98" s="374">
        <v>0</v>
      </c>
      <c r="AV98" s="475"/>
      <c r="AW98" s="19"/>
      <c r="AX98" s="274"/>
      <c r="AY98" s="173"/>
      <c r="AZ98" s="374">
        <v>0</v>
      </c>
      <c r="BA98" s="475"/>
      <c r="BB98" s="19"/>
      <c r="BC98" s="274"/>
      <c r="BD98" s="173"/>
      <c r="BE98" s="374">
        <v>0</v>
      </c>
      <c r="BF98" s="475"/>
      <c r="BG98" s="19"/>
      <c r="BH98" s="274"/>
      <c r="BI98" s="173"/>
      <c r="BJ98" s="374">
        <v>0</v>
      </c>
      <c r="BK98" s="475"/>
      <c r="BL98" s="19"/>
      <c r="BM98" s="274"/>
      <c r="BN98" s="173"/>
      <c r="BO98" s="374">
        <v>0</v>
      </c>
      <c r="BP98" s="475"/>
      <c r="BQ98" s="19"/>
      <c r="BR98" s="274"/>
      <c r="BS98" s="173"/>
      <c r="BT98" s="374">
        <f>SUM(L98:BO98)</f>
        <v>0</v>
      </c>
      <c r="BU98" s="475"/>
      <c r="BV98" s="19"/>
      <c r="BW98" s="274"/>
      <c r="BX98" s="173"/>
      <c r="BY98" s="374">
        <f>SUM(Q98:BT98)</f>
        <v>0</v>
      </c>
      <c r="BZ98" s="475"/>
      <c r="CA98" s="19"/>
      <c r="CB98" s="274"/>
      <c r="CC98" s="173"/>
      <c r="CD98" s="374">
        <v>0</v>
      </c>
      <c r="CE98" s="475"/>
      <c r="CF98" s="19"/>
      <c r="CG98" s="274"/>
      <c r="CH98" s="173"/>
      <c r="CI98" s="374">
        <v>0</v>
      </c>
      <c r="CJ98" s="475"/>
      <c r="CK98" s="19"/>
      <c r="CL98" s="274"/>
      <c r="CM98" s="173"/>
      <c r="CN98" s="374">
        <v>0</v>
      </c>
      <c r="CO98" s="475"/>
      <c r="CP98" s="19"/>
      <c r="CQ98" s="274"/>
      <c r="CR98" s="173"/>
      <c r="CS98" s="374">
        <v>0</v>
      </c>
      <c r="CT98" s="475"/>
      <c r="CU98" s="19"/>
      <c r="CV98" s="274"/>
      <c r="CW98" s="173"/>
      <c r="CX98" s="374">
        <v>0</v>
      </c>
      <c r="CY98" s="475"/>
      <c r="CZ98" s="19"/>
      <c r="DA98" s="274"/>
      <c r="DB98" s="173"/>
      <c r="DC98" s="374">
        <v>0</v>
      </c>
      <c r="DD98" s="475"/>
      <c r="DE98" s="19"/>
      <c r="DF98" s="274"/>
      <c r="DG98" s="173"/>
      <c r="DH98" s="374">
        <v>0</v>
      </c>
      <c r="DI98" s="475"/>
      <c r="DJ98" s="19"/>
      <c r="DK98" s="274"/>
      <c r="DL98" s="173"/>
      <c r="DM98" s="374">
        <v>0</v>
      </c>
      <c r="DN98" s="475"/>
      <c r="DO98" s="19"/>
      <c r="DP98" s="274"/>
      <c r="DQ98" s="173"/>
      <c r="DR98" s="374">
        <v>0</v>
      </c>
      <c r="DS98" s="475"/>
      <c r="DT98" s="19"/>
      <c r="DU98" s="274"/>
      <c r="DV98" s="173"/>
      <c r="DW98" s="374">
        <v>0</v>
      </c>
      <c r="DX98" s="475"/>
      <c r="DY98" s="19"/>
      <c r="DZ98" s="274"/>
      <c r="EA98" s="173"/>
      <c r="EB98" s="374">
        <v>0</v>
      </c>
      <c r="EC98" s="475"/>
      <c r="ED98" s="19"/>
      <c r="EE98" s="274"/>
      <c r="EF98" s="173"/>
      <c r="EG98" s="374">
        <v>0</v>
      </c>
      <c r="EH98" s="475"/>
      <c r="EI98" s="19"/>
      <c r="EJ98" s="274"/>
      <c r="EK98" s="173"/>
      <c r="EL98" s="374">
        <f>SUM(CD98:EG98)</f>
        <v>0</v>
      </c>
      <c r="EM98" s="475"/>
      <c r="EN98" s="19"/>
      <c r="EO98" s="244"/>
    </row>
    <row r="99" spans="4:145" ht="12.75" hidden="1" customHeight="1" x14ac:dyDescent="0.2">
      <c r="D99" s="244" t="s">
        <v>346</v>
      </c>
      <c r="E99" s="82"/>
      <c r="F99" s="82"/>
      <c r="G99" s="19">
        <v>0</v>
      </c>
      <c r="H99" s="18"/>
      <c r="I99" s="19"/>
      <c r="J99" s="274"/>
      <c r="K99" s="274"/>
      <c r="L99" s="19">
        <v>0</v>
      </c>
      <c r="M99" s="18"/>
      <c r="N99" s="19"/>
      <c r="O99" s="274"/>
      <c r="P99" s="274"/>
      <c r="Q99" s="19">
        <v>0</v>
      </c>
      <c r="R99" s="18"/>
      <c r="S99" s="19"/>
      <c r="T99" s="274"/>
      <c r="U99" s="274"/>
      <c r="V99" s="19">
        <v>0</v>
      </c>
      <c r="W99" s="18"/>
      <c r="X99" s="19"/>
      <c r="Y99" s="274"/>
      <c r="Z99" s="274"/>
      <c r="AA99" s="19">
        <v>0</v>
      </c>
      <c r="AB99" s="18"/>
      <c r="AC99" s="19"/>
      <c r="AD99" s="274"/>
      <c r="AE99" s="274"/>
      <c r="AF99" s="19">
        <v>0</v>
      </c>
      <c r="AG99" s="18"/>
      <c r="AH99" s="19"/>
      <c r="AI99" s="274"/>
      <c r="AJ99" s="274"/>
      <c r="AK99" s="19">
        <v>0</v>
      </c>
      <c r="AL99" s="18"/>
      <c r="AM99" s="19"/>
      <c r="AN99" s="274"/>
      <c r="AO99" s="274"/>
      <c r="AP99" s="19">
        <v>0</v>
      </c>
      <c r="AQ99" s="18"/>
      <c r="AR99" s="19"/>
      <c r="AS99" s="274"/>
      <c r="AT99" s="274"/>
      <c r="AU99" s="19">
        <v>0</v>
      </c>
      <c r="AV99" s="18"/>
      <c r="AW99" s="19"/>
      <c r="AX99" s="274"/>
      <c r="AY99" s="274"/>
      <c r="AZ99" s="19">
        <v>0</v>
      </c>
      <c r="BA99" s="18"/>
      <c r="BB99" s="19"/>
      <c r="BC99" s="274"/>
      <c r="BD99" s="274"/>
      <c r="BE99" s="19">
        <v>0</v>
      </c>
      <c r="BF99" s="18"/>
      <c r="BG99" s="19"/>
      <c r="BH99" s="274"/>
      <c r="BI99" s="274"/>
      <c r="BJ99" s="19">
        <v>0</v>
      </c>
      <c r="BK99" s="18"/>
      <c r="BL99" s="19"/>
      <c r="BM99" s="274"/>
      <c r="BN99" s="274"/>
      <c r="BO99" s="19">
        <v>0</v>
      </c>
      <c r="BP99" s="18"/>
      <c r="BQ99" s="19"/>
      <c r="BR99" s="274"/>
      <c r="BS99" s="274"/>
      <c r="BT99" s="19">
        <f>SUM(L99:BO99)</f>
        <v>0</v>
      </c>
      <c r="BU99" s="18"/>
      <c r="BV99" s="19"/>
      <c r="BW99" s="274"/>
      <c r="BX99" s="274"/>
      <c r="BY99" s="19">
        <f>SUM(Q99:BT99)</f>
        <v>0</v>
      </c>
      <c r="BZ99" s="18"/>
      <c r="CA99" s="19"/>
      <c r="CB99" s="274"/>
      <c r="CC99" s="274"/>
      <c r="CD99" s="19">
        <v>0</v>
      </c>
      <c r="CE99" s="18"/>
      <c r="CF99" s="19"/>
      <c r="CG99" s="274"/>
      <c r="CH99" s="274"/>
      <c r="CI99" s="19">
        <v>0</v>
      </c>
      <c r="CJ99" s="18"/>
      <c r="CK99" s="19"/>
      <c r="CL99" s="274"/>
      <c r="CM99" s="274"/>
      <c r="CN99" s="19">
        <v>0</v>
      </c>
      <c r="CO99" s="18"/>
      <c r="CP99" s="19"/>
      <c r="CQ99" s="274"/>
      <c r="CR99" s="274"/>
      <c r="CS99" s="19">
        <v>0</v>
      </c>
      <c r="CT99" s="18"/>
      <c r="CU99" s="19"/>
      <c r="CV99" s="274"/>
      <c r="CW99" s="274"/>
      <c r="CX99" s="19">
        <v>0</v>
      </c>
      <c r="CY99" s="18"/>
      <c r="CZ99" s="19"/>
      <c r="DA99" s="274"/>
      <c r="DB99" s="274"/>
      <c r="DC99" s="19">
        <v>0</v>
      </c>
      <c r="DD99" s="18"/>
      <c r="DE99" s="19"/>
      <c r="DF99" s="274"/>
      <c r="DG99" s="274"/>
      <c r="DH99" s="19">
        <v>0</v>
      </c>
      <c r="DI99" s="18"/>
      <c r="DJ99" s="19"/>
      <c r="DK99" s="274"/>
      <c r="DL99" s="274"/>
      <c r="DM99" s="19">
        <v>0</v>
      </c>
      <c r="DN99" s="18"/>
      <c r="DO99" s="19"/>
      <c r="DP99" s="274"/>
      <c r="DQ99" s="274"/>
      <c r="DR99" s="19">
        <v>0</v>
      </c>
      <c r="DS99" s="18"/>
      <c r="DT99" s="19"/>
      <c r="DU99" s="274"/>
      <c r="DV99" s="274"/>
      <c r="DW99" s="19">
        <v>0</v>
      </c>
      <c r="DX99" s="18"/>
      <c r="DY99" s="19"/>
      <c r="DZ99" s="274"/>
      <c r="EA99" s="274"/>
      <c r="EB99" s="19">
        <v>0</v>
      </c>
      <c r="EC99" s="18"/>
      <c r="ED99" s="19"/>
      <c r="EE99" s="274"/>
      <c r="EF99" s="274"/>
      <c r="EG99" s="19">
        <v>0</v>
      </c>
      <c r="EH99" s="18"/>
      <c r="EI99" s="19"/>
      <c r="EJ99" s="274"/>
      <c r="EK99" s="274"/>
      <c r="EL99" s="19">
        <f>SUM(CD99:EG99)</f>
        <v>0</v>
      </c>
      <c r="EM99" s="18"/>
      <c r="EN99" s="19"/>
      <c r="EO99" s="244"/>
    </row>
    <row r="100" spans="4:145" ht="12.75" hidden="1" customHeight="1" x14ac:dyDescent="0.2">
      <c r="D100" s="244" t="s">
        <v>354</v>
      </c>
      <c r="E100" s="82"/>
      <c r="F100" s="276"/>
      <c r="G100" s="37">
        <v>0</v>
      </c>
      <c r="H100" s="36"/>
      <c r="I100" s="19"/>
      <c r="J100" s="274"/>
      <c r="K100" s="231"/>
      <c r="L100" s="37">
        <v>0</v>
      </c>
      <c r="M100" s="36"/>
      <c r="N100" s="19"/>
      <c r="O100" s="274"/>
      <c r="P100" s="231"/>
      <c r="Q100" s="37">
        <v>0</v>
      </c>
      <c r="R100" s="36"/>
      <c r="S100" s="19"/>
      <c r="T100" s="274"/>
      <c r="U100" s="231"/>
      <c r="V100" s="37">
        <v>0</v>
      </c>
      <c r="W100" s="36"/>
      <c r="X100" s="19"/>
      <c r="Y100" s="274"/>
      <c r="Z100" s="231"/>
      <c r="AA100" s="37">
        <v>0</v>
      </c>
      <c r="AB100" s="36"/>
      <c r="AC100" s="19"/>
      <c r="AD100" s="274"/>
      <c r="AE100" s="231"/>
      <c r="AF100" s="37">
        <v>0</v>
      </c>
      <c r="AG100" s="36"/>
      <c r="AH100" s="19"/>
      <c r="AI100" s="274"/>
      <c r="AJ100" s="231"/>
      <c r="AK100" s="37">
        <v>0</v>
      </c>
      <c r="AL100" s="36"/>
      <c r="AM100" s="19"/>
      <c r="AN100" s="274"/>
      <c r="AO100" s="231"/>
      <c r="AP100" s="37">
        <v>0</v>
      </c>
      <c r="AQ100" s="36"/>
      <c r="AR100" s="19"/>
      <c r="AS100" s="274"/>
      <c r="AT100" s="231"/>
      <c r="AU100" s="37">
        <v>0</v>
      </c>
      <c r="AV100" s="36"/>
      <c r="AW100" s="19"/>
      <c r="AX100" s="274"/>
      <c r="AY100" s="231"/>
      <c r="AZ100" s="37">
        <v>0</v>
      </c>
      <c r="BA100" s="36"/>
      <c r="BB100" s="19"/>
      <c r="BC100" s="274"/>
      <c r="BD100" s="231"/>
      <c r="BE100" s="37">
        <v>0</v>
      </c>
      <c r="BF100" s="36"/>
      <c r="BG100" s="19"/>
      <c r="BH100" s="274"/>
      <c r="BI100" s="231"/>
      <c r="BJ100" s="37">
        <v>0</v>
      </c>
      <c r="BK100" s="36"/>
      <c r="BL100" s="19"/>
      <c r="BM100" s="274"/>
      <c r="BN100" s="231"/>
      <c r="BO100" s="37">
        <v>0</v>
      </c>
      <c r="BP100" s="36"/>
      <c r="BQ100" s="19"/>
      <c r="BR100" s="274"/>
      <c r="BS100" s="231"/>
      <c r="BT100" s="37">
        <f>SUM(L100:BO100)</f>
        <v>0</v>
      </c>
      <c r="BU100" s="36"/>
      <c r="BV100" s="19"/>
      <c r="BW100" s="274"/>
      <c r="BX100" s="231"/>
      <c r="BY100" s="37">
        <f>SUM(Q100:BT100)</f>
        <v>0</v>
      </c>
      <c r="BZ100" s="36"/>
      <c r="CA100" s="19"/>
      <c r="CB100" s="274"/>
      <c r="CC100" s="231"/>
      <c r="CD100" s="37">
        <v>0</v>
      </c>
      <c r="CE100" s="36"/>
      <c r="CF100" s="19"/>
      <c r="CG100" s="274"/>
      <c r="CH100" s="231"/>
      <c r="CI100" s="37">
        <v>0</v>
      </c>
      <c r="CJ100" s="36"/>
      <c r="CK100" s="19"/>
      <c r="CL100" s="274"/>
      <c r="CM100" s="231"/>
      <c r="CN100" s="37">
        <v>0</v>
      </c>
      <c r="CO100" s="36"/>
      <c r="CP100" s="19"/>
      <c r="CQ100" s="274"/>
      <c r="CR100" s="231"/>
      <c r="CS100" s="37">
        <v>0</v>
      </c>
      <c r="CT100" s="36"/>
      <c r="CU100" s="19"/>
      <c r="CV100" s="274"/>
      <c r="CW100" s="231"/>
      <c r="CX100" s="37">
        <v>0</v>
      </c>
      <c r="CY100" s="36"/>
      <c r="CZ100" s="19"/>
      <c r="DA100" s="274"/>
      <c r="DB100" s="231"/>
      <c r="DC100" s="37">
        <v>0</v>
      </c>
      <c r="DD100" s="36"/>
      <c r="DE100" s="19"/>
      <c r="DF100" s="274"/>
      <c r="DG100" s="231"/>
      <c r="DH100" s="37">
        <v>0</v>
      </c>
      <c r="DI100" s="36"/>
      <c r="DJ100" s="19"/>
      <c r="DK100" s="274"/>
      <c r="DL100" s="231"/>
      <c r="DM100" s="37">
        <v>0</v>
      </c>
      <c r="DN100" s="36"/>
      <c r="DO100" s="19"/>
      <c r="DP100" s="274"/>
      <c r="DQ100" s="231"/>
      <c r="DR100" s="37">
        <v>0</v>
      </c>
      <c r="DS100" s="36"/>
      <c r="DT100" s="19"/>
      <c r="DU100" s="274"/>
      <c r="DV100" s="231"/>
      <c r="DW100" s="37">
        <v>0</v>
      </c>
      <c r="DX100" s="36"/>
      <c r="DY100" s="19"/>
      <c r="DZ100" s="274"/>
      <c r="EA100" s="231"/>
      <c r="EB100" s="37">
        <v>0</v>
      </c>
      <c r="EC100" s="36"/>
      <c r="ED100" s="19"/>
      <c r="EE100" s="274"/>
      <c r="EF100" s="231"/>
      <c r="EG100" s="37">
        <v>0</v>
      </c>
      <c r="EH100" s="36"/>
      <c r="EI100" s="19"/>
      <c r="EJ100" s="274"/>
      <c r="EK100" s="231"/>
      <c r="EL100" s="37">
        <f>SUM(CD100:EG100)</f>
        <v>0</v>
      </c>
      <c r="EM100" s="36"/>
      <c r="EN100" s="19"/>
      <c r="EO100" s="244"/>
    </row>
    <row r="101" spans="4:145" hidden="1" x14ac:dyDescent="0.2">
      <c r="D101" s="244"/>
      <c r="E101" s="82"/>
      <c r="G101" s="19"/>
      <c r="H101" s="19"/>
      <c r="I101" s="19"/>
      <c r="J101" s="274"/>
      <c r="K101" s="19"/>
      <c r="L101" s="19"/>
      <c r="M101" s="19"/>
      <c r="N101" s="19"/>
      <c r="O101" s="274"/>
      <c r="P101" s="19"/>
      <c r="Q101" s="19"/>
      <c r="R101" s="19"/>
      <c r="S101" s="19"/>
      <c r="T101" s="274"/>
      <c r="U101" s="19"/>
      <c r="V101" s="19"/>
      <c r="W101" s="19"/>
      <c r="X101" s="19"/>
      <c r="Y101" s="274"/>
      <c r="Z101" s="19"/>
      <c r="AA101" s="19"/>
      <c r="AB101" s="19"/>
      <c r="AC101" s="19"/>
      <c r="AD101" s="274"/>
      <c r="AE101" s="19"/>
      <c r="AF101" s="19"/>
      <c r="AG101" s="19"/>
      <c r="AH101" s="19"/>
      <c r="AI101" s="274"/>
      <c r="AJ101" s="19"/>
      <c r="AK101" s="19"/>
      <c r="AL101" s="19"/>
      <c r="AM101" s="19"/>
      <c r="AN101" s="274"/>
      <c r="AO101" s="19"/>
      <c r="AP101" s="19"/>
      <c r="AQ101" s="19"/>
      <c r="AR101" s="19"/>
      <c r="AS101" s="274"/>
      <c r="AT101" s="19"/>
      <c r="AU101" s="19"/>
      <c r="AV101" s="19"/>
      <c r="AW101" s="19"/>
      <c r="AX101" s="274"/>
      <c r="AY101" s="19"/>
      <c r="AZ101" s="19"/>
      <c r="BA101" s="19"/>
      <c r="BB101" s="19"/>
      <c r="BC101" s="274"/>
      <c r="BD101" s="19"/>
      <c r="BE101" s="19"/>
      <c r="BF101" s="19"/>
      <c r="BG101" s="19"/>
      <c r="BH101" s="274"/>
      <c r="BI101" s="19"/>
      <c r="BJ101" s="19"/>
      <c r="BK101" s="19"/>
      <c r="BL101" s="19"/>
      <c r="BM101" s="274"/>
      <c r="BN101" s="19"/>
      <c r="BO101" s="19"/>
      <c r="BP101" s="19"/>
      <c r="BQ101" s="19"/>
      <c r="BR101" s="274"/>
      <c r="BS101" s="19"/>
      <c r="BT101" s="19"/>
      <c r="BU101" s="19"/>
      <c r="BV101" s="19"/>
      <c r="BW101" s="274"/>
      <c r="BX101" s="19"/>
      <c r="BY101" s="19"/>
      <c r="BZ101" s="19"/>
      <c r="CA101" s="19"/>
      <c r="CB101" s="274"/>
      <c r="CC101" s="19"/>
      <c r="CD101" s="19"/>
      <c r="CE101" s="19"/>
      <c r="CF101" s="19"/>
      <c r="CG101" s="274"/>
      <c r="CH101" s="19"/>
      <c r="CI101" s="19"/>
      <c r="CJ101" s="19"/>
      <c r="CK101" s="19"/>
      <c r="CL101" s="274"/>
      <c r="CM101" s="19"/>
      <c r="CN101" s="19"/>
      <c r="CO101" s="19"/>
      <c r="CP101" s="19"/>
      <c r="CQ101" s="274"/>
      <c r="CR101" s="19"/>
      <c r="CS101" s="19"/>
      <c r="CT101" s="19"/>
      <c r="CU101" s="19"/>
      <c r="CV101" s="274"/>
      <c r="CW101" s="19"/>
      <c r="CX101" s="19"/>
      <c r="CY101" s="19"/>
      <c r="CZ101" s="19"/>
      <c r="DA101" s="274"/>
      <c r="DB101" s="19"/>
      <c r="DC101" s="19"/>
      <c r="DD101" s="19"/>
      <c r="DE101" s="19"/>
      <c r="DF101" s="274"/>
      <c r="DG101" s="19"/>
      <c r="DH101" s="19"/>
      <c r="DI101" s="19"/>
      <c r="DJ101" s="19"/>
      <c r="DK101" s="274"/>
      <c r="DL101" s="19"/>
      <c r="DM101" s="19"/>
      <c r="DN101" s="19"/>
      <c r="DO101" s="19"/>
      <c r="DP101" s="274"/>
      <c r="DQ101" s="19"/>
      <c r="DR101" s="19"/>
      <c r="DS101" s="19"/>
      <c r="DT101" s="19"/>
      <c r="DU101" s="274"/>
      <c r="DV101" s="19"/>
      <c r="DW101" s="19"/>
      <c r="DX101" s="19"/>
      <c r="DY101" s="19"/>
      <c r="DZ101" s="274"/>
      <c r="EA101" s="19"/>
      <c r="EB101" s="19"/>
      <c r="EC101" s="19"/>
      <c r="ED101" s="19"/>
      <c r="EE101" s="274"/>
      <c r="EF101" s="19"/>
      <c r="EG101" s="19"/>
      <c r="EH101" s="19"/>
      <c r="EI101" s="19"/>
      <c r="EJ101" s="274"/>
      <c r="EK101" s="19"/>
      <c r="EL101" s="19"/>
      <c r="EM101" s="19"/>
      <c r="EN101" s="19"/>
      <c r="EO101" s="244"/>
    </row>
    <row r="102" spans="4:145" x14ac:dyDescent="0.2">
      <c r="D102" s="484" t="s">
        <v>461</v>
      </c>
      <c r="E102" s="82"/>
      <c r="G102" s="265">
        <f>SUM(G103:G105)</f>
        <v>14417000</v>
      </c>
      <c r="J102" s="82"/>
      <c r="L102" s="451">
        <f>SUM(L103:L105)</f>
        <v>777665</v>
      </c>
      <c r="O102" s="82"/>
      <c r="Q102" s="451">
        <f>SUM(Q103:Q105)</f>
        <v>4931986</v>
      </c>
      <c r="T102" s="82"/>
      <c r="V102" s="451">
        <f>SUM(V103:V105)</f>
        <v>8699700</v>
      </c>
      <c r="Y102" s="82"/>
      <c r="AA102" s="451">
        <f>SUM(AA103:AA105)</f>
        <v>0</v>
      </c>
      <c r="AD102" s="82"/>
      <c r="AF102" s="451">
        <f>SUM(AF103:AF105)</f>
        <v>0</v>
      </c>
      <c r="AI102" s="82"/>
      <c r="AK102" s="451">
        <f>SUM(AK103:AK105)</f>
        <v>0</v>
      </c>
      <c r="AN102" s="82"/>
      <c r="AP102" s="451">
        <f>SUM(AP103:AP105)</f>
        <v>0</v>
      </c>
      <c r="AS102" s="82"/>
      <c r="AU102" s="451">
        <f>SUM(AU103:AU105)</f>
        <v>6967</v>
      </c>
      <c r="AX102" s="82"/>
      <c r="AZ102" s="451">
        <f>SUM(AZ103:AZ105)</f>
        <v>0</v>
      </c>
      <c r="BC102" s="82"/>
      <c r="BE102" s="451">
        <f>SUM(BE103:BE105)</f>
        <v>0</v>
      </c>
      <c r="BH102" s="82"/>
      <c r="BJ102" s="451">
        <f>SUM(BJ103:BJ105)</f>
        <v>0</v>
      </c>
      <c r="BM102" s="82"/>
      <c r="BO102" s="451">
        <f>SUM(BO103:BO105)</f>
        <v>0</v>
      </c>
      <c r="BR102" s="82"/>
      <c r="BT102" s="451">
        <f>SUM(BT103:BT105)</f>
        <v>14416318</v>
      </c>
      <c r="BW102" s="82"/>
      <c r="BY102" s="451">
        <f>SUM(BY103:BY105)</f>
        <v>51228957</v>
      </c>
      <c r="CB102" s="82"/>
      <c r="CD102" s="451">
        <f>SUM(CD103:CD105)</f>
        <v>628449</v>
      </c>
      <c r="CG102" s="82"/>
      <c r="CI102" s="451">
        <f>SUM(CI103:CI105)</f>
        <v>25247385</v>
      </c>
      <c r="CL102" s="82"/>
      <c r="CN102" s="451">
        <f>SUM(CN103:CN105)</f>
        <v>0</v>
      </c>
      <c r="CQ102" s="82"/>
      <c r="CS102" s="451">
        <f>SUM(CS103:CS105)</f>
        <v>0</v>
      </c>
      <c r="CV102" s="82"/>
      <c r="CX102" s="451">
        <f>SUM(CX103:CX105)</f>
        <v>0</v>
      </c>
      <c r="DA102" s="82"/>
      <c r="DC102" s="451">
        <f>SUM(DC103:DC105)</f>
        <v>0</v>
      </c>
      <c r="DF102" s="82"/>
      <c r="DH102" s="451">
        <f>SUM(DH103:DH105)</f>
        <v>654491</v>
      </c>
      <c r="DK102" s="82"/>
      <c r="DM102" s="451">
        <f>SUM(DM103:DM105)</f>
        <v>6365</v>
      </c>
      <c r="DP102" s="82"/>
      <c r="DR102" s="451">
        <f>SUM(DR103:DR105)</f>
        <v>0</v>
      </c>
      <c r="DU102" s="82"/>
      <c r="DW102" s="451">
        <f>SUM(DW103:DW105)</f>
        <v>0</v>
      </c>
      <c r="DZ102" s="82"/>
      <c r="EB102" s="451">
        <f>SUM(EB103:EB105)</f>
        <v>0</v>
      </c>
      <c r="EE102" s="82"/>
      <c r="EG102" s="451">
        <f>SUM(EG103:EG105)</f>
        <v>24692267</v>
      </c>
      <c r="EJ102" s="82"/>
      <c r="EL102" s="451">
        <f>SUM(EL103:EL105)</f>
        <v>51228957</v>
      </c>
      <c r="EO102" s="244"/>
    </row>
    <row r="103" spans="4:145" x14ac:dyDescent="0.2">
      <c r="D103" s="193" t="s">
        <v>462</v>
      </c>
      <c r="E103" s="82"/>
      <c r="F103" s="112"/>
      <c r="G103" s="246">
        <f>G107</f>
        <v>14417000</v>
      </c>
      <c r="H103" s="297"/>
      <c r="J103" s="82"/>
      <c r="K103" s="112"/>
      <c r="L103" s="457">
        <f>L107</f>
        <v>777665</v>
      </c>
      <c r="M103" s="297"/>
      <c r="O103" s="82"/>
      <c r="P103" s="112"/>
      <c r="Q103" s="457">
        <f>Q107</f>
        <v>4931986</v>
      </c>
      <c r="R103" s="297"/>
      <c r="T103" s="82"/>
      <c r="U103" s="112"/>
      <c r="V103" s="457">
        <f>V107</f>
        <v>8699700</v>
      </c>
      <c r="W103" s="297"/>
      <c r="Y103" s="82"/>
      <c r="Z103" s="112"/>
      <c r="AA103" s="457">
        <f>AA107</f>
        <v>0</v>
      </c>
      <c r="AB103" s="297"/>
      <c r="AD103" s="82"/>
      <c r="AE103" s="112"/>
      <c r="AF103" s="457">
        <f>AF107</f>
        <v>0</v>
      </c>
      <c r="AG103" s="297"/>
      <c r="AI103" s="82"/>
      <c r="AJ103" s="112"/>
      <c r="AK103" s="457">
        <f>AK107</f>
        <v>0</v>
      </c>
      <c r="AL103" s="297"/>
      <c r="AN103" s="82"/>
      <c r="AO103" s="112"/>
      <c r="AP103" s="457">
        <f>AP107</f>
        <v>0</v>
      </c>
      <c r="AQ103" s="297"/>
      <c r="AS103" s="82"/>
      <c r="AT103" s="112"/>
      <c r="AU103" s="246">
        <f>AU107</f>
        <v>6967</v>
      </c>
      <c r="AV103" s="297"/>
      <c r="AX103" s="82"/>
      <c r="AY103" s="112"/>
      <c r="AZ103" s="246">
        <f>AZ107</f>
        <v>0</v>
      </c>
      <c r="BA103" s="297"/>
      <c r="BC103" s="82"/>
      <c r="BD103" s="112"/>
      <c r="BE103" s="246">
        <f>BE107</f>
        <v>0</v>
      </c>
      <c r="BF103" s="297"/>
      <c r="BH103" s="82"/>
      <c r="BI103" s="112"/>
      <c r="BJ103" s="246">
        <f>BJ107</f>
        <v>0</v>
      </c>
      <c r="BK103" s="297"/>
      <c r="BM103" s="82"/>
      <c r="BN103" s="112"/>
      <c r="BO103" s="246">
        <f>BO107</f>
        <v>0</v>
      </c>
      <c r="BP103" s="297"/>
      <c r="BR103" s="82"/>
      <c r="BS103" s="112"/>
      <c r="BT103" s="457">
        <f>BT107</f>
        <v>14416318</v>
      </c>
      <c r="BU103" s="297"/>
      <c r="BW103" s="82"/>
      <c r="BX103" s="112"/>
      <c r="BY103" s="457">
        <f>BY107</f>
        <v>51228957</v>
      </c>
      <c r="BZ103" s="297"/>
      <c r="CB103" s="82"/>
      <c r="CC103" s="112"/>
      <c r="CD103" s="457">
        <f>CD107</f>
        <v>628449</v>
      </c>
      <c r="CE103" s="297"/>
      <c r="CG103" s="82"/>
      <c r="CH103" s="112"/>
      <c r="CI103" s="457">
        <f>CI107</f>
        <v>25247385</v>
      </c>
      <c r="CJ103" s="297"/>
      <c r="CL103" s="82"/>
      <c r="CM103" s="112"/>
      <c r="CN103" s="457">
        <f>CN107</f>
        <v>0</v>
      </c>
      <c r="CO103" s="297"/>
      <c r="CQ103" s="82"/>
      <c r="CR103" s="112"/>
      <c r="CS103" s="457">
        <f>CS107</f>
        <v>0</v>
      </c>
      <c r="CT103" s="297"/>
      <c r="CV103" s="82"/>
      <c r="CW103" s="112"/>
      <c r="CX103" s="457">
        <f>CX107</f>
        <v>0</v>
      </c>
      <c r="CY103" s="297"/>
      <c r="DA103" s="82"/>
      <c r="DB103" s="112"/>
      <c r="DC103" s="457">
        <f>DC107</f>
        <v>0</v>
      </c>
      <c r="DD103" s="297"/>
      <c r="DF103" s="82"/>
      <c r="DG103" s="112"/>
      <c r="DH103" s="457">
        <f>DH107</f>
        <v>654491</v>
      </c>
      <c r="DI103" s="297"/>
      <c r="DK103" s="82"/>
      <c r="DL103" s="112"/>
      <c r="DM103" s="246">
        <f>DM107</f>
        <v>6365</v>
      </c>
      <c r="DN103" s="297"/>
      <c r="DP103" s="82"/>
      <c r="DQ103" s="112"/>
      <c r="DR103" s="246">
        <f>DR107</f>
        <v>0</v>
      </c>
      <c r="DS103" s="297"/>
      <c r="DU103" s="82"/>
      <c r="DV103" s="112"/>
      <c r="DW103" s="246">
        <f>DW107</f>
        <v>0</v>
      </c>
      <c r="DX103" s="297"/>
      <c r="DZ103" s="82"/>
      <c r="EA103" s="112"/>
      <c r="EB103" s="246">
        <f>EB107</f>
        <v>0</v>
      </c>
      <c r="EC103" s="297"/>
      <c r="EE103" s="82"/>
      <c r="EF103" s="112"/>
      <c r="EG103" s="246">
        <f>EG107</f>
        <v>24692267</v>
      </c>
      <c r="EH103" s="297"/>
      <c r="EJ103" s="82"/>
      <c r="EK103" s="112"/>
      <c r="EL103" s="457">
        <f>EL107</f>
        <v>51228957</v>
      </c>
      <c r="EM103" s="297"/>
      <c r="EO103" s="244"/>
    </row>
    <row r="104" spans="4:145" x14ac:dyDescent="0.2">
      <c r="D104" s="193" t="s">
        <v>463</v>
      </c>
      <c r="E104" s="82"/>
      <c r="F104" s="82"/>
      <c r="G104" s="477">
        <f>G155</f>
        <v>0</v>
      </c>
      <c r="H104" s="375"/>
      <c r="J104" s="82"/>
      <c r="K104" s="82"/>
      <c r="L104" s="12">
        <f>L155</f>
        <v>0</v>
      </c>
      <c r="M104" s="375"/>
      <c r="O104" s="82"/>
      <c r="P104" s="82"/>
      <c r="Q104" s="12">
        <f>Q155</f>
        <v>0</v>
      </c>
      <c r="R104" s="375"/>
      <c r="T104" s="82"/>
      <c r="U104" s="82"/>
      <c r="V104" s="12">
        <f>V155</f>
        <v>0</v>
      </c>
      <c r="W104" s="375"/>
      <c r="Y104" s="82"/>
      <c r="Z104" s="82"/>
      <c r="AA104" s="12">
        <f>AA155</f>
        <v>0</v>
      </c>
      <c r="AB104" s="375"/>
      <c r="AD104" s="82"/>
      <c r="AE104" s="82"/>
      <c r="AF104" s="12">
        <f>AF155</f>
        <v>0</v>
      </c>
      <c r="AG104" s="375"/>
      <c r="AI104" s="82"/>
      <c r="AJ104" s="82"/>
      <c r="AK104" s="12">
        <f>AK155</f>
        <v>0</v>
      </c>
      <c r="AL104" s="375"/>
      <c r="AN104" s="82"/>
      <c r="AO104" s="82"/>
      <c r="AP104" s="12">
        <f>AP155</f>
        <v>0</v>
      </c>
      <c r="AQ104" s="375"/>
      <c r="AS104" s="82"/>
      <c r="AT104" s="82"/>
      <c r="AU104" s="477">
        <f>AU155</f>
        <v>0</v>
      </c>
      <c r="AV104" s="375"/>
      <c r="AX104" s="82"/>
      <c r="AY104" s="82"/>
      <c r="AZ104" s="477">
        <f>AZ155</f>
        <v>0</v>
      </c>
      <c r="BA104" s="375"/>
      <c r="BC104" s="82"/>
      <c r="BD104" s="82"/>
      <c r="BE104" s="477">
        <f>BE155</f>
        <v>0</v>
      </c>
      <c r="BF104" s="375"/>
      <c r="BH104" s="82"/>
      <c r="BI104" s="82"/>
      <c r="BJ104" s="477">
        <f>BJ155</f>
        <v>0</v>
      </c>
      <c r="BK104" s="375"/>
      <c r="BM104" s="82"/>
      <c r="BN104" s="82"/>
      <c r="BO104" s="477">
        <f>BO155</f>
        <v>0</v>
      </c>
      <c r="BP104" s="375"/>
      <c r="BR104" s="82"/>
      <c r="BS104" s="82"/>
      <c r="BT104" s="12">
        <f>BT155</f>
        <v>0</v>
      </c>
      <c r="BU104" s="375"/>
      <c r="BW104" s="82"/>
      <c r="BX104" s="82"/>
      <c r="BY104" s="12">
        <v>0</v>
      </c>
      <c r="BZ104" s="375"/>
      <c r="CB104" s="82"/>
      <c r="CC104" s="82"/>
      <c r="CD104" s="12">
        <f>CD155</f>
        <v>0</v>
      </c>
      <c r="CE104" s="375"/>
      <c r="CG104" s="82"/>
      <c r="CH104" s="82"/>
      <c r="CI104" s="12">
        <f>CI155</f>
        <v>0</v>
      </c>
      <c r="CJ104" s="375"/>
      <c r="CL104" s="82"/>
      <c r="CM104" s="82"/>
      <c r="CN104" s="12">
        <f>CN155</f>
        <v>0</v>
      </c>
      <c r="CO104" s="375"/>
      <c r="CQ104" s="82"/>
      <c r="CR104" s="82"/>
      <c r="CS104" s="12">
        <f>CS155</f>
        <v>0</v>
      </c>
      <c r="CT104" s="375"/>
      <c r="CV104" s="82"/>
      <c r="CW104" s="82"/>
      <c r="CX104" s="12">
        <f>CX155</f>
        <v>0</v>
      </c>
      <c r="CY104" s="375"/>
      <c r="DA104" s="82"/>
      <c r="DB104" s="82"/>
      <c r="DC104" s="12">
        <f>DC155</f>
        <v>0</v>
      </c>
      <c r="DD104" s="375"/>
      <c r="DF104" s="82"/>
      <c r="DG104" s="82"/>
      <c r="DH104" s="12">
        <f>DH155</f>
        <v>0</v>
      </c>
      <c r="DI104" s="375"/>
      <c r="DK104" s="82"/>
      <c r="DL104" s="82"/>
      <c r="DM104" s="477">
        <f>DM155</f>
        <v>0</v>
      </c>
      <c r="DN104" s="375"/>
      <c r="DP104" s="82"/>
      <c r="DQ104" s="82"/>
      <c r="DR104" s="477">
        <f>DR155</f>
        <v>0</v>
      </c>
      <c r="DS104" s="375"/>
      <c r="DU104" s="82"/>
      <c r="DV104" s="82"/>
      <c r="DW104" s="477">
        <f>DW155</f>
        <v>0</v>
      </c>
      <c r="DX104" s="375"/>
      <c r="DZ104" s="82"/>
      <c r="EA104" s="82"/>
      <c r="EB104" s="477">
        <f>EB155</f>
        <v>0</v>
      </c>
      <c r="EC104" s="375"/>
      <c r="EE104" s="82"/>
      <c r="EF104" s="82"/>
      <c r="EG104" s="477">
        <f>EG155</f>
        <v>0</v>
      </c>
      <c r="EH104" s="375"/>
      <c r="EJ104" s="82"/>
      <c r="EK104" s="82"/>
      <c r="EL104" s="12">
        <f>EL155</f>
        <v>0</v>
      </c>
      <c r="EM104" s="375"/>
      <c r="EO104" s="244"/>
    </row>
    <row r="105" spans="4:145" x14ac:dyDescent="0.2">
      <c r="D105" s="193" t="s">
        <v>464</v>
      </c>
      <c r="E105" s="82"/>
      <c r="F105" s="276"/>
      <c r="G105" s="175">
        <f>G167</f>
        <v>0</v>
      </c>
      <c r="H105" s="158"/>
      <c r="J105" s="82"/>
      <c r="K105" s="276"/>
      <c r="L105" s="438">
        <f>L167</f>
        <v>0</v>
      </c>
      <c r="M105" s="158"/>
      <c r="O105" s="82"/>
      <c r="P105" s="276"/>
      <c r="Q105" s="438">
        <f>Q167</f>
        <v>0</v>
      </c>
      <c r="R105" s="158"/>
      <c r="T105" s="82"/>
      <c r="U105" s="276"/>
      <c r="V105" s="438">
        <f>V167</f>
        <v>0</v>
      </c>
      <c r="W105" s="158"/>
      <c r="Y105" s="82"/>
      <c r="Z105" s="276"/>
      <c r="AA105" s="438">
        <f>AA167</f>
        <v>0</v>
      </c>
      <c r="AB105" s="158"/>
      <c r="AD105" s="82"/>
      <c r="AE105" s="276"/>
      <c r="AF105" s="438">
        <f>AF167</f>
        <v>0</v>
      </c>
      <c r="AG105" s="158"/>
      <c r="AI105" s="82"/>
      <c r="AJ105" s="276"/>
      <c r="AK105" s="438">
        <f>AK167</f>
        <v>0</v>
      </c>
      <c r="AL105" s="158"/>
      <c r="AN105" s="82"/>
      <c r="AO105" s="276"/>
      <c r="AP105" s="438">
        <f>AP167</f>
        <v>0</v>
      </c>
      <c r="AQ105" s="158"/>
      <c r="AS105" s="82"/>
      <c r="AT105" s="276"/>
      <c r="AU105" s="175">
        <f>AU167</f>
        <v>0</v>
      </c>
      <c r="AV105" s="158"/>
      <c r="AX105" s="82"/>
      <c r="AY105" s="276"/>
      <c r="AZ105" s="175">
        <f>AZ167</f>
        <v>0</v>
      </c>
      <c r="BA105" s="158"/>
      <c r="BC105" s="82"/>
      <c r="BD105" s="276"/>
      <c r="BE105" s="175">
        <f>BE167</f>
        <v>0</v>
      </c>
      <c r="BF105" s="158"/>
      <c r="BH105" s="82"/>
      <c r="BI105" s="276"/>
      <c r="BJ105" s="175">
        <f>BJ167</f>
        <v>0</v>
      </c>
      <c r="BK105" s="158"/>
      <c r="BM105" s="82"/>
      <c r="BN105" s="276"/>
      <c r="BO105" s="175">
        <f>BO167</f>
        <v>0</v>
      </c>
      <c r="BP105" s="158"/>
      <c r="BR105" s="82"/>
      <c r="BS105" s="276"/>
      <c r="BT105" s="438">
        <f>BT167</f>
        <v>0</v>
      </c>
      <c r="BU105" s="158"/>
      <c r="BW105" s="82"/>
      <c r="BX105" s="276"/>
      <c r="BY105" s="438">
        <v>0</v>
      </c>
      <c r="BZ105" s="158"/>
      <c r="CB105" s="82"/>
      <c r="CC105" s="276"/>
      <c r="CD105" s="438">
        <f>CD167</f>
        <v>0</v>
      </c>
      <c r="CE105" s="158"/>
      <c r="CG105" s="82"/>
      <c r="CH105" s="276"/>
      <c r="CI105" s="438">
        <f>CI167</f>
        <v>0</v>
      </c>
      <c r="CJ105" s="158"/>
      <c r="CL105" s="82"/>
      <c r="CM105" s="276"/>
      <c r="CN105" s="438">
        <f>CN167</f>
        <v>0</v>
      </c>
      <c r="CO105" s="158"/>
      <c r="CQ105" s="82"/>
      <c r="CR105" s="276"/>
      <c r="CS105" s="438">
        <f>CS167</f>
        <v>0</v>
      </c>
      <c r="CT105" s="158"/>
      <c r="CV105" s="82"/>
      <c r="CW105" s="276"/>
      <c r="CX105" s="438">
        <f>CX167</f>
        <v>0</v>
      </c>
      <c r="CY105" s="158"/>
      <c r="DA105" s="82"/>
      <c r="DB105" s="276"/>
      <c r="DC105" s="438">
        <f>DC167</f>
        <v>0</v>
      </c>
      <c r="DD105" s="158"/>
      <c r="DF105" s="82"/>
      <c r="DG105" s="276"/>
      <c r="DH105" s="438">
        <f>DH167</f>
        <v>0</v>
      </c>
      <c r="DI105" s="158"/>
      <c r="DK105" s="82"/>
      <c r="DL105" s="276"/>
      <c r="DM105" s="175">
        <f>DM167</f>
        <v>0</v>
      </c>
      <c r="DN105" s="158"/>
      <c r="DP105" s="82"/>
      <c r="DQ105" s="276"/>
      <c r="DR105" s="175">
        <f>DR167</f>
        <v>0</v>
      </c>
      <c r="DS105" s="158"/>
      <c r="DU105" s="82"/>
      <c r="DV105" s="276"/>
      <c r="DW105" s="175">
        <f>DW167</f>
        <v>0</v>
      </c>
      <c r="DX105" s="158"/>
      <c r="DZ105" s="82"/>
      <c r="EA105" s="276"/>
      <c r="EB105" s="175">
        <f>EB167</f>
        <v>0</v>
      </c>
      <c r="EC105" s="158"/>
      <c r="EE105" s="82"/>
      <c r="EF105" s="276"/>
      <c r="EG105" s="175">
        <f>EG167</f>
        <v>0</v>
      </c>
      <c r="EH105" s="158"/>
      <c r="EJ105" s="82"/>
      <c r="EK105" s="276"/>
      <c r="EL105" s="438">
        <f>EL167</f>
        <v>0</v>
      </c>
      <c r="EM105" s="158"/>
      <c r="EO105" s="244"/>
    </row>
    <row r="106" spans="4:145" x14ac:dyDescent="0.2">
      <c r="D106" s="244"/>
      <c r="E106" s="82"/>
      <c r="G106" s="477"/>
      <c r="J106" s="82"/>
      <c r="O106" s="82"/>
      <c r="T106" s="82"/>
      <c r="Y106" s="82"/>
      <c r="AD106" s="82"/>
      <c r="AI106" s="82"/>
      <c r="AN106" s="82"/>
      <c r="AS106" s="82"/>
      <c r="AX106" s="82"/>
      <c r="BC106" s="82"/>
      <c r="BH106" s="82"/>
      <c r="BM106" s="82"/>
      <c r="BR106" s="82"/>
      <c r="BW106" s="82"/>
      <c r="CB106" s="82"/>
      <c r="CG106" s="82"/>
      <c r="CL106" s="82"/>
      <c r="CQ106" s="82"/>
      <c r="CV106" s="82"/>
      <c r="DA106" s="82"/>
      <c r="DF106" s="82"/>
      <c r="DK106" s="82"/>
      <c r="DP106" s="82"/>
      <c r="DU106" s="82"/>
      <c r="DZ106" s="82"/>
      <c r="EE106" s="82"/>
      <c r="EJ106" s="82"/>
      <c r="EO106" s="244"/>
    </row>
    <row r="107" spans="4:145" x14ac:dyDescent="0.2">
      <c r="D107" s="244" t="s">
        <v>465</v>
      </c>
      <c r="E107" s="82"/>
      <c r="G107" s="19">
        <f>SUM(G108:G109)</f>
        <v>14417000</v>
      </c>
      <c r="H107" s="19"/>
      <c r="I107" s="19"/>
      <c r="J107" s="274"/>
      <c r="K107" s="19"/>
      <c r="L107" s="19">
        <f>SUM(L108:L109)</f>
        <v>777665</v>
      </c>
      <c r="M107" s="19"/>
      <c r="N107" s="19"/>
      <c r="O107" s="274"/>
      <c r="P107" s="19"/>
      <c r="Q107" s="19">
        <f>SUM(Q108:Q109)</f>
        <v>4931986</v>
      </c>
      <c r="R107" s="19"/>
      <c r="S107" s="19"/>
      <c r="T107" s="274"/>
      <c r="U107" s="19"/>
      <c r="V107" s="19">
        <f>SUM(V108:V109)</f>
        <v>8699700</v>
      </c>
      <c r="W107" s="19"/>
      <c r="X107" s="19"/>
      <c r="Y107" s="274"/>
      <c r="Z107" s="19"/>
      <c r="AA107" s="19">
        <f>SUM(AA108:AA109)</f>
        <v>0</v>
      </c>
      <c r="AB107" s="19"/>
      <c r="AC107" s="19"/>
      <c r="AD107" s="274"/>
      <c r="AE107" s="19"/>
      <c r="AF107" s="19">
        <f>SUM(AF108:AF109)</f>
        <v>0</v>
      </c>
      <c r="AG107" s="19"/>
      <c r="AH107" s="19"/>
      <c r="AI107" s="274"/>
      <c r="AJ107" s="19"/>
      <c r="AK107" s="19">
        <f>SUM(AK108:AK109)</f>
        <v>0</v>
      </c>
      <c r="AL107" s="19"/>
      <c r="AM107" s="19"/>
      <c r="AN107" s="274"/>
      <c r="AO107" s="19"/>
      <c r="AP107" s="19">
        <f>SUM(AP108:AP109)</f>
        <v>0</v>
      </c>
      <c r="AQ107" s="19"/>
      <c r="AR107" s="19"/>
      <c r="AS107" s="274"/>
      <c r="AT107" s="19"/>
      <c r="AU107" s="19">
        <f>SUM(AU108:AU109)</f>
        <v>6967</v>
      </c>
      <c r="AV107" s="19"/>
      <c r="AW107" s="19"/>
      <c r="AX107" s="274"/>
      <c r="AY107" s="19"/>
      <c r="AZ107" s="19">
        <f>SUM(AZ108:AZ109)</f>
        <v>0</v>
      </c>
      <c r="BA107" s="19"/>
      <c r="BB107" s="19"/>
      <c r="BC107" s="274"/>
      <c r="BD107" s="19"/>
      <c r="BE107" s="19">
        <f>SUM(BE108:BE109)</f>
        <v>0</v>
      </c>
      <c r="BF107" s="19"/>
      <c r="BG107" s="19"/>
      <c r="BH107" s="274"/>
      <c r="BI107" s="19"/>
      <c r="BJ107" s="19">
        <f>SUM(BJ108:BJ109)</f>
        <v>0</v>
      </c>
      <c r="BK107" s="19"/>
      <c r="BL107" s="19"/>
      <c r="BM107" s="274"/>
      <c r="BN107" s="19"/>
      <c r="BO107" s="19">
        <f>SUM(BO108:BO109)</f>
        <v>0</v>
      </c>
      <c r="BP107" s="19"/>
      <c r="BQ107" s="19"/>
      <c r="BR107" s="274"/>
      <c r="BS107" s="19"/>
      <c r="BT107" s="19">
        <f>SUM(BT108:BT109)</f>
        <v>14416318</v>
      </c>
      <c r="BU107" s="19"/>
      <c r="BV107" s="19"/>
      <c r="BW107" s="274"/>
      <c r="BX107" s="19"/>
      <c r="BY107" s="19">
        <f>SUM(BY108:BY109)</f>
        <v>51228957</v>
      </c>
      <c r="BZ107" s="19"/>
      <c r="CA107" s="19"/>
      <c r="CB107" s="274"/>
      <c r="CC107" s="19"/>
      <c r="CD107" s="19">
        <f>SUM(CD108:CD109)</f>
        <v>628449</v>
      </c>
      <c r="CE107" s="19"/>
      <c r="CF107" s="19"/>
      <c r="CG107" s="274"/>
      <c r="CH107" s="19"/>
      <c r="CI107" s="19">
        <f>SUM(CI108:CI109)</f>
        <v>25247385</v>
      </c>
      <c r="CJ107" s="19"/>
      <c r="CK107" s="19"/>
      <c r="CL107" s="274"/>
      <c r="CM107" s="19"/>
      <c r="CN107" s="19">
        <f>SUM(CN108:CN109)</f>
        <v>0</v>
      </c>
      <c r="CO107" s="19"/>
      <c r="CP107" s="19"/>
      <c r="CQ107" s="274"/>
      <c r="CR107" s="19"/>
      <c r="CS107" s="19">
        <f>SUM(CS108:CS109)</f>
        <v>0</v>
      </c>
      <c r="CT107" s="19"/>
      <c r="CU107" s="19"/>
      <c r="CV107" s="274"/>
      <c r="CW107" s="19"/>
      <c r="CX107" s="19">
        <f>SUM(CX108:CX109)</f>
        <v>0</v>
      </c>
      <c r="CY107" s="19"/>
      <c r="CZ107" s="19"/>
      <c r="DA107" s="274"/>
      <c r="DB107" s="19"/>
      <c r="DC107" s="19">
        <f>SUM(DC108:DC109)</f>
        <v>0</v>
      </c>
      <c r="DD107" s="19"/>
      <c r="DE107" s="19"/>
      <c r="DF107" s="274"/>
      <c r="DG107" s="19"/>
      <c r="DH107" s="19">
        <f>SUM(DH108:DH109)</f>
        <v>654491</v>
      </c>
      <c r="DI107" s="19"/>
      <c r="DJ107" s="19"/>
      <c r="DK107" s="274"/>
      <c r="DL107" s="19"/>
      <c r="DM107" s="19">
        <f>SUM(DM108:DM109)</f>
        <v>6365</v>
      </c>
      <c r="DN107" s="19"/>
      <c r="DO107" s="19"/>
      <c r="DP107" s="274"/>
      <c r="DQ107" s="19"/>
      <c r="DR107" s="19">
        <f>SUM(DR108:DR109)</f>
        <v>0</v>
      </c>
      <c r="DS107" s="19"/>
      <c r="DT107" s="19"/>
      <c r="DU107" s="274"/>
      <c r="DV107" s="19"/>
      <c r="DW107" s="19">
        <f>SUM(DW108:DW109)</f>
        <v>0</v>
      </c>
      <c r="DX107" s="19"/>
      <c r="DY107" s="19"/>
      <c r="DZ107" s="274"/>
      <c r="EA107" s="19"/>
      <c r="EB107" s="19">
        <f>SUM(EB108:EB109)</f>
        <v>0</v>
      </c>
      <c r="EC107" s="19"/>
      <c r="ED107" s="19"/>
      <c r="EE107" s="274"/>
      <c r="EF107" s="19"/>
      <c r="EG107" s="19">
        <f>SUM(EG108:EG109)</f>
        <v>24692267</v>
      </c>
      <c r="EH107" s="19"/>
      <c r="EI107" s="19"/>
      <c r="EJ107" s="274"/>
      <c r="EK107" s="19"/>
      <c r="EL107" s="19">
        <f>SUM(EL108:EL109)</f>
        <v>51228957</v>
      </c>
      <c r="EM107" s="19"/>
      <c r="EN107" s="19"/>
      <c r="EO107" s="244"/>
    </row>
    <row r="108" spans="4:145" x14ac:dyDescent="0.2">
      <c r="D108" s="244" t="s">
        <v>466</v>
      </c>
      <c r="E108" s="82"/>
      <c r="F108" s="112"/>
      <c r="G108" s="374">
        <f>+G112+G120+G124+G128+G132+G136+G116+G140+G148+G152+G144</f>
        <v>7961000</v>
      </c>
      <c r="H108" s="475"/>
      <c r="I108" s="19"/>
      <c r="J108" s="274"/>
      <c r="K108" s="173"/>
      <c r="L108" s="374">
        <f>+L112+L120+L124+L128+L132+L136+L116+L140+L148+L152+L144</f>
        <v>391647</v>
      </c>
      <c r="M108" s="475"/>
      <c r="N108" s="19"/>
      <c r="O108" s="274"/>
      <c r="P108" s="173"/>
      <c r="Q108" s="374">
        <f>+Q112+Q120+Q124+Q128+Q132+Q136+Q116+Q140+Q148+Q152+Q144</f>
        <v>1962723</v>
      </c>
      <c r="R108" s="475"/>
      <c r="S108" s="19"/>
      <c r="T108" s="274"/>
      <c r="U108" s="173"/>
      <c r="V108" s="374">
        <f>+V112+V120+V124+V128+V132+V136+V116+V140+V148+V152+V144</f>
        <v>5604275</v>
      </c>
      <c r="W108" s="475"/>
      <c r="X108" s="19"/>
      <c r="Y108" s="274"/>
      <c r="Z108" s="173"/>
      <c r="AA108" s="374">
        <f>+AA112+AA120+AA124+AA128+AA132+AA136+AA116+AA140+AA148+AA152+AA144</f>
        <v>0</v>
      </c>
      <c r="AB108" s="475"/>
      <c r="AC108" s="19"/>
      <c r="AD108" s="274"/>
      <c r="AE108" s="173"/>
      <c r="AF108" s="374">
        <f>+AF112+AF120+AF124+AF128+AF132+AF136+AF116+AF140+AF148+AF152+AF144</f>
        <v>0</v>
      </c>
      <c r="AG108" s="475"/>
      <c r="AH108" s="19"/>
      <c r="AI108" s="274"/>
      <c r="AJ108" s="173"/>
      <c r="AK108" s="374">
        <f>+AK112+AK120+AK124+AK128+AK132+AK136+AK116+AK140+AK148+AK152+AK144</f>
        <v>0</v>
      </c>
      <c r="AL108" s="475"/>
      <c r="AM108" s="19"/>
      <c r="AN108" s="274"/>
      <c r="AO108" s="173"/>
      <c r="AP108" s="374">
        <f>+AP112+AP120+AP124+AP128+AP132+AP136+AP116+AP140+AP148+AP152+AP144</f>
        <v>0</v>
      </c>
      <c r="AQ108" s="475"/>
      <c r="AR108" s="19"/>
      <c r="AS108" s="274"/>
      <c r="AT108" s="173"/>
      <c r="AU108" s="374">
        <f>+AU112+AU120+AU124+AU128+AU132+AU136+AU116+AU140+AU148+AU152+AU144</f>
        <v>1940</v>
      </c>
      <c r="AV108" s="475"/>
      <c r="AW108" s="19"/>
      <c r="AX108" s="274"/>
      <c r="AY108" s="173"/>
      <c r="AZ108" s="374">
        <f>+AZ112+AZ120+AZ124+AZ128+AZ132+AZ136+AZ116+AZ140+AZ148+AZ152+AZ144</f>
        <v>0</v>
      </c>
      <c r="BA108" s="475"/>
      <c r="BB108" s="19"/>
      <c r="BC108" s="274"/>
      <c r="BD108" s="173"/>
      <c r="BE108" s="374">
        <f>+BE112+BE120+BE124+BE128+BE132+BE136+BE116+BE140+BE148+BE152+BE144</f>
        <v>0</v>
      </c>
      <c r="BF108" s="475"/>
      <c r="BG108" s="19"/>
      <c r="BH108" s="274"/>
      <c r="BI108" s="173"/>
      <c r="BJ108" s="374">
        <f>+BJ112+BJ120+BJ124+BJ128+BJ132+BJ136+BJ116+BJ140+BJ148+BJ152+BJ144</f>
        <v>0</v>
      </c>
      <c r="BK108" s="475"/>
      <c r="BL108" s="19"/>
      <c r="BM108" s="274"/>
      <c r="BN108" s="173"/>
      <c r="BO108" s="374">
        <v>0</v>
      </c>
      <c r="BP108" s="475"/>
      <c r="BQ108" s="19"/>
      <c r="BR108" s="274"/>
      <c r="BS108" s="173"/>
      <c r="BT108" s="374">
        <f>+BT112+BT120+BT124+BT128+BT132+BT136+BT116+BT140+BT148+BT152+BT144</f>
        <v>7960585</v>
      </c>
      <c r="BU108" s="475"/>
      <c r="BV108" s="19"/>
      <c r="BW108" s="274"/>
      <c r="BX108" s="173"/>
      <c r="BY108" s="374">
        <v>26952291</v>
      </c>
      <c r="BZ108" s="475"/>
      <c r="CA108" s="19"/>
      <c r="CB108" s="274"/>
      <c r="CC108" s="173"/>
      <c r="CD108" s="374">
        <f>+CD112+CD120+CD124+CD128+CD132+CD136+CD116+CD140+CD148+CD152+CD144</f>
        <v>391647</v>
      </c>
      <c r="CE108" s="475"/>
      <c r="CF108" s="19"/>
      <c r="CG108" s="274"/>
      <c r="CH108" s="173"/>
      <c r="CI108" s="374">
        <f>+CI112+CI120+CI124+CI128+CI132+CI136+CI116+CI140+CI148+CI152+CI144</f>
        <v>14120864</v>
      </c>
      <c r="CJ108" s="475"/>
      <c r="CK108" s="19"/>
      <c r="CL108" s="274"/>
      <c r="CM108" s="173"/>
      <c r="CN108" s="374">
        <f>+CN112+CN120+CN124+CN128+CN132+CN136+CN116+CN140+CN148+CN152+CN144</f>
        <v>0</v>
      </c>
      <c r="CO108" s="475"/>
      <c r="CP108" s="19"/>
      <c r="CQ108" s="274"/>
      <c r="CR108" s="173"/>
      <c r="CS108" s="374">
        <f>+CS112+CS120+CS124+CS128+CS132+CS136+CS116+CS140+CS148+CS152+CS144</f>
        <v>0</v>
      </c>
      <c r="CT108" s="475"/>
      <c r="CU108" s="19"/>
      <c r="CV108" s="274"/>
      <c r="CW108" s="173"/>
      <c r="CX108" s="374">
        <f>+CX112+CX120+CX124+CX128+CX132+CX136+CX116+CX140+CX148+CX152+CX144</f>
        <v>0</v>
      </c>
      <c r="CY108" s="475"/>
      <c r="CZ108" s="19"/>
      <c r="DA108" s="274"/>
      <c r="DB108" s="173"/>
      <c r="DC108" s="374">
        <f>+DC112+DC120+DC124+DC128+DC132+DC136+DC116+DC140+DC148+DC152+DC144</f>
        <v>0</v>
      </c>
      <c r="DD108" s="475"/>
      <c r="DE108" s="19"/>
      <c r="DF108" s="274"/>
      <c r="DG108" s="173"/>
      <c r="DH108" s="374">
        <f>+DH112+DH120+DH124+DH128+DH132+DH136+DH116+DH140+DH148+DH152+DH144</f>
        <v>391647</v>
      </c>
      <c r="DI108" s="475"/>
      <c r="DJ108" s="19"/>
      <c r="DK108" s="274"/>
      <c r="DL108" s="173"/>
      <c r="DM108" s="374">
        <f>+DM112+DM120+DM124+DM128+DM132+DM136+DM116+DM140+DM148+DM152+DM144</f>
        <v>1940</v>
      </c>
      <c r="DN108" s="475"/>
      <c r="DO108" s="19"/>
      <c r="DP108" s="274"/>
      <c r="DQ108" s="173"/>
      <c r="DR108" s="374">
        <f>+DR112+DR120+DR124+DR128+DR132+DR136+DR116+DR140+DR148+DR152+DR144</f>
        <v>0</v>
      </c>
      <c r="DS108" s="475"/>
      <c r="DT108" s="19"/>
      <c r="DU108" s="274"/>
      <c r="DV108" s="173"/>
      <c r="DW108" s="374">
        <f>+DW112+DW120+DW124+DW128+DW132+DW136+DW116+DW140+DW148+DW152+DW144</f>
        <v>0</v>
      </c>
      <c r="DX108" s="475"/>
      <c r="DY108" s="19"/>
      <c r="DZ108" s="274"/>
      <c r="EA108" s="173"/>
      <c r="EB108" s="374">
        <f>+EB112+EB120+EB124+EB128+EB132+EB136+EB116+EB140+EB148+EB152+EB144</f>
        <v>0</v>
      </c>
      <c r="EC108" s="475"/>
      <c r="ED108" s="19"/>
      <c r="EE108" s="274"/>
      <c r="EF108" s="173"/>
      <c r="EG108" s="374">
        <f>+EG112+EG120+EG124+EG128+EG132+EG136+EG116+EG140+EG148+EG152+EG144</f>
        <v>12046193</v>
      </c>
      <c r="EH108" s="475"/>
      <c r="EI108" s="19"/>
      <c r="EJ108" s="274"/>
      <c r="EK108" s="173"/>
      <c r="EL108" s="374">
        <f>+EL112+EL120+EL124+EL128+EL132+EL136+EL116+EL140+EL148+EL152+EL144</f>
        <v>26952291</v>
      </c>
      <c r="EM108" s="475"/>
      <c r="EN108" s="19"/>
      <c r="EO108" s="244"/>
    </row>
    <row r="109" spans="4:145" x14ac:dyDescent="0.2">
      <c r="D109" s="244" t="s">
        <v>467</v>
      </c>
      <c r="E109" s="82"/>
      <c r="F109" s="276"/>
      <c r="G109" s="37">
        <f>+G113+G121+G125+G129+G133+G137+G117+G141+G149+G153+G145</f>
        <v>6456000</v>
      </c>
      <c r="H109" s="36"/>
      <c r="I109" s="19"/>
      <c r="J109" s="274"/>
      <c r="K109" s="231"/>
      <c r="L109" s="37">
        <f>+L113+L121+L125+L129+L133+L137+L117+L141+L149+L153+L145</f>
        <v>386018</v>
      </c>
      <c r="M109" s="36"/>
      <c r="N109" s="19"/>
      <c r="O109" s="274"/>
      <c r="P109" s="231"/>
      <c r="Q109" s="37">
        <f>+Q113+Q121+Q125+Q129+Q133+Q137+Q117+Q141+Q149+Q153+Q145</f>
        <v>2969263</v>
      </c>
      <c r="R109" s="36"/>
      <c r="S109" s="19"/>
      <c r="T109" s="274"/>
      <c r="U109" s="231"/>
      <c r="V109" s="37">
        <f>+V113+V121+V125+V129+V133+V137+V117+V141+V149+V153+V145</f>
        <v>3095425</v>
      </c>
      <c r="W109" s="36"/>
      <c r="X109" s="19"/>
      <c r="Y109" s="274"/>
      <c r="Z109" s="231"/>
      <c r="AA109" s="37">
        <f>+AA113+AA121+AA125+AA129+AA133+AA137+AA117+AA141+AA149+AA153+AA145</f>
        <v>0</v>
      </c>
      <c r="AB109" s="36"/>
      <c r="AC109" s="19"/>
      <c r="AD109" s="274"/>
      <c r="AE109" s="231"/>
      <c r="AF109" s="37">
        <f>+AF113+AF121+AF125+AF129+AF133+AF137+AF117+AF141+AF149+AF153+AF145</f>
        <v>0</v>
      </c>
      <c r="AG109" s="36"/>
      <c r="AH109" s="19"/>
      <c r="AI109" s="274"/>
      <c r="AJ109" s="231"/>
      <c r="AK109" s="37">
        <f>+AK113+AK121+AK125+AK129+AK133+AK137+AK117+AK141+AK149+AK153+AK145</f>
        <v>0</v>
      </c>
      <c r="AL109" s="36"/>
      <c r="AM109" s="19"/>
      <c r="AN109" s="274"/>
      <c r="AO109" s="231"/>
      <c r="AP109" s="37">
        <f>+AP113+AP121+AP125+AP129+AP133+AP137+AP117+AP141+AP149+AP153+AP145</f>
        <v>0</v>
      </c>
      <c r="AQ109" s="36"/>
      <c r="AR109" s="19"/>
      <c r="AS109" s="274"/>
      <c r="AT109" s="231"/>
      <c r="AU109" s="37">
        <f>+AU113+AU121+AU125+AU129+AU133+AU137+AU117+AU141+AU149+AU153+AU145</f>
        <v>5027</v>
      </c>
      <c r="AV109" s="36"/>
      <c r="AW109" s="19"/>
      <c r="AX109" s="274"/>
      <c r="AY109" s="231"/>
      <c r="AZ109" s="37">
        <f>+AZ113+AZ121+AZ125+AZ129+AZ133+AZ137+AZ117+AZ141+AZ149+AZ153+AZ145</f>
        <v>0</v>
      </c>
      <c r="BA109" s="36"/>
      <c r="BB109" s="19"/>
      <c r="BC109" s="274"/>
      <c r="BD109" s="231"/>
      <c r="BE109" s="37">
        <f>+BE113+BE121+BE125+BE129+BE133+BE137+BE117+BE141+BE149+BE153+BE145</f>
        <v>0</v>
      </c>
      <c r="BF109" s="36"/>
      <c r="BG109" s="19"/>
      <c r="BH109" s="274"/>
      <c r="BI109" s="231"/>
      <c r="BJ109" s="37">
        <f>+BJ113+BJ121+BJ125+BJ129+BJ133+BJ137+BJ117+BJ141+BJ149+BJ153+BJ145</f>
        <v>0</v>
      </c>
      <c r="BK109" s="36"/>
      <c r="BL109" s="19"/>
      <c r="BM109" s="274"/>
      <c r="BN109" s="231"/>
      <c r="BO109" s="37">
        <v>0</v>
      </c>
      <c r="BP109" s="36"/>
      <c r="BQ109" s="19"/>
      <c r="BR109" s="274"/>
      <c r="BS109" s="231"/>
      <c r="BT109" s="37">
        <f>+BT113+BT121+BT125+BT129+BT133+BT137+BT117+BT141+BT149+BT153+BT145</f>
        <v>6455733</v>
      </c>
      <c r="BU109" s="36"/>
      <c r="BV109" s="19"/>
      <c r="BW109" s="274"/>
      <c r="BX109" s="231"/>
      <c r="BY109" s="37">
        <v>24276666</v>
      </c>
      <c r="BZ109" s="36"/>
      <c r="CA109" s="19"/>
      <c r="CB109" s="274"/>
      <c r="CC109" s="231"/>
      <c r="CD109" s="37">
        <f>+CD113+CD121+CD125+CD129+CD133+CD137+CD117+CD141+CD149+CD153+CD145</f>
        <v>236802</v>
      </c>
      <c r="CE109" s="36"/>
      <c r="CF109" s="19"/>
      <c r="CG109" s="274"/>
      <c r="CH109" s="231"/>
      <c r="CI109" s="37">
        <f>+CI113+CI121+CI125+CI129+CI133+CI137+CI117+CI141+CI149+CI153+CI145</f>
        <v>11126521</v>
      </c>
      <c r="CJ109" s="36"/>
      <c r="CK109" s="19"/>
      <c r="CL109" s="274"/>
      <c r="CM109" s="231"/>
      <c r="CN109" s="37">
        <f>+CN113+CN121+CN125+CN129+CN133+CN137+CN117+CN141+CN149+CN153+CN145</f>
        <v>0</v>
      </c>
      <c r="CO109" s="36"/>
      <c r="CP109" s="19"/>
      <c r="CQ109" s="274"/>
      <c r="CR109" s="231"/>
      <c r="CS109" s="37">
        <f>+CS113+CS121+CS125+CS129+CS133+CS137+CS117+CS141+CS149+CS153+CS145</f>
        <v>0</v>
      </c>
      <c r="CT109" s="36"/>
      <c r="CU109" s="19"/>
      <c r="CV109" s="274"/>
      <c r="CW109" s="231"/>
      <c r="CX109" s="37">
        <f>+CX113+CX121+CX125+CX129+CX133+CX137+CX117+CX141+CX149+CX153+CX145</f>
        <v>0</v>
      </c>
      <c r="CY109" s="36"/>
      <c r="CZ109" s="19"/>
      <c r="DA109" s="274"/>
      <c r="DB109" s="231"/>
      <c r="DC109" s="37">
        <f>+DC113+DC121+DC125+DC129+DC133+DC137+DC117+DC141+DC149+DC153+DC145</f>
        <v>0</v>
      </c>
      <c r="DD109" s="36"/>
      <c r="DE109" s="19"/>
      <c r="DF109" s="274"/>
      <c r="DG109" s="231"/>
      <c r="DH109" s="37">
        <f>+DH113+DH121+DH125+DH129+DH133+DH137+DH117+DH141+DH149+DH153+DH145</f>
        <v>262844</v>
      </c>
      <c r="DI109" s="36"/>
      <c r="DJ109" s="19"/>
      <c r="DK109" s="274"/>
      <c r="DL109" s="231"/>
      <c r="DM109" s="37">
        <f>+DM113+DM121+DM125+DM129+DM133+DM137+DM117+DM141+DM149+DM153+DM145</f>
        <v>4425</v>
      </c>
      <c r="DN109" s="36"/>
      <c r="DO109" s="19"/>
      <c r="DP109" s="274"/>
      <c r="DQ109" s="231"/>
      <c r="DR109" s="37">
        <f>+DR113+DR121+DR125+DR129+DR133+DR137+DR117+DR141+DR149+DR153+DR145</f>
        <v>0</v>
      </c>
      <c r="DS109" s="36"/>
      <c r="DT109" s="19"/>
      <c r="DU109" s="274"/>
      <c r="DV109" s="231"/>
      <c r="DW109" s="37">
        <f>+DW113+DW121+DW125+DW129+DW133+DW137+DW117+DW141+DW149+DW153+DW145</f>
        <v>0</v>
      </c>
      <c r="DX109" s="36"/>
      <c r="DY109" s="19"/>
      <c r="DZ109" s="274"/>
      <c r="EA109" s="231"/>
      <c r="EB109" s="37">
        <f>+EB113+EB121+EB125+EB129+EB133+EB137+EB117+EB141+EB149+EB153+EB145</f>
        <v>0</v>
      </c>
      <c r="EC109" s="36"/>
      <c r="ED109" s="19"/>
      <c r="EE109" s="274"/>
      <c r="EF109" s="231"/>
      <c r="EG109" s="37">
        <f>+EG113+EG121+EG125+EG129+EG133+EG137+EG117+EG141+EG149+EG153+EG145</f>
        <v>12646074</v>
      </c>
      <c r="EH109" s="36"/>
      <c r="EI109" s="19"/>
      <c r="EJ109" s="274"/>
      <c r="EK109" s="231"/>
      <c r="EL109" s="37">
        <f>+EL113+EL121+EL125+EL129+EL133+EL137+EL117+EL141+EL149+EL153+EL145</f>
        <v>24276666</v>
      </c>
      <c r="EM109" s="36"/>
      <c r="EN109" s="19"/>
      <c r="EO109" s="244"/>
    </row>
    <row r="110" spans="4:145" x14ac:dyDescent="0.2">
      <c r="D110" s="244"/>
      <c r="E110" s="82"/>
      <c r="G110" s="19"/>
      <c r="H110" s="19"/>
      <c r="I110" s="19"/>
      <c r="J110" s="274"/>
      <c r="K110" s="19"/>
      <c r="L110" s="19"/>
      <c r="M110" s="19"/>
      <c r="N110" s="19"/>
      <c r="O110" s="274"/>
      <c r="P110" s="19"/>
      <c r="Q110" s="19"/>
      <c r="R110" s="19"/>
      <c r="S110" s="19"/>
      <c r="T110" s="274"/>
      <c r="U110" s="19"/>
      <c r="V110" s="19"/>
      <c r="W110" s="19"/>
      <c r="X110" s="19"/>
      <c r="Y110" s="274"/>
      <c r="Z110" s="19"/>
      <c r="AA110" s="19"/>
      <c r="AB110" s="19"/>
      <c r="AC110" s="19"/>
      <c r="AD110" s="274"/>
      <c r="AE110" s="19"/>
      <c r="AF110" s="19"/>
      <c r="AG110" s="19"/>
      <c r="AH110" s="19"/>
      <c r="AI110" s="274"/>
      <c r="AJ110" s="19"/>
      <c r="AK110" s="19"/>
      <c r="AL110" s="19"/>
      <c r="AM110" s="19"/>
      <c r="AN110" s="274"/>
      <c r="AO110" s="19"/>
      <c r="AP110" s="19"/>
      <c r="AQ110" s="19"/>
      <c r="AR110" s="19"/>
      <c r="AS110" s="274"/>
      <c r="AT110" s="19"/>
      <c r="AU110" s="19"/>
      <c r="AV110" s="19"/>
      <c r="AW110" s="19"/>
      <c r="AX110" s="274"/>
      <c r="AY110" s="19"/>
      <c r="AZ110" s="19"/>
      <c r="BA110" s="19"/>
      <c r="BB110" s="19"/>
      <c r="BC110" s="274"/>
      <c r="BD110" s="19"/>
      <c r="BE110" s="19"/>
      <c r="BF110" s="19"/>
      <c r="BG110" s="19"/>
      <c r="BH110" s="274"/>
      <c r="BI110" s="19"/>
      <c r="BJ110" s="19"/>
      <c r="BK110" s="19"/>
      <c r="BL110" s="19"/>
      <c r="BM110" s="274"/>
      <c r="BN110" s="19"/>
      <c r="BO110" s="19"/>
      <c r="BP110" s="19"/>
      <c r="BQ110" s="19"/>
      <c r="BR110" s="274"/>
      <c r="BS110" s="19"/>
      <c r="BT110" s="19"/>
      <c r="BU110" s="19"/>
      <c r="BV110" s="19"/>
      <c r="BW110" s="274"/>
      <c r="BX110" s="19"/>
      <c r="BY110" s="19"/>
      <c r="BZ110" s="19"/>
      <c r="CA110" s="19"/>
      <c r="CB110" s="274"/>
      <c r="CC110" s="19"/>
      <c r="CD110" s="19"/>
      <c r="CE110" s="19"/>
      <c r="CF110" s="19"/>
      <c r="CG110" s="274"/>
      <c r="CH110" s="19"/>
      <c r="CI110" s="19"/>
      <c r="CJ110" s="19"/>
      <c r="CK110" s="19"/>
      <c r="CL110" s="274"/>
      <c r="CM110" s="19"/>
      <c r="CN110" s="19"/>
      <c r="CO110" s="19"/>
      <c r="CP110" s="19"/>
      <c r="CQ110" s="274"/>
      <c r="CR110" s="19"/>
      <c r="CS110" s="19"/>
      <c r="CT110" s="19"/>
      <c r="CU110" s="19"/>
      <c r="CV110" s="274"/>
      <c r="CW110" s="19"/>
      <c r="CX110" s="19"/>
      <c r="CY110" s="19"/>
      <c r="CZ110" s="19"/>
      <c r="DA110" s="274"/>
      <c r="DB110" s="19"/>
      <c r="DC110" s="19"/>
      <c r="DD110" s="19"/>
      <c r="DE110" s="19"/>
      <c r="DF110" s="274"/>
      <c r="DG110" s="19"/>
      <c r="DH110" s="19"/>
      <c r="DI110" s="19"/>
      <c r="DJ110" s="19"/>
      <c r="DK110" s="274"/>
      <c r="DL110" s="19"/>
      <c r="DM110" s="19"/>
      <c r="DN110" s="19"/>
      <c r="DO110" s="19"/>
      <c r="DP110" s="274"/>
      <c r="DQ110" s="19"/>
      <c r="DR110" s="19"/>
      <c r="DS110" s="19"/>
      <c r="DT110" s="19"/>
      <c r="DU110" s="274"/>
      <c r="DV110" s="19"/>
      <c r="DW110" s="19"/>
      <c r="DX110" s="19"/>
      <c r="DY110" s="19"/>
      <c r="DZ110" s="274"/>
      <c r="EA110" s="19"/>
      <c r="EB110" s="19"/>
      <c r="EC110" s="19"/>
      <c r="ED110" s="19"/>
      <c r="EE110" s="274"/>
      <c r="EF110" s="19"/>
      <c r="EG110" s="19"/>
      <c r="EH110" s="19"/>
      <c r="EI110" s="19"/>
      <c r="EJ110" s="274"/>
      <c r="EK110" s="19"/>
      <c r="EL110" s="19"/>
      <c r="EM110" s="19"/>
      <c r="EN110" s="19"/>
      <c r="EO110" s="244"/>
    </row>
    <row r="111" spans="4:145" x14ac:dyDescent="0.2">
      <c r="D111" s="244" t="s">
        <v>468</v>
      </c>
      <c r="E111" s="82"/>
      <c r="G111" s="19">
        <f>SUM(G112:G113)</f>
        <v>8000</v>
      </c>
      <c r="H111" s="19"/>
      <c r="I111" s="19"/>
      <c r="J111" s="274"/>
      <c r="K111" s="19"/>
      <c r="L111" s="19">
        <f>SUM(L112:L113)</f>
        <v>0</v>
      </c>
      <c r="M111" s="19"/>
      <c r="N111" s="19"/>
      <c r="O111" s="274"/>
      <c r="P111" s="19"/>
      <c r="Q111" s="19">
        <f>SUM(Q112:Q113)</f>
        <v>0</v>
      </c>
      <c r="R111" s="19"/>
      <c r="S111" s="19"/>
      <c r="T111" s="274"/>
      <c r="U111" s="19"/>
      <c r="V111" s="19">
        <f>SUM(V112:V113)</f>
        <v>0</v>
      </c>
      <c r="W111" s="19"/>
      <c r="X111" s="19"/>
      <c r="Y111" s="274"/>
      <c r="Z111" s="19"/>
      <c r="AA111" s="19">
        <f>SUM(AA112:AA113)</f>
        <v>0</v>
      </c>
      <c r="AB111" s="19"/>
      <c r="AC111" s="19"/>
      <c r="AD111" s="274"/>
      <c r="AE111" s="19"/>
      <c r="AF111" s="19">
        <f>SUM(AF112:AF113)</f>
        <v>0</v>
      </c>
      <c r="AG111" s="19"/>
      <c r="AH111" s="19"/>
      <c r="AI111" s="274"/>
      <c r="AJ111" s="19"/>
      <c r="AK111" s="19">
        <f>SUM(AK112:AK113)</f>
        <v>0</v>
      </c>
      <c r="AL111" s="19"/>
      <c r="AM111" s="19"/>
      <c r="AN111" s="274"/>
      <c r="AO111" s="19"/>
      <c r="AP111" s="19">
        <f>SUM(AP112:AP113)</f>
        <v>0</v>
      </c>
      <c r="AQ111" s="19"/>
      <c r="AR111" s="19"/>
      <c r="AS111" s="274"/>
      <c r="AT111" s="19"/>
      <c r="AU111" s="19">
        <f>SUM(AU112:AU113)</f>
        <v>0</v>
      </c>
      <c r="AV111" s="19"/>
      <c r="AW111" s="19"/>
      <c r="AX111" s="274"/>
      <c r="AY111" s="19"/>
      <c r="AZ111" s="19">
        <f>SUM(AZ112:AZ113)</f>
        <v>0</v>
      </c>
      <c r="BA111" s="19"/>
      <c r="BB111" s="19"/>
      <c r="BC111" s="274"/>
      <c r="BD111" s="19"/>
      <c r="BE111" s="19">
        <f>SUM(BE112:BE113)</f>
        <v>0</v>
      </c>
      <c r="BF111" s="19"/>
      <c r="BG111" s="19"/>
      <c r="BH111" s="274"/>
      <c r="BI111" s="19"/>
      <c r="BJ111" s="19">
        <f>SUM(BJ112:BJ113)</f>
        <v>0</v>
      </c>
      <c r="BK111" s="19"/>
      <c r="BL111" s="19"/>
      <c r="BM111" s="274"/>
      <c r="BN111" s="19"/>
      <c r="BO111" s="19">
        <f>SUM(BO112:BO113)</f>
        <v>0</v>
      </c>
      <c r="BP111" s="19"/>
      <c r="BQ111" s="19"/>
      <c r="BR111" s="274"/>
      <c r="BS111" s="19"/>
      <c r="BT111" s="19">
        <f>SUM(BT112:BT113)</f>
        <v>0</v>
      </c>
      <c r="BU111" s="19"/>
      <c r="BV111" s="19"/>
      <c r="BW111" s="274"/>
      <c r="BX111" s="19"/>
      <c r="BY111" s="19">
        <f>SUM(BY112:BY113)</f>
        <v>12630</v>
      </c>
      <c r="BZ111" s="19"/>
      <c r="CA111" s="19"/>
      <c r="CB111" s="274"/>
      <c r="CC111" s="19"/>
      <c r="CD111" s="19">
        <f>SUM(CD112:CD113)</f>
        <v>0</v>
      </c>
      <c r="CE111" s="19"/>
      <c r="CF111" s="19"/>
      <c r="CG111" s="274"/>
      <c r="CH111" s="19"/>
      <c r="CI111" s="19">
        <f>SUM(CI112:CI113)</f>
        <v>6265</v>
      </c>
      <c r="CJ111" s="19"/>
      <c r="CK111" s="19"/>
      <c r="CL111" s="274"/>
      <c r="CM111" s="19"/>
      <c r="CN111" s="19">
        <f>SUM(CN112:CN113)</f>
        <v>0</v>
      </c>
      <c r="CO111" s="19"/>
      <c r="CP111" s="19"/>
      <c r="CQ111" s="274"/>
      <c r="CR111" s="19"/>
      <c r="CS111" s="19">
        <f>SUM(CS112:CS113)</f>
        <v>0</v>
      </c>
      <c r="CT111" s="19"/>
      <c r="CU111" s="19"/>
      <c r="CV111" s="274"/>
      <c r="CW111" s="19"/>
      <c r="CX111" s="19">
        <f>SUM(CX112:CX113)</f>
        <v>0</v>
      </c>
      <c r="CY111" s="19"/>
      <c r="CZ111" s="19"/>
      <c r="DA111" s="274"/>
      <c r="DB111" s="19"/>
      <c r="DC111" s="19">
        <f>SUM(DC112:DC113)</f>
        <v>0</v>
      </c>
      <c r="DD111" s="19"/>
      <c r="DE111" s="19"/>
      <c r="DF111" s="274"/>
      <c r="DG111" s="19"/>
      <c r="DH111" s="19">
        <f>SUM(DH112:DH113)</f>
        <v>0</v>
      </c>
      <c r="DI111" s="19"/>
      <c r="DJ111" s="19"/>
      <c r="DK111" s="274"/>
      <c r="DL111" s="19"/>
      <c r="DM111" s="19">
        <f>SUM(DM112:DM113)</f>
        <v>6365</v>
      </c>
      <c r="DN111" s="19"/>
      <c r="DO111" s="19"/>
      <c r="DP111" s="274"/>
      <c r="DQ111" s="19"/>
      <c r="DR111" s="19">
        <f>SUM(DR112:DR113)</f>
        <v>0</v>
      </c>
      <c r="DS111" s="19"/>
      <c r="DT111" s="19"/>
      <c r="DU111" s="274"/>
      <c r="DV111" s="19"/>
      <c r="DW111" s="19">
        <f>SUM(DW112:DW113)</f>
        <v>0</v>
      </c>
      <c r="DX111" s="19"/>
      <c r="DY111" s="19"/>
      <c r="DZ111" s="274"/>
      <c r="EA111" s="19"/>
      <c r="EB111" s="19">
        <f>SUM(EB112:EB113)</f>
        <v>0</v>
      </c>
      <c r="EC111" s="19"/>
      <c r="ED111" s="19"/>
      <c r="EE111" s="274"/>
      <c r="EF111" s="19"/>
      <c r="EG111" s="19">
        <f>SUM(EG112:EG113)</f>
        <v>0</v>
      </c>
      <c r="EH111" s="19"/>
      <c r="EI111" s="19"/>
      <c r="EJ111" s="274"/>
      <c r="EK111" s="19"/>
      <c r="EL111" s="19">
        <f>SUM(EL112:EL113)</f>
        <v>12630</v>
      </c>
      <c r="EM111" s="19"/>
      <c r="EN111" s="19"/>
      <c r="EO111" s="244"/>
    </row>
    <row r="112" spans="4:145" x14ac:dyDescent="0.2">
      <c r="D112" s="244" t="s">
        <v>466</v>
      </c>
      <c r="E112" s="82"/>
      <c r="F112" s="112"/>
      <c r="G112" s="374">
        <v>2000</v>
      </c>
      <c r="H112" s="475"/>
      <c r="I112" s="19"/>
      <c r="J112" s="274"/>
      <c r="K112" s="173"/>
      <c r="L112" s="374">
        <v>0</v>
      </c>
      <c r="M112" s="475"/>
      <c r="N112" s="19"/>
      <c r="O112" s="274"/>
      <c r="P112" s="173"/>
      <c r="Q112" s="374">
        <v>0</v>
      </c>
      <c r="R112" s="475"/>
      <c r="S112" s="19"/>
      <c r="T112" s="274"/>
      <c r="U112" s="173"/>
      <c r="V112" s="374">
        <v>0</v>
      </c>
      <c r="W112" s="475"/>
      <c r="X112" s="19"/>
      <c r="Y112" s="274"/>
      <c r="Z112" s="173"/>
      <c r="AA112" s="374">
        <v>0</v>
      </c>
      <c r="AB112" s="475"/>
      <c r="AC112" s="19"/>
      <c r="AD112" s="274"/>
      <c r="AE112" s="173"/>
      <c r="AF112" s="374">
        <v>0</v>
      </c>
      <c r="AG112" s="475"/>
      <c r="AH112" s="19"/>
      <c r="AI112" s="274"/>
      <c r="AJ112" s="173"/>
      <c r="AK112" s="374">
        <v>0</v>
      </c>
      <c r="AL112" s="475"/>
      <c r="AM112" s="19"/>
      <c r="AN112" s="274"/>
      <c r="AO112" s="173"/>
      <c r="AP112" s="374">
        <v>0</v>
      </c>
      <c r="AQ112" s="475"/>
      <c r="AR112" s="19"/>
      <c r="AS112" s="274"/>
      <c r="AT112" s="173"/>
      <c r="AU112" s="374">
        <v>0</v>
      </c>
      <c r="AV112" s="475"/>
      <c r="AW112" s="19"/>
      <c r="AX112" s="274"/>
      <c r="AY112" s="173"/>
      <c r="AZ112" s="374">
        <v>0</v>
      </c>
      <c r="BA112" s="475"/>
      <c r="BB112" s="19"/>
      <c r="BC112" s="274"/>
      <c r="BD112" s="173"/>
      <c r="BE112" s="374">
        <v>0</v>
      </c>
      <c r="BF112" s="475"/>
      <c r="BG112" s="19"/>
      <c r="BH112" s="274"/>
      <c r="BI112" s="173"/>
      <c r="BJ112" s="374">
        <v>0</v>
      </c>
      <c r="BK112" s="475"/>
      <c r="BL112" s="19"/>
      <c r="BM112" s="274"/>
      <c r="BN112" s="173"/>
      <c r="BO112" s="374">
        <v>0</v>
      </c>
      <c r="BP112" s="475"/>
      <c r="BQ112" s="19"/>
      <c r="BR112" s="274"/>
      <c r="BS112" s="173"/>
      <c r="BT112" s="374">
        <f>SUM(L112:BO112)</f>
        <v>0</v>
      </c>
      <c r="BU112" s="475"/>
      <c r="BV112" s="19"/>
      <c r="BW112" s="274"/>
      <c r="BX112" s="173"/>
      <c r="BY112" s="374">
        <v>3879</v>
      </c>
      <c r="BZ112" s="475"/>
      <c r="CA112" s="19"/>
      <c r="CB112" s="274"/>
      <c r="CC112" s="173"/>
      <c r="CD112" s="374">
        <v>0</v>
      </c>
      <c r="CE112" s="475"/>
      <c r="CF112" s="19"/>
      <c r="CG112" s="274"/>
      <c r="CH112" s="173"/>
      <c r="CI112" s="374">
        <v>1939</v>
      </c>
      <c r="CJ112" s="475"/>
      <c r="CK112" s="19"/>
      <c r="CL112" s="274"/>
      <c r="CM112" s="173"/>
      <c r="CN112" s="374">
        <v>0</v>
      </c>
      <c r="CO112" s="475"/>
      <c r="CP112" s="19"/>
      <c r="CQ112" s="274"/>
      <c r="CR112" s="173"/>
      <c r="CS112" s="374">
        <v>0</v>
      </c>
      <c r="CT112" s="475"/>
      <c r="CU112" s="19"/>
      <c r="CV112" s="274"/>
      <c r="CW112" s="173"/>
      <c r="CX112" s="374">
        <v>0</v>
      </c>
      <c r="CY112" s="475"/>
      <c r="CZ112" s="19"/>
      <c r="DA112" s="274"/>
      <c r="DB112" s="173"/>
      <c r="DC112" s="374">
        <v>0</v>
      </c>
      <c r="DD112" s="475"/>
      <c r="DE112" s="19"/>
      <c r="DF112" s="274"/>
      <c r="DG112" s="173"/>
      <c r="DH112" s="374">
        <v>0</v>
      </c>
      <c r="DI112" s="475"/>
      <c r="DJ112" s="19"/>
      <c r="DK112" s="274"/>
      <c r="DL112" s="173"/>
      <c r="DM112" s="374">
        <f>1940</f>
        <v>1940</v>
      </c>
      <c r="DN112" s="475"/>
      <c r="DO112" s="19"/>
      <c r="DP112" s="274"/>
      <c r="DQ112" s="173"/>
      <c r="DR112" s="374">
        <v>0</v>
      </c>
      <c r="DS112" s="475"/>
      <c r="DT112" s="19"/>
      <c r="DU112" s="274"/>
      <c r="DV112" s="173"/>
      <c r="DW112" s="374">
        <v>0</v>
      </c>
      <c r="DX112" s="475"/>
      <c r="DY112" s="19"/>
      <c r="DZ112" s="274"/>
      <c r="EA112" s="173"/>
      <c r="EB112" s="374">
        <v>0</v>
      </c>
      <c r="EC112" s="475"/>
      <c r="ED112" s="19"/>
      <c r="EE112" s="274"/>
      <c r="EF112" s="173"/>
      <c r="EG112" s="374">
        <v>0</v>
      </c>
      <c r="EH112" s="475"/>
      <c r="EI112" s="19"/>
      <c r="EJ112" s="274"/>
      <c r="EK112" s="173"/>
      <c r="EL112" s="374">
        <f>SUM(CD112:EG112)</f>
        <v>3879</v>
      </c>
      <c r="EM112" s="475"/>
      <c r="EN112" s="19"/>
      <c r="EO112" s="244"/>
    </row>
    <row r="113" spans="4:145" x14ac:dyDescent="0.2">
      <c r="D113" s="244" t="s">
        <v>467</v>
      </c>
      <c r="E113" s="82"/>
      <c r="F113" s="276"/>
      <c r="G113" s="37">
        <v>6000</v>
      </c>
      <c r="H113" s="36"/>
      <c r="I113" s="19"/>
      <c r="J113" s="274"/>
      <c r="K113" s="231"/>
      <c r="L113" s="37">
        <v>0</v>
      </c>
      <c r="M113" s="36"/>
      <c r="N113" s="19"/>
      <c r="O113" s="274"/>
      <c r="P113" s="231"/>
      <c r="Q113" s="37">
        <v>0</v>
      </c>
      <c r="R113" s="36"/>
      <c r="S113" s="19"/>
      <c r="T113" s="274"/>
      <c r="U113" s="231"/>
      <c r="V113" s="37">
        <v>0</v>
      </c>
      <c r="W113" s="36"/>
      <c r="X113" s="19"/>
      <c r="Y113" s="274"/>
      <c r="Z113" s="231"/>
      <c r="AA113" s="37">
        <v>0</v>
      </c>
      <c r="AB113" s="36"/>
      <c r="AC113" s="19"/>
      <c r="AD113" s="274"/>
      <c r="AE113" s="231"/>
      <c r="AF113" s="37">
        <v>0</v>
      </c>
      <c r="AG113" s="36"/>
      <c r="AH113" s="19"/>
      <c r="AI113" s="274"/>
      <c r="AJ113" s="231"/>
      <c r="AK113" s="37">
        <v>0</v>
      </c>
      <c r="AL113" s="36"/>
      <c r="AM113" s="19"/>
      <c r="AN113" s="274"/>
      <c r="AO113" s="231"/>
      <c r="AP113" s="37">
        <v>0</v>
      </c>
      <c r="AQ113" s="36"/>
      <c r="AR113" s="19"/>
      <c r="AS113" s="274"/>
      <c r="AT113" s="231"/>
      <c r="AU113" s="37">
        <v>0</v>
      </c>
      <c r="AV113" s="36"/>
      <c r="AW113" s="19"/>
      <c r="AX113" s="274"/>
      <c r="AY113" s="231"/>
      <c r="AZ113" s="37">
        <v>0</v>
      </c>
      <c r="BA113" s="36"/>
      <c r="BB113" s="19"/>
      <c r="BC113" s="274"/>
      <c r="BD113" s="231"/>
      <c r="BE113" s="37">
        <v>0</v>
      </c>
      <c r="BF113" s="36"/>
      <c r="BG113" s="19"/>
      <c r="BH113" s="274"/>
      <c r="BI113" s="231"/>
      <c r="BJ113" s="37">
        <v>0</v>
      </c>
      <c r="BK113" s="36"/>
      <c r="BL113" s="19"/>
      <c r="BM113" s="274"/>
      <c r="BN113" s="231"/>
      <c r="BO113" s="37">
        <v>0</v>
      </c>
      <c r="BP113" s="36"/>
      <c r="BQ113" s="19"/>
      <c r="BR113" s="274"/>
      <c r="BS113" s="231"/>
      <c r="BT113" s="37">
        <f>SUM(L113:BO113)</f>
        <v>0</v>
      </c>
      <c r="BU113" s="36"/>
      <c r="BV113" s="19"/>
      <c r="BW113" s="274"/>
      <c r="BX113" s="231"/>
      <c r="BY113" s="37">
        <v>8751</v>
      </c>
      <c r="BZ113" s="36"/>
      <c r="CA113" s="19"/>
      <c r="CB113" s="274"/>
      <c r="CC113" s="231"/>
      <c r="CD113" s="37">
        <v>0</v>
      </c>
      <c r="CE113" s="36"/>
      <c r="CF113" s="19"/>
      <c r="CG113" s="274"/>
      <c r="CH113" s="231"/>
      <c r="CI113" s="37">
        <v>4326</v>
      </c>
      <c r="CJ113" s="36"/>
      <c r="CK113" s="19"/>
      <c r="CL113" s="274"/>
      <c r="CM113" s="231"/>
      <c r="CN113" s="37">
        <v>0</v>
      </c>
      <c r="CO113" s="36"/>
      <c r="CP113" s="19"/>
      <c r="CQ113" s="274"/>
      <c r="CR113" s="231"/>
      <c r="CS113" s="37">
        <v>0</v>
      </c>
      <c r="CT113" s="36"/>
      <c r="CU113" s="19"/>
      <c r="CV113" s="274"/>
      <c r="CW113" s="231"/>
      <c r="CX113" s="37">
        <v>0</v>
      </c>
      <c r="CY113" s="36"/>
      <c r="CZ113" s="19"/>
      <c r="DA113" s="274"/>
      <c r="DB113" s="231"/>
      <c r="DC113" s="37">
        <v>0</v>
      </c>
      <c r="DD113" s="36"/>
      <c r="DE113" s="19"/>
      <c r="DF113" s="274"/>
      <c r="DG113" s="231"/>
      <c r="DH113" s="37">
        <v>0</v>
      </c>
      <c r="DI113" s="36"/>
      <c r="DJ113" s="19"/>
      <c r="DK113" s="274"/>
      <c r="DL113" s="231"/>
      <c r="DM113" s="37">
        <f>4425</f>
        <v>4425</v>
      </c>
      <c r="DN113" s="36"/>
      <c r="DO113" s="19"/>
      <c r="DP113" s="274"/>
      <c r="DQ113" s="231"/>
      <c r="DR113" s="37">
        <v>0</v>
      </c>
      <c r="DS113" s="36"/>
      <c r="DT113" s="19"/>
      <c r="DU113" s="274"/>
      <c r="DV113" s="231"/>
      <c r="DW113" s="37">
        <v>0</v>
      </c>
      <c r="DX113" s="36"/>
      <c r="DY113" s="19"/>
      <c r="DZ113" s="274"/>
      <c r="EA113" s="231"/>
      <c r="EB113" s="37">
        <v>0</v>
      </c>
      <c r="EC113" s="36"/>
      <c r="ED113" s="19"/>
      <c r="EE113" s="274"/>
      <c r="EF113" s="231"/>
      <c r="EG113" s="37">
        <v>0</v>
      </c>
      <c r="EH113" s="36"/>
      <c r="EI113" s="19"/>
      <c r="EJ113" s="274"/>
      <c r="EK113" s="231"/>
      <c r="EL113" s="37">
        <f>SUM(CD113:EG113)</f>
        <v>8751</v>
      </c>
      <c r="EM113" s="36"/>
      <c r="EN113" s="19"/>
      <c r="EO113" s="244"/>
    </row>
    <row r="114" spans="4:145" x14ac:dyDescent="0.2">
      <c r="D114" s="244"/>
      <c r="E114" s="82"/>
      <c r="G114" s="19"/>
      <c r="H114" s="19"/>
      <c r="I114" s="19"/>
      <c r="J114" s="274"/>
      <c r="K114" s="19"/>
      <c r="L114" s="19"/>
      <c r="M114" s="19"/>
      <c r="N114" s="19"/>
      <c r="O114" s="274"/>
      <c r="P114" s="19"/>
      <c r="Q114" s="19"/>
      <c r="R114" s="19"/>
      <c r="S114" s="19"/>
      <c r="T114" s="274"/>
      <c r="U114" s="19"/>
      <c r="V114" s="19"/>
      <c r="W114" s="19"/>
      <c r="X114" s="19"/>
      <c r="Y114" s="274"/>
      <c r="Z114" s="19"/>
      <c r="AA114" s="19"/>
      <c r="AB114" s="19"/>
      <c r="AC114" s="19"/>
      <c r="AD114" s="274"/>
      <c r="AE114" s="19"/>
      <c r="AF114" s="19"/>
      <c r="AG114" s="19"/>
      <c r="AH114" s="19"/>
      <c r="AI114" s="274"/>
      <c r="AJ114" s="19"/>
      <c r="AK114" s="19"/>
      <c r="AL114" s="19"/>
      <c r="AM114" s="19"/>
      <c r="AN114" s="274"/>
      <c r="AO114" s="19"/>
      <c r="AP114" s="19"/>
      <c r="AQ114" s="19"/>
      <c r="AR114" s="19"/>
      <c r="AS114" s="274"/>
      <c r="AT114" s="19"/>
      <c r="AU114" s="19"/>
      <c r="AV114" s="19"/>
      <c r="AW114" s="19"/>
      <c r="AX114" s="274"/>
      <c r="AY114" s="19"/>
      <c r="AZ114" s="19"/>
      <c r="BA114" s="19"/>
      <c r="BB114" s="19"/>
      <c r="BC114" s="274"/>
      <c r="BD114" s="19"/>
      <c r="BE114" s="19"/>
      <c r="BF114" s="19"/>
      <c r="BG114" s="19"/>
      <c r="BH114" s="274"/>
      <c r="BI114" s="19"/>
      <c r="BJ114" s="19"/>
      <c r="BK114" s="19"/>
      <c r="BL114" s="19"/>
      <c r="BM114" s="274"/>
      <c r="BN114" s="19"/>
      <c r="BO114" s="19"/>
      <c r="BP114" s="19"/>
      <c r="BQ114" s="19"/>
      <c r="BR114" s="274"/>
      <c r="BS114" s="19"/>
      <c r="BT114" s="19"/>
      <c r="BU114" s="19"/>
      <c r="BV114" s="19"/>
      <c r="BW114" s="274"/>
      <c r="BX114" s="19"/>
      <c r="BY114" s="19"/>
      <c r="BZ114" s="19"/>
      <c r="CA114" s="19"/>
      <c r="CB114" s="274"/>
      <c r="CC114" s="19"/>
      <c r="CD114" s="19"/>
      <c r="CE114" s="19"/>
      <c r="CF114" s="19"/>
      <c r="CG114" s="274"/>
      <c r="CH114" s="19"/>
      <c r="CI114" s="19"/>
      <c r="CJ114" s="19"/>
      <c r="CK114" s="19"/>
      <c r="CL114" s="274"/>
      <c r="CM114" s="19"/>
      <c r="CN114" s="19"/>
      <c r="CO114" s="19"/>
      <c r="CP114" s="19"/>
      <c r="CQ114" s="274"/>
      <c r="CR114" s="19"/>
      <c r="CS114" s="19"/>
      <c r="CT114" s="19"/>
      <c r="CU114" s="19"/>
      <c r="CV114" s="274"/>
      <c r="CW114" s="19"/>
      <c r="CX114" s="19"/>
      <c r="CY114" s="19"/>
      <c r="CZ114" s="19"/>
      <c r="DA114" s="274"/>
      <c r="DB114" s="19"/>
      <c r="DC114" s="19"/>
      <c r="DD114" s="19"/>
      <c r="DE114" s="19"/>
      <c r="DF114" s="274"/>
      <c r="DG114" s="19"/>
      <c r="DH114" s="19"/>
      <c r="DI114" s="19"/>
      <c r="DJ114" s="19"/>
      <c r="DK114" s="274"/>
      <c r="DL114" s="19"/>
      <c r="DM114" s="19"/>
      <c r="DN114" s="19"/>
      <c r="DO114" s="19"/>
      <c r="DP114" s="274"/>
      <c r="DQ114" s="19"/>
      <c r="DR114" s="19"/>
      <c r="DS114" s="19"/>
      <c r="DT114" s="19"/>
      <c r="DU114" s="274"/>
      <c r="DV114" s="19"/>
      <c r="DW114" s="19"/>
      <c r="DX114" s="19"/>
      <c r="DY114" s="19"/>
      <c r="DZ114" s="274"/>
      <c r="EA114" s="19"/>
      <c r="EB114" s="19"/>
      <c r="EC114" s="19"/>
      <c r="ED114" s="19"/>
      <c r="EE114" s="274"/>
      <c r="EF114" s="19"/>
      <c r="EG114" s="19"/>
      <c r="EH114" s="19"/>
      <c r="EI114" s="19"/>
      <c r="EJ114" s="274"/>
      <c r="EK114" s="19"/>
      <c r="EL114" s="19"/>
      <c r="EM114" s="19"/>
      <c r="EN114" s="19"/>
      <c r="EO114" s="244"/>
    </row>
    <row r="115" spans="4:145" x14ac:dyDescent="0.2">
      <c r="D115" s="244" t="s">
        <v>469</v>
      </c>
      <c r="E115" s="82"/>
      <c r="G115" s="19">
        <f>SUM(G116:G117)</f>
        <v>0</v>
      </c>
      <c r="H115" s="19"/>
      <c r="I115" s="19"/>
      <c r="J115" s="274"/>
      <c r="K115" s="19"/>
      <c r="L115" s="19">
        <f>SUM(L116:L117)</f>
        <v>0</v>
      </c>
      <c r="M115" s="19"/>
      <c r="N115" s="19"/>
      <c r="O115" s="274"/>
      <c r="P115" s="19"/>
      <c r="Q115" s="19">
        <f>SUM(Q116:Q117)</f>
        <v>0</v>
      </c>
      <c r="R115" s="19"/>
      <c r="S115" s="19"/>
      <c r="T115" s="274"/>
      <c r="U115" s="19"/>
      <c r="V115" s="19">
        <f>SUM(V116:V117)</f>
        <v>0</v>
      </c>
      <c r="W115" s="19"/>
      <c r="X115" s="19"/>
      <c r="Y115" s="274"/>
      <c r="Z115" s="19"/>
      <c r="AA115" s="19">
        <f>SUM(AA116:AA117)</f>
        <v>0</v>
      </c>
      <c r="AB115" s="19"/>
      <c r="AC115" s="19"/>
      <c r="AD115" s="274"/>
      <c r="AE115" s="19"/>
      <c r="AF115" s="19">
        <f>SUM(AF116:AF117)</f>
        <v>0</v>
      </c>
      <c r="AG115" s="19"/>
      <c r="AH115" s="19"/>
      <c r="AI115" s="274"/>
      <c r="AJ115" s="19"/>
      <c r="AK115" s="19">
        <f>SUM(AK116:AK117)</f>
        <v>0</v>
      </c>
      <c r="AL115" s="19"/>
      <c r="AM115" s="19"/>
      <c r="AN115" s="274"/>
      <c r="AO115" s="19"/>
      <c r="AP115" s="19">
        <f>SUM(AP116:AP117)</f>
        <v>0</v>
      </c>
      <c r="AQ115" s="19"/>
      <c r="AR115" s="19"/>
      <c r="AS115" s="274"/>
      <c r="AT115" s="19"/>
      <c r="AU115" s="19">
        <f>SUM(AU116:AU117)</f>
        <v>0</v>
      </c>
      <c r="AV115" s="19"/>
      <c r="AW115" s="19"/>
      <c r="AX115" s="274"/>
      <c r="AY115" s="19"/>
      <c r="AZ115" s="19">
        <f>SUM(AZ116:AZ117)</f>
        <v>0</v>
      </c>
      <c r="BA115" s="19"/>
      <c r="BB115" s="19"/>
      <c r="BC115" s="274"/>
      <c r="BD115" s="19"/>
      <c r="BE115" s="19">
        <f>SUM(BE116:BE117)</f>
        <v>0</v>
      </c>
      <c r="BF115" s="19"/>
      <c r="BG115" s="19"/>
      <c r="BH115" s="274"/>
      <c r="BI115" s="19"/>
      <c r="BJ115" s="19">
        <f>SUM(BJ116:BJ117)</f>
        <v>0</v>
      </c>
      <c r="BK115" s="19"/>
      <c r="BL115" s="19"/>
      <c r="BM115" s="274"/>
      <c r="BN115" s="19"/>
      <c r="BO115" s="19">
        <f>SUM(BO116:BO117)</f>
        <v>0</v>
      </c>
      <c r="BP115" s="19"/>
      <c r="BQ115" s="19"/>
      <c r="BR115" s="274"/>
      <c r="BS115" s="19"/>
      <c r="BT115" s="19">
        <f>SUM(BT116:BT117)</f>
        <v>0</v>
      </c>
      <c r="BU115" s="19"/>
      <c r="BV115" s="19"/>
      <c r="BW115" s="274"/>
      <c r="BX115" s="19"/>
      <c r="BY115" s="19">
        <f>SUM(BY116:BY117)</f>
        <v>25241120</v>
      </c>
      <c r="BZ115" s="19"/>
      <c r="CA115" s="19"/>
      <c r="CB115" s="274"/>
      <c r="CC115" s="19"/>
      <c r="CD115" s="19">
        <f>SUM(CD116:CD117)</f>
        <v>0</v>
      </c>
      <c r="CE115" s="19"/>
      <c r="CF115" s="19"/>
      <c r="CG115" s="274"/>
      <c r="CH115" s="19"/>
      <c r="CI115" s="19">
        <f>SUM(CI116:CI117)</f>
        <v>25241120</v>
      </c>
      <c r="CJ115" s="19"/>
      <c r="CK115" s="19"/>
      <c r="CL115" s="274"/>
      <c r="CM115" s="19"/>
      <c r="CN115" s="19">
        <f>SUM(CN116:CN117)</f>
        <v>0</v>
      </c>
      <c r="CO115" s="19"/>
      <c r="CP115" s="19"/>
      <c r="CQ115" s="274"/>
      <c r="CR115" s="19"/>
      <c r="CS115" s="19">
        <f>SUM(CS116:CS117)</f>
        <v>0</v>
      </c>
      <c r="CT115" s="19"/>
      <c r="CU115" s="19"/>
      <c r="CV115" s="274"/>
      <c r="CW115" s="19"/>
      <c r="CX115" s="19">
        <f>SUM(CX116:CX117)</f>
        <v>0</v>
      </c>
      <c r="CY115" s="19"/>
      <c r="CZ115" s="19"/>
      <c r="DA115" s="274"/>
      <c r="DB115" s="19"/>
      <c r="DC115" s="19">
        <f>SUM(DC116:DC117)</f>
        <v>0</v>
      </c>
      <c r="DD115" s="19"/>
      <c r="DE115" s="19"/>
      <c r="DF115" s="274"/>
      <c r="DG115" s="19"/>
      <c r="DH115" s="19">
        <f>SUM(DH116:DH117)</f>
        <v>0</v>
      </c>
      <c r="DI115" s="19"/>
      <c r="DJ115" s="19"/>
      <c r="DK115" s="274"/>
      <c r="DL115" s="19"/>
      <c r="DM115" s="19">
        <f>SUM(DM116:DM117)</f>
        <v>0</v>
      </c>
      <c r="DN115" s="19"/>
      <c r="DO115" s="19"/>
      <c r="DP115" s="274"/>
      <c r="DQ115" s="19"/>
      <c r="DR115" s="19">
        <f>SUM(DR116:DR117)</f>
        <v>0</v>
      </c>
      <c r="DS115" s="19"/>
      <c r="DT115" s="19"/>
      <c r="DU115" s="274"/>
      <c r="DV115" s="19"/>
      <c r="DW115" s="19">
        <f>SUM(DW116:DW117)</f>
        <v>0</v>
      </c>
      <c r="DX115" s="19"/>
      <c r="DY115" s="19"/>
      <c r="DZ115" s="274"/>
      <c r="EA115" s="19"/>
      <c r="EB115" s="19">
        <f>SUM(EB116:EB117)</f>
        <v>0</v>
      </c>
      <c r="EC115" s="19"/>
      <c r="ED115" s="19"/>
      <c r="EE115" s="274"/>
      <c r="EF115" s="19"/>
      <c r="EG115" s="19">
        <f>SUM(EG116:EG117)</f>
        <v>0</v>
      </c>
      <c r="EH115" s="19"/>
      <c r="EI115" s="19"/>
      <c r="EJ115" s="274"/>
      <c r="EK115" s="19"/>
      <c r="EL115" s="19">
        <f>SUM(EL116:EL117)</f>
        <v>25241120</v>
      </c>
      <c r="EM115" s="19"/>
      <c r="EN115" s="19"/>
      <c r="EO115" s="244"/>
    </row>
    <row r="116" spans="4:145" x14ac:dyDescent="0.2">
      <c r="D116" s="244" t="s">
        <v>466</v>
      </c>
      <c r="E116" s="82"/>
      <c r="F116" s="112"/>
      <c r="G116" s="374">
        <v>0</v>
      </c>
      <c r="H116" s="475"/>
      <c r="I116" s="19"/>
      <c r="J116" s="274"/>
      <c r="K116" s="173"/>
      <c r="L116" s="374">
        <v>0</v>
      </c>
      <c r="M116" s="475"/>
      <c r="N116" s="19"/>
      <c r="O116" s="274"/>
      <c r="P116" s="173"/>
      <c r="Q116" s="374">
        <v>0</v>
      </c>
      <c r="R116" s="475"/>
      <c r="S116" s="19"/>
      <c r="T116" s="274"/>
      <c r="U116" s="173"/>
      <c r="V116" s="374">
        <v>0</v>
      </c>
      <c r="W116" s="475"/>
      <c r="X116" s="19"/>
      <c r="Y116" s="274"/>
      <c r="Z116" s="173"/>
      <c r="AA116" s="374">
        <v>0</v>
      </c>
      <c r="AB116" s="475"/>
      <c r="AC116" s="19"/>
      <c r="AD116" s="274"/>
      <c r="AE116" s="173"/>
      <c r="AF116" s="374">
        <v>0</v>
      </c>
      <c r="AG116" s="475"/>
      <c r="AH116" s="19"/>
      <c r="AI116" s="274"/>
      <c r="AJ116" s="173"/>
      <c r="AK116" s="374">
        <v>0</v>
      </c>
      <c r="AL116" s="475"/>
      <c r="AM116" s="19"/>
      <c r="AN116" s="274"/>
      <c r="AO116" s="173"/>
      <c r="AP116" s="374">
        <v>0</v>
      </c>
      <c r="AQ116" s="475"/>
      <c r="AR116" s="19"/>
      <c r="AS116" s="274"/>
      <c r="AT116" s="173"/>
      <c r="AU116" s="374">
        <v>0</v>
      </c>
      <c r="AV116" s="475"/>
      <c r="AW116" s="19"/>
      <c r="AX116" s="274"/>
      <c r="AY116" s="173"/>
      <c r="AZ116" s="374">
        <v>0</v>
      </c>
      <c r="BA116" s="475"/>
      <c r="BB116" s="19"/>
      <c r="BC116" s="274"/>
      <c r="BD116" s="173"/>
      <c r="BE116" s="374">
        <v>0</v>
      </c>
      <c r="BF116" s="475"/>
      <c r="BG116" s="19"/>
      <c r="BH116" s="274"/>
      <c r="BI116" s="173"/>
      <c r="BJ116" s="374">
        <v>0</v>
      </c>
      <c r="BK116" s="475"/>
      <c r="BL116" s="19"/>
      <c r="BM116" s="274"/>
      <c r="BN116" s="173"/>
      <c r="BO116" s="374">
        <v>0</v>
      </c>
      <c r="BP116" s="475"/>
      <c r="BQ116" s="19"/>
      <c r="BR116" s="274"/>
      <c r="BS116" s="173"/>
      <c r="BT116" s="374">
        <f>SUM(L116:BO116)</f>
        <v>0</v>
      </c>
      <c r="BU116" s="475"/>
      <c r="BV116" s="19"/>
      <c r="BW116" s="274"/>
      <c r="BX116" s="173"/>
      <c r="BY116" s="374">
        <v>14118925</v>
      </c>
      <c r="BZ116" s="475"/>
      <c r="CA116" s="19"/>
      <c r="CB116" s="274"/>
      <c r="CC116" s="173"/>
      <c r="CD116" s="374">
        <v>0</v>
      </c>
      <c r="CE116" s="475"/>
      <c r="CF116" s="19"/>
      <c r="CG116" s="274"/>
      <c r="CH116" s="173"/>
      <c r="CI116" s="374">
        <v>14118925</v>
      </c>
      <c r="CJ116" s="475"/>
      <c r="CK116" s="19"/>
      <c r="CL116" s="274"/>
      <c r="CM116" s="173"/>
      <c r="CN116" s="374">
        <v>0</v>
      </c>
      <c r="CO116" s="475"/>
      <c r="CP116" s="19"/>
      <c r="CQ116" s="274"/>
      <c r="CR116" s="173"/>
      <c r="CS116" s="374">
        <v>0</v>
      </c>
      <c r="CT116" s="475"/>
      <c r="CU116" s="19"/>
      <c r="CV116" s="274"/>
      <c r="CW116" s="173"/>
      <c r="CX116" s="374">
        <v>0</v>
      </c>
      <c r="CY116" s="475"/>
      <c r="CZ116" s="19"/>
      <c r="DA116" s="274"/>
      <c r="DB116" s="173"/>
      <c r="DC116" s="374">
        <v>0</v>
      </c>
      <c r="DD116" s="475"/>
      <c r="DE116" s="19"/>
      <c r="DF116" s="274"/>
      <c r="DG116" s="173"/>
      <c r="DH116" s="374">
        <v>0</v>
      </c>
      <c r="DI116" s="475"/>
      <c r="DJ116" s="19"/>
      <c r="DK116" s="274"/>
      <c r="DL116" s="173"/>
      <c r="DM116" s="374">
        <v>0</v>
      </c>
      <c r="DN116" s="475"/>
      <c r="DO116" s="19"/>
      <c r="DP116" s="274"/>
      <c r="DQ116" s="173"/>
      <c r="DR116" s="374">
        <v>0</v>
      </c>
      <c r="DS116" s="475"/>
      <c r="DT116" s="19"/>
      <c r="DU116" s="274"/>
      <c r="DV116" s="173"/>
      <c r="DW116" s="374">
        <v>0</v>
      </c>
      <c r="DX116" s="475"/>
      <c r="DY116" s="19"/>
      <c r="DZ116" s="274"/>
      <c r="EA116" s="173"/>
      <c r="EB116" s="374">
        <v>0</v>
      </c>
      <c r="EC116" s="475"/>
      <c r="ED116" s="19"/>
      <c r="EE116" s="274"/>
      <c r="EF116" s="173"/>
      <c r="EG116" s="374">
        <v>0</v>
      </c>
      <c r="EH116" s="475"/>
      <c r="EI116" s="19"/>
      <c r="EJ116" s="274"/>
      <c r="EK116" s="173"/>
      <c r="EL116" s="374">
        <f>SUM(CD116:EG116)</f>
        <v>14118925</v>
      </c>
      <c r="EM116" s="475"/>
      <c r="EN116" s="19"/>
      <c r="EO116" s="244"/>
    </row>
    <row r="117" spans="4:145" x14ac:dyDescent="0.2">
      <c r="D117" s="244" t="s">
        <v>467</v>
      </c>
      <c r="E117" s="82"/>
      <c r="F117" s="276"/>
      <c r="G117" s="37">
        <v>0</v>
      </c>
      <c r="H117" s="36"/>
      <c r="I117" s="19"/>
      <c r="J117" s="274"/>
      <c r="K117" s="231"/>
      <c r="L117" s="37">
        <v>0</v>
      </c>
      <c r="M117" s="36"/>
      <c r="N117" s="19"/>
      <c r="O117" s="274"/>
      <c r="P117" s="231"/>
      <c r="Q117" s="37">
        <v>0</v>
      </c>
      <c r="R117" s="36"/>
      <c r="S117" s="19"/>
      <c r="T117" s="274"/>
      <c r="U117" s="231"/>
      <c r="V117" s="37">
        <v>0</v>
      </c>
      <c r="W117" s="36"/>
      <c r="X117" s="19"/>
      <c r="Y117" s="274"/>
      <c r="Z117" s="231"/>
      <c r="AA117" s="37">
        <v>0</v>
      </c>
      <c r="AB117" s="36"/>
      <c r="AC117" s="19"/>
      <c r="AD117" s="274"/>
      <c r="AE117" s="231"/>
      <c r="AF117" s="37">
        <v>0</v>
      </c>
      <c r="AG117" s="36"/>
      <c r="AH117" s="19"/>
      <c r="AI117" s="274"/>
      <c r="AJ117" s="231"/>
      <c r="AK117" s="37">
        <v>0</v>
      </c>
      <c r="AL117" s="36"/>
      <c r="AM117" s="19"/>
      <c r="AN117" s="274"/>
      <c r="AO117" s="231"/>
      <c r="AP117" s="37">
        <v>0</v>
      </c>
      <c r="AQ117" s="36"/>
      <c r="AR117" s="19"/>
      <c r="AS117" s="274"/>
      <c r="AT117" s="231"/>
      <c r="AU117" s="37">
        <v>0</v>
      </c>
      <c r="AV117" s="36"/>
      <c r="AW117" s="19"/>
      <c r="AX117" s="274"/>
      <c r="AY117" s="231"/>
      <c r="AZ117" s="37">
        <v>0</v>
      </c>
      <c r="BA117" s="36"/>
      <c r="BB117" s="19"/>
      <c r="BC117" s="274"/>
      <c r="BD117" s="231"/>
      <c r="BE117" s="37">
        <v>0</v>
      </c>
      <c r="BF117" s="36"/>
      <c r="BG117" s="19"/>
      <c r="BH117" s="274"/>
      <c r="BI117" s="231"/>
      <c r="BJ117" s="37">
        <v>0</v>
      </c>
      <c r="BK117" s="36"/>
      <c r="BL117" s="19"/>
      <c r="BM117" s="274"/>
      <c r="BN117" s="231"/>
      <c r="BO117" s="37">
        <v>0</v>
      </c>
      <c r="BP117" s="36"/>
      <c r="BQ117" s="19"/>
      <c r="BR117" s="274"/>
      <c r="BS117" s="231"/>
      <c r="BT117" s="37">
        <f>SUM(L117:BO117)</f>
        <v>0</v>
      </c>
      <c r="BU117" s="36"/>
      <c r="BV117" s="19"/>
      <c r="BW117" s="274"/>
      <c r="BX117" s="231"/>
      <c r="BY117" s="37">
        <v>11122195</v>
      </c>
      <c r="BZ117" s="36"/>
      <c r="CA117" s="19"/>
      <c r="CB117" s="274"/>
      <c r="CC117" s="231"/>
      <c r="CD117" s="37">
        <v>0</v>
      </c>
      <c r="CE117" s="36"/>
      <c r="CF117" s="19"/>
      <c r="CG117" s="274"/>
      <c r="CH117" s="231"/>
      <c r="CI117" s="37">
        <v>11122195</v>
      </c>
      <c r="CJ117" s="36"/>
      <c r="CK117" s="19"/>
      <c r="CL117" s="274"/>
      <c r="CM117" s="231"/>
      <c r="CN117" s="37">
        <v>0</v>
      </c>
      <c r="CO117" s="36"/>
      <c r="CP117" s="19"/>
      <c r="CQ117" s="274"/>
      <c r="CR117" s="231"/>
      <c r="CS117" s="37">
        <v>0</v>
      </c>
      <c r="CT117" s="36"/>
      <c r="CU117" s="19"/>
      <c r="CV117" s="274"/>
      <c r="CW117" s="231"/>
      <c r="CX117" s="37">
        <v>0</v>
      </c>
      <c r="CY117" s="36"/>
      <c r="CZ117" s="19"/>
      <c r="DA117" s="274"/>
      <c r="DB117" s="231"/>
      <c r="DC117" s="37">
        <v>0</v>
      </c>
      <c r="DD117" s="36"/>
      <c r="DE117" s="19"/>
      <c r="DF117" s="274"/>
      <c r="DG117" s="231"/>
      <c r="DH117" s="37">
        <v>0</v>
      </c>
      <c r="DI117" s="36"/>
      <c r="DJ117" s="19"/>
      <c r="DK117" s="274"/>
      <c r="DL117" s="231"/>
      <c r="DM117" s="37">
        <v>0</v>
      </c>
      <c r="DN117" s="36"/>
      <c r="DO117" s="19"/>
      <c r="DP117" s="274"/>
      <c r="DQ117" s="231"/>
      <c r="DR117" s="37">
        <v>0</v>
      </c>
      <c r="DS117" s="36"/>
      <c r="DT117" s="19"/>
      <c r="DU117" s="274"/>
      <c r="DV117" s="231"/>
      <c r="DW117" s="37">
        <v>0</v>
      </c>
      <c r="DX117" s="36"/>
      <c r="DY117" s="19"/>
      <c r="DZ117" s="274"/>
      <c r="EA117" s="231"/>
      <c r="EB117" s="37">
        <v>0</v>
      </c>
      <c r="EC117" s="36"/>
      <c r="ED117" s="19"/>
      <c r="EE117" s="274"/>
      <c r="EF117" s="231"/>
      <c r="EG117" s="37">
        <v>0</v>
      </c>
      <c r="EH117" s="36"/>
      <c r="EI117" s="19"/>
      <c r="EJ117" s="274"/>
      <c r="EK117" s="231"/>
      <c r="EL117" s="37">
        <f>SUM(CD117:EG117)</f>
        <v>11122195</v>
      </c>
      <c r="EM117" s="36"/>
      <c r="EN117" s="19"/>
      <c r="EO117" s="244"/>
    </row>
    <row r="118" spans="4:145" x14ac:dyDescent="0.2">
      <c r="D118" s="244"/>
      <c r="E118" s="82"/>
      <c r="G118" s="19"/>
      <c r="H118" s="19"/>
      <c r="I118" s="19"/>
      <c r="J118" s="274"/>
      <c r="K118" s="19"/>
      <c r="L118" s="19"/>
      <c r="M118" s="19"/>
      <c r="N118" s="19"/>
      <c r="O118" s="274"/>
      <c r="P118" s="19"/>
      <c r="Q118" s="19"/>
      <c r="R118" s="19"/>
      <c r="S118" s="19"/>
      <c r="T118" s="274"/>
      <c r="U118" s="19"/>
      <c r="V118" s="19"/>
      <c r="W118" s="19"/>
      <c r="X118" s="19"/>
      <c r="Y118" s="274"/>
      <c r="Z118" s="19"/>
      <c r="AA118" s="19"/>
      <c r="AB118" s="19"/>
      <c r="AC118" s="19"/>
      <c r="AD118" s="274"/>
      <c r="AE118" s="19"/>
      <c r="AF118" s="19"/>
      <c r="AG118" s="19"/>
      <c r="AH118" s="19"/>
      <c r="AI118" s="274"/>
      <c r="AJ118" s="19"/>
      <c r="AK118" s="19"/>
      <c r="AL118" s="19"/>
      <c r="AM118" s="19"/>
      <c r="AN118" s="274"/>
      <c r="AO118" s="19"/>
      <c r="AP118" s="19"/>
      <c r="AQ118" s="19"/>
      <c r="AR118" s="19"/>
      <c r="AS118" s="274"/>
      <c r="AT118" s="19"/>
      <c r="AU118" s="19"/>
      <c r="AV118" s="19"/>
      <c r="AW118" s="19"/>
      <c r="AX118" s="274"/>
      <c r="AY118" s="19"/>
      <c r="AZ118" s="19"/>
      <c r="BA118" s="19"/>
      <c r="BB118" s="19"/>
      <c r="BC118" s="274"/>
      <c r="BD118" s="19"/>
      <c r="BE118" s="19"/>
      <c r="BF118" s="19"/>
      <c r="BG118" s="19"/>
      <c r="BH118" s="274"/>
      <c r="BI118" s="19"/>
      <c r="BJ118" s="19"/>
      <c r="BK118" s="19"/>
      <c r="BL118" s="19"/>
      <c r="BM118" s="274"/>
      <c r="BN118" s="19"/>
      <c r="BO118" s="19"/>
      <c r="BP118" s="19"/>
      <c r="BQ118" s="19"/>
      <c r="BR118" s="274"/>
      <c r="BS118" s="19"/>
      <c r="BT118" s="19"/>
      <c r="BU118" s="19"/>
      <c r="BV118" s="19"/>
      <c r="BW118" s="274"/>
      <c r="BX118" s="19"/>
      <c r="BY118" s="19"/>
      <c r="BZ118" s="19"/>
      <c r="CA118" s="19"/>
      <c r="CB118" s="274"/>
      <c r="CC118" s="19"/>
      <c r="CD118" s="19"/>
      <c r="CE118" s="19"/>
      <c r="CF118" s="19"/>
      <c r="CG118" s="274"/>
      <c r="CH118" s="19"/>
      <c r="CI118" s="19"/>
      <c r="CJ118" s="19"/>
      <c r="CK118" s="19"/>
      <c r="CL118" s="274"/>
      <c r="CM118" s="19"/>
      <c r="CN118" s="19"/>
      <c r="CO118" s="19"/>
      <c r="CP118" s="19"/>
      <c r="CQ118" s="274"/>
      <c r="CR118" s="19"/>
      <c r="CS118" s="19"/>
      <c r="CT118" s="19"/>
      <c r="CU118" s="19"/>
      <c r="CV118" s="274"/>
      <c r="CW118" s="19"/>
      <c r="CX118" s="19"/>
      <c r="CY118" s="19"/>
      <c r="CZ118" s="19"/>
      <c r="DA118" s="274"/>
      <c r="DB118" s="19"/>
      <c r="DC118" s="19"/>
      <c r="DD118" s="19"/>
      <c r="DE118" s="19"/>
      <c r="DF118" s="274"/>
      <c r="DG118" s="19"/>
      <c r="DH118" s="19"/>
      <c r="DI118" s="19"/>
      <c r="DJ118" s="19"/>
      <c r="DK118" s="274"/>
      <c r="DL118" s="19"/>
      <c r="DM118" s="19"/>
      <c r="DN118" s="19"/>
      <c r="DO118" s="19"/>
      <c r="DP118" s="274"/>
      <c r="DQ118" s="19"/>
      <c r="DR118" s="19"/>
      <c r="DS118" s="19"/>
      <c r="DT118" s="19"/>
      <c r="DU118" s="274"/>
      <c r="DV118" s="19"/>
      <c r="DW118" s="19"/>
      <c r="DX118" s="19"/>
      <c r="DY118" s="19"/>
      <c r="DZ118" s="274"/>
      <c r="EA118" s="19"/>
      <c r="EB118" s="19"/>
      <c r="EC118" s="19"/>
      <c r="ED118" s="19"/>
      <c r="EE118" s="274"/>
      <c r="EF118" s="19"/>
      <c r="EG118" s="19"/>
      <c r="EH118" s="19"/>
      <c r="EI118" s="19"/>
      <c r="EJ118" s="274"/>
      <c r="EK118" s="19"/>
      <c r="EL118" s="19"/>
      <c r="EM118" s="19"/>
      <c r="EN118" s="19"/>
      <c r="EO118" s="244"/>
    </row>
    <row r="119" spans="4:145" x14ac:dyDescent="0.2">
      <c r="D119" s="244" t="s">
        <v>470</v>
      </c>
      <c r="E119" s="82"/>
      <c r="G119" s="19">
        <f>SUM(G120:G121)</f>
        <v>0</v>
      </c>
      <c r="H119" s="19"/>
      <c r="I119" s="19"/>
      <c r="J119" s="274"/>
      <c r="K119" s="19"/>
      <c r="L119" s="19">
        <f>SUM(L120:L121)</f>
        <v>0</v>
      </c>
      <c r="M119" s="19"/>
      <c r="N119" s="19"/>
      <c r="O119" s="274"/>
      <c r="P119" s="19"/>
      <c r="Q119" s="19">
        <f>SUM(Q120:Q121)</f>
        <v>0</v>
      </c>
      <c r="R119" s="19"/>
      <c r="S119" s="19"/>
      <c r="T119" s="274"/>
      <c r="U119" s="19"/>
      <c r="V119" s="19">
        <f>SUM(V120:V121)</f>
        <v>0</v>
      </c>
      <c r="W119" s="19"/>
      <c r="X119" s="19"/>
      <c r="Y119" s="274"/>
      <c r="Z119" s="19"/>
      <c r="AA119" s="19">
        <f>SUM(AA120:AA121)</f>
        <v>0</v>
      </c>
      <c r="AB119" s="19"/>
      <c r="AC119" s="19"/>
      <c r="AD119" s="274"/>
      <c r="AE119" s="19"/>
      <c r="AF119" s="19">
        <f>SUM(AF120:AF121)</f>
        <v>0</v>
      </c>
      <c r="AG119" s="19"/>
      <c r="AH119" s="19"/>
      <c r="AI119" s="274"/>
      <c r="AJ119" s="19"/>
      <c r="AK119" s="19">
        <f>SUM(AK120:AK121)</f>
        <v>0</v>
      </c>
      <c r="AL119" s="19"/>
      <c r="AM119" s="19"/>
      <c r="AN119" s="274"/>
      <c r="AO119" s="19"/>
      <c r="AP119" s="19">
        <f>SUM(AP120:AP121)</f>
        <v>0</v>
      </c>
      <c r="AQ119" s="19"/>
      <c r="AR119" s="19"/>
      <c r="AS119" s="274"/>
      <c r="AT119" s="19"/>
      <c r="AU119" s="19">
        <f>SUM(AU120:AU121)</f>
        <v>0</v>
      </c>
      <c r="AV119" s="19"/>
      <c r="AW119" s="19"/>
      <c r="AX119" s="274"/>
      <c r="AY119" s="19"/>
      <c r="AZ119" s="19">
        <f>SUM(AZ120:AZ121)</f>
        <v>0</v>
      </c>
      <c r="BA119" s="19"/>
      <c r="BB119" s="19"/>
      <c r="BC119" s="274"/>
      <c r="BD119" s="19"/>
      <c r="BE119" s="19">
        <f>SUM(BE120:BE121)</f>
        <v>0</v>
      </c>
      <c r="BF119" s="19"/>
      <c r="BG119" s="19"/>
      <c r="BH119" s="274"/>
      <c r="BI119" s="19"/>
      <c r="BJ119" s="19">
        <f>SUM(BJ120:BJ121)</f>
        <v>0</v>
      </c>
      <c r="BK119" s="19"/>
      <c r="BL119" s="19"/>
      <c r="BM119" s="274"/>
      <c r="BN119" s="19"/>
      <c r="BO119" s="19">
        <f>SUM(BO120:BO121)</f>
        <v>0</v>
      </c>
      <c r="BP119" s="19"/>
      <c r="BQ119" s="19"/>
      <c r="BR119" s="274"/>
      <c r="BS119" s="19"/>
      <c r="BT119" s="19">
        <f>SUM(BT120:BT121)</f>
        <v>0</v>
      </c>
      <c r="BU119" s="19"/>
      <c r="BV119" s="19"/>
      <c r="BW119" s="274"/>
      <c r="BX119" s="19"/>
      <c r="BY119" s="19">
        <f>SUM(BY120:BY121)</f>
        <v>24692267</v>
      </c>
      <c r="BZ119" s="19"/>
      <c r="CA119" s="19"/>
      <c r="CB119" s="274"/>
      <c r="CC119" s="19"/>
      <c r="CD119" s="19">
        <f>SUM(CD120:CD121)</f>
        <v>0</v>
      </c>
      <c r="CE119" s="19"/>
      <c r="CF119" s="19"/>
      <c r="CG119" s="274"/>
      <c r="CH119" s="19"/>
      <c r="CI119" s="19">
        <f>SUM(CI120:CI121)</f>
        <v>0</v>
      </c>
      <c r="CJ119" s="19"/>
      <c r="CK119" s="19"/>
      <c r="CL119" s="274"/>
      <c r="CM119" s="19"/>
      <c r="CN119" s="19">
        <f>SUM(CN120:CN121)</f>
        <v>0</v>
      </c>
      <c r="CO119" s="19"/>
      <c r="CP119" s="19"/>
      <c r="CQ119" s="274"/>
      <c r="CR119" s="19"/>
      <c r="CS119" s="19">
        <f>SUM(CS120:CS121)</f>
        <v>0</v>
      </c>
      <c r="CT119" s="19"/>
      <c r="CU119" s="19"/>
      <c r="CV119" s="274"/>
      <c r="CW119" s="19"/>
      <c r="CX119" s="19">
        <f>SUM(CX120:CX121)</f>
        <v>0</v>
      </c>
      <c r="CY119" s="19"/>
      <c r="CZ119" s="19"/>
      <c r="DA119" s="274"/>
      <c r="DB119" s="19"/>
      <c r="DC119" s="19">
        <f>SUM(DC120:DC121)</f>
        <v>0</v>
      </c>
      <c r="DD119" s="19"/>
      <c r="DE119" s="19"/>
      <c r="DF119" s="274"/>
      <c r="DG119" s="19"/>
      <c r="DH119" s="19">
        <f>SUM(DH120:DH121)</f>
        <v>0</v>
      </c>
      <c r="DI119" s="19"/>
      <c r="DJ119" s="19"/>
      <c r="DK119" s="274"/>
      <c r="DL119" s="19"/>
      <c r="DM119" s="19">
        <f>SUM(DM120:DM121)</f>
        <v>0</v>
      </c>
      <c r="DN119" s="19"/>
      <c r="DO119" s="19"/>
      <c r="DP119" s="274"/>
      <c r="DQ119" s="19"/>
      <c r="DR119" s="19">
        <f>SUM(DR120:DR121)</f>
        <v>0</v>
      </c>
      <c r="DS119" s="19"/>
      <c r="DT119" s="19"/>
      <c r="DU119" s="274"/>
      <c r="DV119" s="19"/>
      <c r="DW119" s="19">
        <f>SUM(DW120:DW121)</f>
        <v>0</v>
      </c>
      <c r="DX119" s="19"/>
      <c r="DY119" s="19"/>
      <c r="DZ119" s="274"/>
      <c r="EA119" s="19"/>
      <c r="EB119" s="19">
        <f>SUM(EB120:EB121)</f>
        <v>0</v>
      </c>
      <c r="EC119" s="19"/>
      <c r="ED119" s="19"/>
      <c r="EE119" s="274"/>
      <c r="EF119" s="19"/>
      <c r="EG119" s="19">
        <f>SUM(EG120:EG121)</f>
        <v>24692267</v>
      </c>
      <c r="EH119" s="19"/>
      <c r="EI119" s="19"/>
      <c r="EJ119" s="274"/>
      <c r="EK119" s="19"/>
      <c r="EL119" s="19">
        <f>SUM(EL120:EL121)</f>
        <v>24692267</v>
      </c>
      <c r="EM119" s="19"/>
      <c r="EN119" s="19"/>
      <c r="EO119" s="244"/>
    </row>
    <row r="120" spans="4:145" x14ac:dyDescent="0.2">
      <c r="D120" s="244" t="s">
        <v>466</v>
      </c>
      <c r="E120" s="82"/>
      <c r="F120" s="112"/>
      <c r="G120" s="374">
        <v>0</v>
      </c>
      <c r="H120" s="475"/>
      <c r="I120" s="19"/>
      <c r="J120" s="274"/>
      <c r="K120" s="173"/>
      <c r="L120" s="374">
        <v>0</v>
      </c>
      <c r="M120" s="475"/>
      <c r="N120" s="19"/>
      <c r="O120" s="274"/>
      <c r="P120" s="173"/>
      <c r="Q120" s="374">
        <v>0</v>
      </c>
      <c r="R120" s="475"/>
      <c r="S120" s="19"/>
      <c r="T120" s="274"/>
      <c r="U120" s="173"/>
      <c r="V120" s="374">
        <v>0</v>
      </c>
      <c r="W120" s="475"/>
      <c r="X120" s="19"/>
      <c r="Y120" s="274"/>
      <c r="Z120" s="173"/>
      <c r="AA120" s="374">
        <v>0</v>
      </c>
      <c r="AB120" s="475"/>
      <c r="AC120" s="19"/>
      <c r="AD120" s="274"/>
      <c r="AE120" s="173"/>
      <c r="AF120" s="374">
        <v>0</v>
      </c>
      <c r="AG120" s="475"/>
      <c r="AH120" s="19"/>
      <c r="AI120" s="274"/>
      <c r="AJ120" s="173"/>
      <c r="AK120" s="374">
        <v>0</v>
      </c>
      <c r="AL120" s="475"/>
      <c r="AM120" s="19"/>
      <c r="AN120" s="274"/>
      <c r="AO120" s="173"/>
      <c r="AP120" s="374">
        <v>0</v>
      </c>
      <c r="AQ120" s="475"/>
      <c r="AR120" s="19"/>
      <c r="AS120" s="274"/>
      <c r="AT120" s="173"/>
      <c r="AU120" s="374">
        <v>0</v>
      </c>
      <c r="AV120" s="475"/>
      <c r="AW120" s="19"/>
      <c r="AX120" s="274"/>
      <c r="AY120" s="173"/>
      <c r="AZ120" s="374">
        <v>0</v>
      </c>
      <c r="BA120" s="475"/>
      <c r="BB120" s="19"/>
      <c r="BC120" s="274"/>
      <c r="BD120" s="173"/>
      <c r="BE120" s="374">
        <v>0</v>
      </c>
      <c r="BF120" s="475"/>
      <c r="BG120" s="19"/>
      <c r="BH120" s="274"/>
      <c r="BI120" s="173"/>
      <c r="BJ120" s="374">
        <v>0</v>
      </c>
      <c r="BK120" s="475"/>
      <c r="BL120" s="19"/>
      <c r="BM120" s="274"/>
      <c r="BN120" s="173"/>
      <c r="BO120" s="374">
        <v>0</v>
      </c>
      <c r="BP120" s="475"/>
      <c r="BQ120" s="19"/>
      <c r="BR120" s="274"/>
      <c r="BS120" s="173"/>
      <c r="BT120" s="374">
        <f>SUM(L120:BO120)</f>
        <v>0</v>
      </c>
      <c r="BU120" s="475"/>
      <c r="BV120" s="19"/>
      <c r="BW120" s="274"/>
      <c r="BX120" s="173"/>
      <c r="BY120" s="374">
        <v>12046193</v>
      </c>
      <c r="BZ120" s="475"/>
      <c r="CA120" s="19"/>
      <c r="CB120" s="274"/>
      <c r="CC120" s="173"/>
      <c r="CD120" s="374">
        <v>0</v>
      </c>
      <c r="CE120" s="475"/>
      <c r="CF120" s="19"/>
      <c r="CG120" s="274"/>
      <c r="CH120" s="173"/>
      <c r="CI120" s="374">
        <v>0</v>
      </c>
      <c r="CJ120" s="475"/>
      <c r="CK120" s="19"/>
      <c r="CL120" s="274"/>
      <c r="CM120" s="173"/>
      <c r="CN120" s="374">
        <v>0</v>
      </c>
      <c r="CO120" s="475"/>
      <c r="CP120" s="19"/>
      <c r="CQ120" s="274"/>
      <c r="CR120" s="173"/>
      <c r="CS120" s="374">
        <v>0</v>
      </c>
      <c r="CT120" s="475"/>
      <c r="CU120" s="19"/>
      <c r="CV120" s="274"/>
      <c r="CW120" s="173"/>
      <c r="CX120" s="374">
        <v>0</v>
      </c>
      <c r="CY120" s="475"/>
      <c r="CZ120" s="19"/>
      <c r="DA120" s="274"/>
      <c r="DB120" s="173"/>
      <c r="DC120" s="374">
        <v>0</v>
      </c>
      <c r="DD120" s="475"/>
      <c r="DE120" s="19"/>
      <c r="DF120" s="274"/>
      <c r="DG120" s="173"/>
      <c r="DH120" s="374">
        <v>0</v>
      </c>
      <c r="DI120" s="475"/>
      <c r="DJ120" s="19"/>
      <c r="DK120" s="274"/>
      <c r="DL120" s="173"/>
      <c r="DM120" s="374">
        <v>0</v>
      </c>
      <c r="DN120" s="475"/>
      <c r="DO120" s="19"/>
      <c r="DP120" s="274"/>
      <c r="DQ120" s="173"/>
      <c r="DR120" s="374">
        <v>0</v>
      </c>
      <c r="DS120" s="475"/>
      <c r="DT120" s="19"/>
      <c r="DU120" s="274"/>
      <c r="DV120" s="173"/>
      <c r="DW120" s="374">
        <v>0</v>
      </c>
      <c r="DX120" s="475"/>
      <c r="DY120" s="19"/>
      <c r="DZ120" s="274"/>
      <c r="EA120" s="173"/>
      <c r="EB120" s="374">
        <v>0</v>
      </c>
      <c r="EC120" s="475"/>
      <c r="ED120" s="19"/>
      <c r="EE120" s="274"/>
      <c r="EF120" s="173"/>
      <c r="EG120" s="374">
        <v>12046193</v>
      </c>
      <c r="EH120" s="475"/>
      <c r="EI120" s="19"/>
      <c r="EJ120" s="274"/>
      <c r="EK120" s="173"/>
      <c r="EL120" s="374">
        <f>SUM(CD120:EG120)</f>
        <v>12046193</v>
      </c>
      <c r="EM120" s="475"/>
      <c r="EN120" s="19"/>
      <c r="EO120" s="244"/>
    </row>
    <row r="121" spans="4:145" x14ac:dyDescent="0.2">
      <c r="D121" s="244" t="s">
        <v>467</v>
      </c>
      <c r="E121" s="82"/>
      <c r="F121" s="276"/>
      <c r="G121" s="37">
        <v>0</v>
      </c>
      <c r="H121" s="36"/>
      <c r="I121" s="19"/>
      <c r="J121" s="274"/>
      <c r="K121" s="231"/>
      <c r="L121" s="37">
        <v>0</v>
      </c>
      <c r="M121" s="36"/>
      <c r="N121" s="19"/>
      <c r="O121" s="274"/>
      <c r="P121" s="231"/>
      <c r="Q121" s="37">
        <v>0</v>
      </c>
      <c r="R121" s="36"/>
      <c r="S121" s="19"/>
      <c r="T121" s="274"/>
      <c r="U121" s="231"/>
      <c r="V121" s="37">
        <v>0</v>
      </c>
      <c r="W121" s="36"/>
      <c r="X121" s="19"/>
      <c r="Y121" s="274"/>
      <c r="Z121" s="231"/>
      <c r="AA121" s="37">
        <v>0</v>
      </c>
      <c r="AB121" s="36"/>
      <c r="AC121" s="19"/>
      <c r="AD121" s="274"/>
      <c r="AE121" s="231"/>
      <c r="AF121" s="37">
        <v>0</v>
      </c>
      <c r="AG121" s="36"/>
      <c r="AH121" s="19"/>
      <c r="AI121" s="274"/>
      <c r="AJ121" s="231"/>
      <c r="AK121" s="37">
        <v>0</v>
      </c>
      <c r="AL121" s="36"/>
      <c r="AM121" s="19"/>
      <c r="AN121" s="274"/>
      <c r="AO121" s="231"/>
      <c r="AP121" s="37">
        <v>0</v>
      </c>
      <c r="AQ121" s="36"/>
      <c r="AR121" s="19"/>
      <c r="AS121" s="274"/>
      <c r="AT121" s="231"/>
      <c r="AU121" s="37">
        <v>0</v>
      </c>
      <c r="AV121" s="36"/>
      <c r="AW121" s="19"/>
      <c r="AX121" s="274"/>
      <c r="AY121" s="231"/>
      <c r="AZ121" s="37">
        <v>0</v>
      </c>
      <c r="BA121" s="36"/>
      <c r="BB121" s="19"/>
      <c r="BC121" s="274"/>
      <c r="BD121" s="231"/>
      <c r="BE121" s="37">
        <v>0</v>
      </c>
      <c r="BF121" s="36"/>
      <c r="BG121" s="19"/>
      <c r="BH121" s="274"/>
      <c r="BI121" s="231"/>
      <c r="BJ121" s="37">
        <v>0</v>
      </c>
      <c r="BK121" s="36"/>
      <c r="BL121" s="19"/>
      <c r="BM121" s="274"/>
      <c r="BN121" s="231"/>
      <c r="BO121" s="37">
        <v>0</v>
      </c>
      <c r="BP121" s="36"/>
      <c r="BQ121" s="19"/>
      <c r="BR121" s="274"/>
      <c r="BS121" s="231"/>
      <c r="BT121" s="37">
        <f>SUM(L121:BO121)</f>
        <v>0</v>
      </c>
      <c r="BU121" s="36"/>
      <c r="BV121" s="19"/>
      <c r="BW121" s="274"/>
      <c r="BX121" s="231"/>
      <c r="BY121" s="37">
        <v>12646074</v>
      </c>
      <c r="BZ121" s="36"/>
      <c r="CA121" s="19"/>
      <c r="CB121" s="274"/>
      <c r="CC121" s="231"/>
      <c r="CD121" s="37">
        <v>0</v>
      </c>
      <c r="CE121" s="36"/>
      <c r="CF121" s="19"/>
      <c r="CG121" s="274"/>
      <c r="CH121" s="231"/>
      <c r="CI121" s="37">
        <v>0</v>
      </c>
      <c r="CJ121" s="36"/>
      <c r="CK121" s="19"/>
      <c r="CL121" s="274"/>
      <c r="CM121" s="231"/>
      <c r="CN121" s="37">
        <v>0</v>
      </c>
      <c r="CO121" s="36"/>
      <c r="CP121" s="19"/>
      <c r="CQ121" s="274"/>
      <c r="CR121" s="231"/>
      <c r="CS121" s="37">
        <v>0</v>
      </c>
      <c r="CT121" s="36"/>
      <c r="CU121" s="19"/>
      <c r="CV121" s="274"/>
      <c r="CW121" s="231"/>
      <c r="CX121" s="37">
        <v>0</v>
      </c>
      <c r="CY121" s="36"/>
      <c r="CZ121" s="19"/>
      <c r="DA121" s="274"/>
      <c r="DB121" s="231"/>
      <c r="DC121" s="37">
        <v>0</v>
      </c>
      <c r="DD121" s="36"/>
      <c r="DE121" s="19"/>
      <c r="DF121" s="274"/>
      <c r="DG121" s="231"/>
      <c r="DH121" s="37">
        <v>0</v>
      </c>
      <c r="DI121" s="36"/>
      <c r="DJ121" s="19"/>
      <c r="DK121" s="274"/>
      <c r="DL121" s="231"/>
      <c r="DM121" s="37">
        <v>0</v>
      </c>
      <c r="DN121" s="36"/>
      <c r="DO121" s="19"/>
      <c r="DP121" s="274"/>
      <c r="DQ121" s="231"/>
      <c r="DR121" s="37">
        <v>0</v>
      </c>
      <c r="DS121" s="36"/>
      <c r="DT121" s="19"/>
      <c r="DU121" s="274"/>
      <c r="DV121" s="231"/>
      <c r="DW121" s="37">
        <v>0</v>
      </c>
      <c r="DX121" s="36"/>
      <c r="DY121" s="19"/>
      <c r="DZ121" s="274"/>
      <c r="EA121" s="231"/>
      <c r="EB121" s="37">
        <v>0</v>
      </c>
      <c r="EC121" s="36"/>
      <c r="ED121" s="19"/>
      <c r="EE121" s="274"/>
      <c r="EF121" s="231"/>
      <c r="EG121" s="37">
        <v>12646074</v>
      </c>
      <c r="EH121" s="36"/>
      <c r="EI121" s="19"/>
      <c r="EJ121" s="274"/>
      <c r="EK121" s="231"/>
      <c r="EL121" s="37">
        <f>SUM(CD121:EG121)</f>
        <v>12646074</v>
      </c>
      <c r="EM121" s="36"/>
      <c r="EN121" s="19"/>
      <c r="EO121" s="244"/>
    </row>
    <row r="122" spans="4:145" hidden="1" x14ac:dyDescent="0.2">
      <c r="D122" s="244"/>
      <c r="E122" s="82"/>
      <c r="G122" s="19"/>
      <c r="H122" s="19"/>
      <c r="I122" s="19"/>
      <c r="J122" s="274"/>
      <c r="K122" s="19"/>
      <c r="L122" s="19"/>
      <c r="M122" s="19"/>
      <c r="N122" s="19"/>
      <c r="O122" s="274"/>
      <c r="P122" s="19"/>
      <c r="Q122" s="19"/>
      <c r="R122" s="19"/>
      <c r="S122" s="19"/>
      <c r="T122" s="274"/>
      <c r="U122" s="19"/>
      <c r="V122" s="19"/>
      <c r="W122" s="19"/>
      <c r="X122" s="19"/>
      <c r="Y122" s="274"/>
      <c r="Z122" s="19"/>
      <c r="AA122" s="19"/>
      <c r="AB122" s="19"/>
      <c r="AC122" s="19"/>
      <c r="AD122" s="274"/>
      <c r="AE122" s="19"/>
      <c r="AF122" s="19"/>
      <c r="AG122" s="19"/>
      <c r="AH122" s="19"/>
      <c r="AI122" s="274"/>
      <c r="AJ122" s="19"/>
      <c r="AK122" s="19"/>
      <c r="AL122" s="19"/>
      <c r="AM122" s="19"/>
      <c r="AN122" s="274"/>
      <c r="AO122" s="19"/>
      <c r="AP122" s="19"/>
      <c r="AQ122" s="19"/>
      <c r="AR122" s="19"/>
      <c r="AS122" s="274"/>
      <c r="AT122" s="19"/>
      <c r="AU122" s="19"/>
      <c r="AV122" s="19"/>
      <c r="AW122" s="19"/>
      <c r="AX122" s="274"/>
      <c r="AY122" s="19"/>
      <c r="AZ122" s="19"/>
      <c r="BA122" s="19"/>
      <c r="BB122" s="19"/>
      <c r="BC122" s="274"/>
      <c r="BD122" s="19"/>
      <c r="BE122" s="19"/>
      <c r="BF122" s="19"/>
      <c r="BG122" s="19"/>
      <c r="BH122" s="274"/>
      <c r="BI122" s="19"/>
      <c r="BJ122" s="19"/>
      <c r="BK122" s="19"/>
      <c r="BL122" s="19"/>
      <c r="BM122" s="274"/>
      <c r="BN122" s="19"/>
      <c r="BO122" s="19"/>
      <c r="BP122" s="19"/>
      <c r="BQ122" s="19"/>
      <c r="BR122" s="274"/>
      <c r="BS122" s="19"/>
      <c r="BT122" s="19"/>
      <c r="BU122" s="19"/>
      <c r="BV122" s="19"/>
      <c r="BW122" s="274"/>
      <c r="BX122" s="19"/>
      <c r="BY122" s="19"/>
      <c r="BZ122" s="19"/>
      <c r="CA122" s="19"/>
      <c r="CB122" s="274"/>
      <c r="CC122" s="19"/>
      <c r="CD122" s="19"/>
      <c r="CE122" s="19"/>
      <c r="CF122" s="19"/>
      <c r="CG122" s="274"/>
      <c r="CH122" s="19"/>
      <c r="CI122" s="19"/>
      <c r="CJ122" s="19"/>
      <c r="CK122" s="19"/>
      <c r="CL122" s="274"/>
      <c r="CM122" s="19"/>
      <c r="CN122" s="19"/>
      <c r="CO122" s="19"/>
      <c r="CP122" s="19"/>
      <c r="CQ122" s="274"/>
      <c r="CR122" s="19"/>
      <c r="CS122" s="19"/>
      <c r="CT122" s="19"/>
      <c r="CU122" s="19"/>
      <c r="CV122" s="274"/>
      <c r="CW122" s="19"/>
      <c r="CX122" s="19"/>
      <c r="CY122" s="19"/>
      <c r="CZ122" s="19"/>
      <c r="DA122" s="274"/>
      <c r="DB122" s="19"/>
      <c r="DC122" s="19"/>
      <c r="DD122" s="19"/>
      <c r="DE122" s="19"/>
      <c r="DF122" s="274"/>
      <c r="DG122" s="19"/>
      <c r="DH122" s="19"/>
      <c r="DI122" s="19"/>
      <c r="DJ122" s="19"/>
      <c r="DK122" s="274"/>
      <c r="DL122" s="19"/>
      <c r="DM122" s="19"/>
      <c r="DN122" s="19"/>
      <c r="DO122" s="19"/>
      <c r="DP122" s="274"/>
      <c r="DQ122" s="19"/>
      <c r="DR122" s="19"/>
      <c r="DS122" s="19"/>
      <c r="DT122" s="19"/>
      <c r="DU122" s="274"/>
      <c r="DV122" s="19"/>
      <c r="DW122" s="19"/>
      <c r="DX122" s="19"/>
      <c r="DY122" s="19"/>
      <c r="DZ122" s="274"/>
      <c r="EA122" s="19"/>
      <c r="EB122" s="19"/>
      <c r="EC122" s="19"/>
      <c r="ED122" s="19"/>
      <c r="EE122" s="274"/>
      <c r="EF122" s="19"/>
      <c r="EG122" s="19"/>
      <c r="EH122" s="19"/>
      <c r="EI122" s="19"/>
      <c r="EJ122" s="274"/>
      <c r="EK122" s="19"/>
      <c r="EL122" s="19"/>
      <c r="EM122" s="19"/>
      <c r="EN122" s="19"/>
      <c r="EO122" s="244"/>
    </row>
    <row r="123" spans="4:145" hidden="1" x14ac:dyDescent="0.2">
      <c r="D123" s="244" t="s">
        <v>471</v>
      </c>
      <c r="E123" s="82"/>
      <c r="G123" s="19">
        <v>0</v>
      </c>
      <c r="H123" s="19"/>
      <c r="I123" s="19"/>
      <c r="J123" s="274"/>
      <c r="K123" s="19"/>
      <c r="L123" s="19">
        <f>SUM(L124:L125)</f>
        <v>0</v>
      </c>
      <c r="M123" s="19"/>
      <c r="N123" s="19"/>
      <c r="O123" s="274"/>
      <c r="P123" s="19"/>
      <c r="Q123" s="19">
        <f>SUM(Q124:Q125)</f>
        <v>0</v>
      </c>
      <c r="R123" s="19"/>
      <c r="S123" s="19"/>
      <c r="T123" s="274"/>
      <c r="U123" s="19"/>
      <c r="V123" s="19">
        <f>SUM(V124:V125)</f>
        <v>0</v>
      </c>
      <c r="W123" s="19"/>
      <c r="X123" s="19"/>
      <c r="Y123" s="274"/>
      <c r="Z123" s="19"/>
      <c r="AA123" s="19">
        <f>SUM(AA124:AA125)</f>
        <v>0</v>
      </c>
      <c r="AB123" s="19"/>
      <c r="AC123" s="19"/>
      <c r="AD123" s="274"/>
      <c r="AE123" s="19"/>
      <c r="AF123" s="19">
        <f>SUM(AF124:AF125)</f>
        <v>0</v>
      </c>
      <c r="AG123" s="19"/>
      <c r="AH123" s="19"/>
      <c r="AI123" s="274"/>
      <c r="AJ123" s="19"/>
      <c r="AK123" s="19">
        <f>SUM(AK124:AK125)</f>
        <v>0</v>
      </c>
      <c r="AL123" s="19"/>
      <c r="AM123" s="19"/>
      <c r="AN123" s="274"/>
      <c r="AO123" s="19"/>
      <c r="AP123" s="19">
        <f>SUM(AP124:AP125)</f>
        <v>0</v>
      </c>
      <c r="AQ123" s="19"/>
      <c r="AR123" s="19"/>
      <c r="AS123" s="274"/>
      <c r="AT123" s="19"/>
      <c r="AU123" s="19">
        <f>SUM(AU124:AU125)</f>
        <v>0</v>
      </c>
      <c r="AV123" s="19"/>
      <c r="AW123" s="19"/>
      <c r="AX123" s="274"/>
      <c r="AY123" s="19"/>
      <c r="AZ123" s="19">
        <f>SUM(AZ124:AZ125)</f>
        <v>0</v>
      </c>
      <c r="BA123" s="19"/>
      <c r="BB123" s="19"/>
      <c r="BC123" s="274"/>
      <c r="BD123" s="19"/>
      <c r="BE123" s="19">
        <f>SUM(BE124:BE125)</f>
        <v>0</v>
      </c>
      <c r="BF123" s="19"/>
      <c r="BG123" s="19"/>
      <c r="BH123" s="274"/>
      <c r="BI123" s="19"/>
      <c r="BJ123" s="19">
        <f>SUM(BJ124:BJ125)</f>
        <v>0</v>
      </c>
      <c r="BK123" s="19"/>
      <c r="BL123" s="19"/>
      <c r="BM123" s="274"/>
      <c r="BN123" s="19"/>
      <c r="BO123" s="19">
        <f>SUM(BO124:BO125)</f>
        <v>0</v>
      </c>
      <c r="BP123" s="19"/>
      <c r="BQ123" s="19"/>
      <c r="BR123" s="274"/>
      <c r="BS123" s="19"/>
      <c r="BT123" s="19">
        <f>SUM(BT124:BT125)</f>
        <v>0</v>
      </c>
      <c r="BU123" s="19"/>
      <c r="BV123" s="19"/>
      <c r="BW123" s="274"/>
      <c r="BX123" s="19"/>
      <c r="BY123" s="19">
        <f>SUM(BY124:BY125)</f>
        <v>0</v>
      </c>
      <c r="BZ123" s="19"/>
      <c r="CA123" s="19"/>
      <c r="CB123" s="274"/>
      <c r="CC123" s="19"/>
      <c r="CD123" s="19">
        <f>SUM(CD124:CD125)</f>
        <v>0</v>
      </c>
      <c r="CE123" s="19"/>
      <c r="CF123" s="19"/>
      <c r="CG123" s="274"/>
      <c r="CH123" s="19"/>
      <c r="CI123" s="19">
        <f>SUM(CI124:CI125)</f>
        <v>0</v>
      </c>
      <c r="CJ123" s="19"/>
      <c r="CK123" s="19"/>
      <c r="CL123" s="274"/>
      <c r="CM123" s="19"/>
      <c r="CN123" s="19">
        <f>SUM(CN124:CN125)</f>
        <v>0</v>
      </c>
      <c r="CO123" s="19"/>
      <c r="CP123" s="19"/>
      <c r="CQ123" s="274"/>
      <c r="CR123" s="19"/>
      <c r="CS123" s="19">
        <f>SUM(CS124:CS125)</f>
        <v>0</v>
      </c>
      <c r="CT123" s="19"/>
      <c r="CU123" s="19"/>
      <c r="CV123" s="274"/>
      <c r="CW123" s="19"/>
      <c r="CX123" s="19">
        <f>SUM(CX124:CX125)</f>
        <v>0</v>
      </c>
      <c r="CY123" s="19"/>
      <c r="CZ123" s="19"/>
      <c r="DA123" s="274"/>
      <c r="DB123" s="19"/>
      <c r="DC123" s="19">
        <f>SUM(DC124:DC125)</f>
        <v>0</v>
      </c>
      <c r="DD123" s="19"/>
      <c r="DE123" s="19"/>
      <c r="DF123" s="274"/>
      <c r="DG123" s="19"/>
      <c r="DH123" s="19">
        <f>SUM(DH124:DH125)</f>
        <v>0</v>
      </c>
      <c r="DI123" s="19"/>
      <c r="DJ123" s="19"/>
      <c r="DK123" s="274"/>
      <c r="DL123" s="19"/>
      <c r="DM123" s="19">
        <f>SUM(DM124:DM125)</f>
        <v>0</v>
      </c>
      <c r="DN123" s="19"/>
      <c r="DO123" s="19"/>
      <c r="DP123" s="274"/>
      <c r="DQ123" s="19"/>
      <c r="DR123" s="19">
        <f>SUM(DR124:DR125)</f>
        <v>0</v>
      </c>
      <c r="DS123" s="19"/>
      <c r="DT123" s="19"/>
      <c r="DU123" s="274"/>
      <c r="DV123" s="19"/>
      <c r="DW123" s="19">
        <f>SUM(DW124:DW125)</f>
        <v>0</v>
      </c>
      <c r="DX123" s="19"/>
      <c r="DY123" s="19"/>
      <c r="DZ123" s="274"/>
      <c r="EA123" s="19"/>
      <c r="EB123" s="19">
        <f>SUM(EB124:EB125)</f>
        <v>0</v>
      </c>
      <c r="EC123" s="19"/>
      <c r="ED123" s="19"/>
      <c r="EE123" s="274"/>
      <c r="EF123" s="19"/>
      <c r="EG123" s="19">
        <f>SUM(EG124:EG125)</f>
        <v>0</v>
      </c>
      <c r="EH123" s="19"/>
      <c r="EI123" s="19"/>
      <c r="EJ123" s="274"/>
      <c r="EK123" s="19"/>
      <c r="EL123" s="19">
        <f>SUM(EL124:EL125)</f>
        <v>0</v>
      </c>
      <c r="EM123" s="19"/>
      <c r="EN123" s="19"/>
      <c r="EO123" s="244"/>
    </row>
    <row r="124" spans="4:145" hidden="1" x14ac:dyDescent="0.2">
      <c r="D124" s="244" t="s">
        <v>466</v>
      </c>
      <c r="E124" s="82"/>
      <c r="F124" s="112"/>
      <c r="G124" s="374">
        <v>0</v>
      </c>
      <c r="H124" s="475"/>
      <c r="I124" s="19"/>
      <c r="J124" s="274"/>
      <c r="K124" s="173"/>
      <c r="L124" s="374">
        <v>0</v>
      </c>
      <c r="M124" s="475"/>
      <c r="N124" s="19"/>
      <c r="O124" s="274"/>
      <c r="P124" s="173"/>
      <c r="Q124" s="374">
        <v>0</v>
      </c>
      <c r="R124" s="475"/>
      <c r="S124" s="19"/>
      <c r="T124" s="274"/>
      <c r="U124" s="173"/>
      <c r="V124" s="374">
        <v>0</v>
      </c>
      <c r="W124" s="475"/>
      <c r="X124" s="19"/>
      <c r="Y124" s="274"/>
      <c r="Z124" s="173"/>
      <c r="AA124" s="374">
        <v>0</v>
      </c>
      <c r="AB124" s="475"/>
      <c r="AC124" s="19"/>
      <c r="AD124" s="274"/>
      <c r="AE124" s="173"/>
      <c r="AF124" s="374">
        <v>0</v>
      </c>
      <c r="AG124" s="475"/>
      <c r="AH124" s="19"/>
      <c r="AI124" s="274"/>
      <c r="AJ124" s="173"/>
      <c r="AK124" s="374">
        <v>0</v>
      </c>
      <c r="AL124" s="475"/>
      <c r="AM124" s="19"/>
      <c r="AN124" s="274"/>
      <c r="AO124" s="173"/>
      <c r="AP124" s="374">
        <v>0</v>
      </c>
      <c r="AQ124" s="475"/>
      <c r="AR124" s="19"/>
      <c r="AS124" s="274"/>
      <c r="AT124" s="173"/>
      <c r="AU124" s="374">
        <v>0</v>
      </c>
      <c r="AV124" s="475"/>
      <c r="AW124" s="19"/>
      <c r="AX124" s="274"/>
      <c r="AY124" s="173"/>
      <c r="AZ124" s="374">
        <v>0</v>
      </c>
      <c r="BA124" s="475"/>
      <c r="BB124" s="19"/>
      <c r="BC124" s="274"/>
      <c r="BD124" s="173"/>
      <c r="BE124" s="374">
        <v>0</v>
      </c>
      <c r="BF124" s="475"/>
      <c r="BG124" s="19"/>
      <c r="BH124" s="274"/>
      <c r="BI124" s="173"/>
      <c r="BJ124" s="374">
        <v>0</v>
      </c>
      <c r="BK124" s="475"/>
      <c r="BL124" s="19"/>
      <c r="BM124" s="274"/>
      <c r="BN124" s="173"/>
      <c r="BO124" s="374">
        <v>0</v>
      </c>
      <c r="BP124" s="475"/>
      <c r="BQ124" s="19"/>
      <c r="BR124" s="274"/>
      <c r="BS124" s="173"/>
      <c r="BT124" s="374">
        <f>SUM(L124:BO124)</f>
        <v>0</v>
      </c>
      <c r="BU124" s="475"/>
      <c r="BV124" s="19"/>
      <c r="BW124" s="274"/>
      <c r="BX124" s="173"/>
      <c r="BY124" s="374">
        <f>SUM(Q124:BT124)</f>
        <v>0</v>
      </c>
      <c r="BZ124" s="475"/>
      <c r="CA124" s="19"/>
      <c r="CB124" s="274"/>
      <c r="CC124" s="173"/>
      <c r="CD124" s="374">
        <v>0</v>
      </c>
      <c r="CE124" s="475"/>
      <c r="CF124" s="19"/>
      <c r="CG124" s="274"/>
      <c r="CH124" s="173"/>
      <c r="CI124" s="374">
        <v>0</v>
      </c>
      <c r="CJ124" s="475"/>
      <c r="CK124" s="19"/>
      <c r="CL124" s="274"/>
      <c r="CM124" s="173"/>
      <c r="CN124" s="374">
        <v>0</v>
      </c>
      <c r="CO124" s="475"/>
      <c r="CP124" s="19"/>
      <c r="CQ124" s="274"/>
      <c r="CR124" s="173"/>
      <c r="CS124" s="374">
        <v>0</v>
      </c>
      <c r="CT124" s="475"/>
      <c r="CU124" s="19"/>
      <c r="CV124" s="274"/>
      <c r="CW124" s="173"/>
      <c r="CX124" s="374">
        <v>0</v>
      </c>
      <c r="CY124" s="475"/>
      <c r="CZ124" s="19"/>
      <c r="DA124" s="274"/>
      <c r="DB124" s="173"/>
      <c r="DC124" s="374">
        <v>0</v>
      </c>
      <c r="DD124" s="475"/>
      <c r="DE124" s="19"/>
      <c r="DF124" s="274"/>
      <c r="DG124" s="173"/>
      <c r="DH124" s="374">
        <v>0</v>
      </c>
      <c r="DI124" s="475"/>
      <c r="DJ124" s="19"/>
      <c r="DK124" s="274"/>
      <c r="DL124" s="173"/>
      <c r="DM124" s="374">
        <v>0</v>
      </c>
      <c r="DN124" s="475"/>
      <c r="DO124" s="19"/>
      <c r="DP124" s="274"/>
      <c r="DQ124" s="173"/>
      <c r="DR124" s="374">
        <v>0</v>
      </c>
      <c r="DS124" s="475"/>
      <c r="DT124" s="19"/>
      <c r="DU124" s="274"/>
      <c r="DV124" s="173"/>
      <c r="DW124" s="374">
        <v>0</v>
      </c>
      <c r="DX124" s="475"/>
      <c r="DY124" s="19"/>
      <c r="DZ124" s="274"/>
      <c r="EA124" s="173"/>
      <c r="EB124" s="374">
        <v>0</v>
      </c>
      <c r="EC124" s="475"/>
      <c r="ED124" s="19"/>
      <c r="EE124" s="274"/>
      <c r="EF124" s="173"/>
      <c r="EG124" s="374">
        <v>0</v>
      </c>
      <c r="EH124" s="475"/>
      <c r="EI124" s="19"/>
      <c r="EJ124" s="274"/>
      <c r="EK124" s="173"/>
      <c r="EL124" s="374">
        <f>SUM(CD124:EG124)</f>
        <v>0</v>
      </c>
      <c r="EM124" s="475"/>
      <c r="EN124" s="19"/>
      <c r="EO124" s="244"/>
    </row>
    <row r="125" spans="4:145" hidden="1" x14ac:dyDescent="0.2">
      <c r="D125" s="244" t="s">
        <v>467</v>
      </c>
      <c r="E125" s="82"/>
      <c r="F125" s="276"/>
      <c r="G125" s="37">
        <v>0</v>
      </c>
      <c r="H125" s="36"/>
      <c r="I125" s="19"/>
      <c r="J125" s="274"/>
      <c r="K125" s="231"/>
      <c r="L125" s="37">
        <v>0</v>
      </c>
      <c r="M125" s="36"/>
      <c r="N125" s="19"/>
      <c r="O125" s="274"/>
      <c r="P125" s="231"/>
      <c r="Q125" s="37">
        <v>0</v>
      </c>
      <c r="R125" s="36"/>
      <c r="S125" s="19"/>
      <c r="T125" s="274"/>
      <c r="U125" s="231"/>
      <c r="V125" s="37">
        <v>0</v>
      </c>
      <c r="W125" s="36"/>
      <c r="X125" s="19"/>
      <c r="Y125" s="274"/>
      <c r="Z125" s="231"/>
      <c r="AA125" s="37">
        <v>0</v>
      </c>
      <c r="AB125" s="36"/>
      <c r="AC125" s="19"/>
      <c r="AD125" s="274"/>
      <c r="AE125" s="231"/>
      <c r="AF125" s="37">
        <v>0</v>
      </c>
      <c r="AG125" s="36"/>
      <c r="AH125" s="19"/>
      <c r="AI125" s="274"/>
      <c r="AJ125" s="231"/>
      <c r="AK125" s="37">
        <v>0</v>
      </c>
      <c r="AL125" s="36"/>
      <c r="AM125" s="19"/>
      <c r="AN125" s="274"/>
      <c r="AO125" s="231"/>
      <c r="AP125" s="37">
        <v>0</v>
      </c>
      <c r="AQ125" s="36"/>
      <c r="AR125" s="19"/>
      <c r="AS125" s="274"/>
      <c r="AT125" s="231"/>
      <c r="AU125" s="37">
        <v>0</v>
      </c>
      <c r="AV125" s="36"/>
      <c r="AW125" s="19"/>
      <c r="AX125" s="274"/>
      <c r="AY125" s="231"/>
      <c r="AZ125" s="37">
        <v>0</v>
      </c>
      <c r="BA125" s="36"/>
      <c r="BB125" s="19"/>
      <c r="BC125" s="274"/>
      <c r="BD125" s="231"/>
      <c r="BE125" s="37">
        <v>0</v>
      </c>
      <c r="BF125" s="36"/>
      <c r="BG125" s="19"/>
      <c r="BH125" s="274"/>
      <c r="BI125" s="231"/>
      <c r="BJ125" s="37">
        <v>0</v>
      </c>
      <c r="BK125" s="36"/>
      <c r="BL125" s="19"/>
      <c r="BM125" s="274"/>
      <c r="BN125" s="231"/>
      <c r="BO125" s="37">
        <v>0</v>
      </c>
      <c r="BP125" s="36"/>
      <c r="BQ125" s="19"/>
      <c r="BR125" s="274"/>
      <c r="BS125" s="231"/>
      <c r="BT125" s="37">
        <f>SUM(L125:BO125)</f>
        <v>0</v>
      </c>
      <c r="BU125" s="36"/>
      <c r="BV125" s="19"/>
      <c r="BW125" s="274"/>
      <c r="BX125" s="231"/>
      <c r="BY125" s="37">
        <f>SUM(Q125:BT125)</f>
        <v>0</v>
      </c>
      <c r="BZ125" s="36"/>
      <c r="CA125" s="19"/>
      <c r="CB125" s="274"/>
      <c r="CC125" s="231"/>
      <c r="CD125" s="37">
        <v>0</v>
      </c>
      <c r="CE125" s="36"/>
      <c r="CF125" s="19"/>
      <c r="CG125" s="274"/>
      <c r="CH125" s="231"/>
      <c r="CI125" s="37">
        <v>0</v>
      </c>
      <c r="CJ125" s="36"/>
      <c r="CK125" s="19"/>
      <c r="CL125" s="274"/>
      <c r="CM125" s="231"/>
      <c r="CN125" s="37">
        <v>0</v>
      </c>
      <c r="CO125" s="36"/>
      <c r="CP125" s="19"/>
      <c r="CQ125" s="274"/>
      <c r="CR125" s="231"/>
      <c r="CS125" s="37">
        <v>0</v>
      </c>
      <c r="CT125" s="36"/>
      <c r="CU125" s="19"/>
      <c r="CV125" s="274"/>
      <c r="CW125" s="231"/>
      <c r="CX125" s="37">
        <v>0</v>
      </c>
      <c r="CY125" s="36"/>
      <c r="CZ125" s="19"/>
      <c r="DA125" s="274"/>
      <c r="DB125" s="231"/>
      <c r="DC125" s="37">
        <v>0</v>
      </c>
      <c r="DD125" s="36"/>
      <c r="DE125" s="19"/>
      <c r="DF125" s="274"/>
      <c r="DG125" s="231"/>
      <c r="DH125" s="37">
        <v>0</v>
      </c>
      <c r="DI125" s="36"/>
      <c r="DJ125" s="19"/>
      <c r="DK125" s="274"/>
      <c r="DL125" s="231"/>
      <c r="DM125" s="37">
        <v>0</v>
      </c>
      <c r="DN125" s="36"/>
      <c r="DO125" s="19"/>
      <c r="DP125" s="274"/>
      <c r="DQ125" s="231"/>
      <c r="DR125" s="37">
        <v>0</v>
      </c>
      <c r="DS125" s="36"/>
      <c r="DT125" s="19"/>
      <c r="DU125" s="274"/>
      <c r="DV125" s="231"/>
      <c r="DW125" s="37">
        <v>0</v>
      </c>
      <c r="DX125" s="36"/>
      <c r="DY125" s="19"/>
      <c r="DZ125" s="274"/>
      <c r="EA125" s="231"/>
      <c r="EB125" s="37">
        <v>0</v>
      </c>
      <c r="EC125" s="36"/>
      <c r="ED125" s="19"/>
      <c r="EE125" s="274"/>
      <c r="EF125" s="231"/>
      <c r="EG125" s="37">
        <v>0</v>
      </c>
      <c r="EH125" s="36"/>
      <c r="EI125" s="19"/>
      <c r="EJ125" s="274"/>
      <c r="EK125" s="231"/>
      <c r="EL125" s="37">
        <f>SUM(CD125:EG125)</f>
        <v>0</v>
      </c>
      <c r="EM125" s="36"/>
      <c r="EN125" s="19"/>
      <c r="EO125" s="244"/>
    </row>
    <row r="126" spans="4:145" hidden="1" x14ac:dyDescent="0.2">
      <c r="D126" s="244"/>
      <c r="E126" s="82"/>
      <c r="G126" s="19"/>
      <c r="H126" s="19"/>
      <c r="I126" s="19"/>
      <c r="J126" s="274"/>
      <c r="K126" s="19"/>
      <c r="L126" s="19"/>
      <c r="M126" s="19"/>
      <c r="N126" s="19"/>
      <c r="O126" s="274"/>
      <c r="P126" s="19"/>
      <c r="Q126" s="19"/>
      <c r="R126" s="19"/>
      <c r="S126" s="19"/>
      <c r="T126" s="274"/>
      <c r="U126" s="19"/>
      <c r="V126" s="19"/>
      <c r="W126" s="19"/>
      <c r="X126" s="19"/>
      <c r="Y126" s="274"/>
      <c r="Z126" s="19"/>
      <c r="AA126" s="19"/>
      <c r="AB126" s="19"/>
      <c r="AC126" s="19"/>
      <c r="AD126" s="274"/>
      <c r="AE126" s="19"/>
      <c r="AF126" s="19"/>
      <c r="AG126" s="19"/>
      <c r="AH126" s="19"/>
      <c r="AI126" s="274"/>
      <c r="AJ126" s="19"/>
      <c r="AK126" s="19"/>
      <c r="AL126" s="19"/>
      <c r="AM126" s="19"/>
      <c r="AN126" s="274"/>
      <c r="AO126" s="19"/>
      <c r="AP126" s="19"/>
      <c r="AQ126" s="19"/>
      <c r="AR126" s="19"/>
      <c r="AS126" s="274"/>
      <c r="AT126" s="19"/>
      <c r="AU126" s="19"/>
      <c r="AV126" s="19"/>
      <c r="AW126" s="19"/>
      <c r="AX126" s="274"/>
      <c r="AY126" s="19"/>
      <c r="AZ126" s="19"/>
      <c r="BA126" s="19"/>
      <c r="BB126" s="19"/>
      <c r="BC126" s="274"/>
      <c r="BD126" s="19"/>
      <c r="BE126" s="19"/>
      <c r="BF126" s="19"/>
      <c r="BG126" s="19"/>
      <c r="BH126" s="274"/>
      <c r="BI126" s="19"/>
      <c r="BJ126" s="19"/>
      <c r="BK126" s="19"/>
      <c r="BL126" s="19"/>
      <c r="BM126" s="274"/>
      <c r="BN126" s="19"/>
      <c r="BO126" s="19"/>
      <c r="BP126" s="19"/>
      <c r="BQ126" s="19"/>
      <c r="BR126" s="274"/>
      <c r="BS126" s="19"/>
      <c r="BT126" s="19"/>
      <c r="BU126" s="19"/>
      <c r="BV126" s="19"/>
      <c r="BW126" s="274"/>
      <c r="BX126" s="19"/>
      <c r="BY126" s="19"/>
      <c r="BZ126" s="19"/>
      <c r="CA126" s="19"/>
      <c r="CB126" s="274"/>
      <c r="CC126" s="19"/>
      <c r="CD126" s="19"/>
      <c r="CE126" s="19"/>
      <c r="CF126" s="19"/>
      <c r="CG126" s="274"/>
      <c r="CH126" s="19"/>
      <c r="CI126" s="19"/>
      <c r="CJ126" s="19"/>
      <c r="CK126" s="19"/>
      <c r="CL126" s="274"/>
      <c r="CM126" s="19"/>
      <c r="CN126" s="19"/>
      <c r="CO126" s="19"/>
      <c r="CP126" s="19"/>
      <c r="CQ126" s="274"/>
      <c r="CR126" s="19"/>
      <c r="CS126" s="19"/>
      <c r="CT126" s="19"/>
      <c r="CU126" s="19"/>
      <c r="CV126" s="274"/>
      <c r="CW126" s="19"/>
      <c r="CX126" s="19"/>
      <c r="CY126" s="19"/>
      <c r="CZ126" s="19"/>
      <c r="DA126" s="274"/>
      <c r="DB126" s="19"/>
      <c r="DC126" s="19"/>
      <c r="DD126" s="19"/>
      <c r="DE126" s="19"/>
      <c r="DF126" s="274"/>
      <c r="DG126" s="19"/>
      <c r="DH126" s="19"/>
      <c r="DI126" s="19"/>
      <c r="DJ126" s="19"/>
      <c r="DK126" s="274"/>
      <c r="DL126" s="19"/>
      <c r="DM126" s="19"/>
      <c r="DN126" s="19"/>
      <c r="DO126" s="19"/>
      <c r="DP126" s="274"/>
      <c r="DQ126" s="19"/>
      <c r="DR126" s="19"/>
      <c r="DS126" s="19"/>
      <c r="DT126" s="19"/>
      <c r="DU126" s="274"/>
      <c r="DV126" s="19"/>
      <c r="DW126" s="19"/>
      <c r="DX126" s="19"/>
      <c r="DY126" s="19"/>
      <c r="DZ126" s="274"/>
      <c r="EA126" s="19"/>
      <c r="EB126" s="19"/>
      <c r="EC126" s="19"/>
      <c r="ED126" s="19"/>
      <c r="EE126" s="274"/>
      <c r="EF126" s="19"/>
      <c r="EG126" s="19"/>
      <c r="EH126" s="19"/>
      <c r="EI126" s="19"/>
      <c r="EJ126" s="274"/>
      <c r="EK126" s="19"/>
      <c r="EL126" s="19"/>
      <c r="EM126" s="19"/>
      <c r="EN126" s="19"/>
      <c r="EO126" s="244"/>
    </row>
    <row r="127" spans="4:145" hidden="1" x14ac:dyDescent="0.2">
      <c r="D127" s="244" t="s">
        <v>472</v>
      </c>
      <c r="E127" s="82"/>
      <c r="G127" s="19">
        <v>0</v>
      </c>
      <c r="H127" s="19"/>
      <c r="I127" s="19"/>
      <c r="J127" s="274"/>
      <c r="K127" s="19"/>
      <c r="L127" s="19">
        <f>SUM(L128:L129)</f>
        <v>0</v>
      </c>
      <c r="M127" s="19"/>
      <c r="N127" s="19"/>
      <c r="O127" s="274"/>
      <c r="P127" s="19"/>
      <c r="Q127" s="19">
        <f>SUM(Q128:Q129)</f>
        <v>0</v>
      </c>
      <c r="R127" s="19"/>
      <c r="S127" s="19"/>
      <c r="T127" s="274"/>
      <c r="U127" s="19"/>
      <c r="V127" s="19">
        <f>SUM(V128:V129)</f>
        <v>0</v>
      </c>
      <c r="W127" s="19"/>
      <c r="X127" s="19"/>
      <c r="Y127" s="274"/>
      <c r="Z127" s="19"/>
      <c r="AA127" s="19">
        <f>SUM(AA128:AA129)</f>
        <v>0</v>
      </c>
      <c r="AB127" s="19"/>
      <c r="AC127" s="19"/>
      <c r="AD127" s="274"/>
      <c r="AE127" s="19"/>
      <c r="AF127" s="19">
        <f>SUM(AF128:AF129)</f>
        <v>0</v>
      </c>
      <c r="AG127" s="19"/>
      <c r="AH127" s="19"/>
      <c r="AI127" s="274"/>
      <c r="AJ127" s="19"/>
      <c r="AK127" s="19">
        <f>SUM(AK128:AK129)</f>
        <v>0</v>
      </c>
      <c r="AL127" s="19"/>
      <c r="AM127" s="19"/>
      <c r="AN127" s="274"/>
      <c r="AO127" s="19"/>
      <c r="AP127" s="19">
        <f>SUM(AP128:AP129)</f>
        <v>0</v>
      </c>
      <c r="AQ127" s="19"/>
      <c r="AR127" s="19"/>
      <c r="AS127" s="274"/>
      <c r="AT127" s="19"/>
      <c r="AU127" s="19">
        <f>SUM(AU128:AU129)</f>
        <v>0</v>
      </c>
      <c r="AV127" s="19"/>
      <c r="AW127" s="19"/>
      <c r="AX127" s="274"/>
      <c r="AY127" s="19"/>
      <c r="AZ127" s="19">
        <f>SUM(AZ128:AZ129)</f>
        <v>0</v>
      </c>
      <c r="BA127" s="19"/>
      <c r="BB127" s="19"/>
      <c r="BC127" s="274"/>
      <c r="BD127" s="19"/>
      <c r="BE127" s="19">
        <f>SUM(BE128:BE129)</f>
        <v>0</v>
      </c>
      <c r="BF127" s="19"/>
      <c r="BG127" s="19"/>
      <c r="BH127" s="274"/>
      <c r="BI127" s="19"/>
      <c r="BJ127" s="19">
        <f>SUM(BJ128:BJ129)</f>
        <v>0</v>
      </c>
      <c r="BK127" s="19"/>
      <c r="BL127" s="19"/>
      <c r="BM127" s="274"/>
      <c r="BN127" s="19"/>
      <c r="BO127" s="19">
        <f>SUM(BO128:BO129)</f>
        <v>0</v>
      </c>
      <c r="BP127" s="19"/>
      <c r="BQ127" s="19"/>
      <c r="BR127" s="274"/>
      <c r="BS127" s="19"/>
      <c r="BT127" s="19">
        <f>SUM(BT128:BT129)</f>
        <v>0</v>
      </c>
      <c r="BU127" s="19"/>
      <c r="BV127" s="19"/>
      <c r="BW127" s="274"/>
      <c r="BX127" s="19"/>
      <c r="BY127" s="19">
        <f>SUM(BY128:BY129)</f>
        <v>0</v>
      </c>
      <c r="BZ127" s="19"/>
      <c r="CA127" s="19"/>
      <c r="CB127" s="274"/>
      <c r="CC127" s="19"/>
      <c r="CD127" s="19">
        <f>SUM(CD128:CD129)</f>
        <v>0</v>
      </c>
      <c r="CE127" s="19"/>
      <c r="CF127" s="19"/>
      <c r="CG127" s="274"/>
      <c r="CH127" s="19"/>
      <c r="CI127" s="19">
        <f>SUM(CI128:CI129)</f>
        <v>0</v>
      </c>
      <c r="CJ127" s="19"/>
      <c r="CK127" s="19"/>
      <c r="CL127" s="274"/>
      <c r="CM127" s="19"/>
      <c r="CN127" s="19">
        <f>SUM(CN128:CN129)</f>
        <v>0</v>
      </c>
      <c r="CO127" s="19"/>
      <c r="CP127" s="19"/>
      <c r="CQ127" s="274"/>
      <c r="CR127" s="19"/>
      <c r="CS127" s="19">
        <f>SUM(CS128:CS129)</f>
        <v>0</v>
      </c>
      <c r="CT127" s="19"/>
      <c r="CU127" s="19"/>
      <c r="CV127" s="274"/>
      <c r="CW127" s="19"/>
      <c r="CX127" s="19">
        <f>SUM(CX128:CX129)</f>
        <v>0</v>
      </c>
      <c r="CY127" s="19"/>
      <c r="CZ127" s="19"/>
      <c r="DA127" s="274"/>
      <c r="DB127" s="19"/>
      <c r="DC127" s="19">
        <f>SUM(DC128:DC129)</f>
        <v>0</v>
      </c>
      <c r="DD127" s="19"/>
      <c r="DE127" s="19"/>
      <c r="DF127" s="274"/>
      <c r="DG127" s="19"/>
      <c r="DH127" s="19">
        <f>SUM(DH128:DH129)</f>
        <v>0</v>
      </c>
      <c r="DI127" s="19"/>
      <c r="DJ127" s="19"/>
      <c r="DK127" s="274"/>
      <c r="DL127" s="19"/>
      <c r="DM127" s="19">
        <f>SUM(DM128:DM129)</f>
        <v>0</v>
      </c>
      <c r="DN127" s="19"/>
      <c r="DO127" s="19"/>
      <c r="DP127" s="274"/>
      <c r="DQ127" s="19"/>
      <c r="DR127" s="19">
        <f>SUM(DR128:DR129)</f>
        <v>0</v>
      </c>
      <c r="DS127" s="19"/>
      <c r="DT127" s="19"/>
      <c r="DU127" s="274"/>
      <c r="DV127" s="19"/>
      <c r="DW127" s="19">
        <f>SUM(DW128:DW129)</f>
        <v>0</v>
      </c>
      <c r="DX127" s="19"/>
      <c r="DY127" s="19"/>
      <c r="DZ127" s="274"/>
      <c r="EA127" s="19"/>
      <c r="EB127" s="19">
        <f>SUM(EB128:EB129)</f>
        <v>0</v>
      </c>
      <c r="EC127" s="19"/>
      <c r="ED127" s="19"/>
      <c r="EE127" s="274"/>
      <c r="EF127" s="19"/>
      <c r="EG127" s="19">
        <f>SUM(EG128:EG129)</f>
        <v>0</v>
      </c>
      <c r="EH127" s="19"/>
      <c r="EI127" s="19"/>
      <c r="EJ127" s="274"/>
      <c r="EK127" s="19"/>
      <c r="EL127" s="19">
        <f>SUM(EL128:EL129)</f>
        <v>0</v>
      </c>
      <c r="EM127" s="19"/>
      <c r="EN127" s="19"/>
      <c r="EO127" s="244"/>
    </row>
    <row r="128" spans="4:145" hidden="1" x14ac:dyDescent="0.2">
      <c r="D128" s="244" t="s">
        <v>466</v>
      </c>
      <c r="E128" s="82"/>
      <c r="F128" s="112"/>
      <c r="G128" s="374">
        <v>0</v>
      </c>
      <c r="H128" s="475"/>
      <c r="I128" s="19"/>
      <c r="J128" s="274"/>
      <c r="K128" s="173"/>
      <c r="L128" s="374">
        <v>0</v>
      </c>
      <c r="M128" s="475"/>
      <c r="N128" s="19"/>
      <c r="O128" s="274"/>
      <c r="P128" s="173"/>
      <c r="Q128" s="374">
        <v>0</v>
      </c>
      <c r="R128" s="475"/>
      <c r="S128" s="19"/>
      <c r="T128" s="274"/>
      <c r="U128" s="173"/>
      <c r="V128" s="374">
        <v>0</v>
      </c>
      <c r="W128" s="475"/>
      <c r="X128" s="19"/>
      <c r="Y128" s="274"/>
      <c r="Z128" s="173"/>
      <c r="AA128" s="374">
        <v>0</v>
      </c>
      <c r="AB128" s="475"/>
      <c r="AC128" s="19"/>
      <c r="AD128" s="274"/>
      <c r="AE128" s="173"/>
      <c r="AF128" s="374">
        <v>0</v>
      </c>
      <c r="AG128" s="475"/>
      <c r="AH128" s="19"/>
      <c r="AI128" s="274"/>
      <c r="AJ128" s="173"/>
      <c r="AK128" s="374">
        <v>0</v>
      </c>
      <c r="AL128" s="475"/>
      <c r="AM128" s="19"/>
      <c r="AN128" s="274"/>
      <c r="AO128" s="173"/>
      <c r="AP128" s="374">
        <v>0</v>
      </c>
      <c r="AQ128" s="475"/>
      <c r="AR128" s="19"/>
      <c r="AS128" s="274"/>
      <c r="AT128" s="173"/>
      <c r="AU128" s="374">
        <v>0</v>
      </c>
      <c r="AV128" s="475"/>
      <c r="AW128" s="19"/>
      <c r="AX128" s="274"/>
      <c r="AY128" s="173"/>
      <c r="AZ128" s="374">
        <v>0</v>
      </c>
      <c r="BA128" s="475"/>
      <c r="BB128" s="19"/>
      <c r="BC128" s="274"/>
      <c r="BD128" s="173"/>
      <c r="BE128" s="374">
        <v>0</v>
      </c>
      <c r="BF128" s="475"/>
      <c r="BG128" s="19"/>
      <c r="BH128" s="274"/>
      <c r="BI128" s="173"/>
      <c r="BJ128" s="374">
        <v>0</v>
      </c>
      <c r="BK128" s="475"/>
      <c r="BL128" s="19"/>
      <c r="BM128" s="274"/>
      <c r="BN128" s="173"/>
      <c r="BO128" s="374">
        <v>0</v>
      </c>
      <c r="BP128" s="475"/>
      <c r="BQ128" s="19"/>
      <c r="BR128" s="274"/>
      <c r="BS128" s="173"/>
      <c r="BT128" s="374">
        <f>SUM(L128:BO128)</f>
        <v>0</v>
      </c>
      <c r="BU128" s="475"/>
      <c r="BV128" s="19"/>
      <c r="BW128" s="274"/>
      <c r="BX128" s="173"/>
      <c r="BY128" s="374">
        <f>SUM(Q128:BT128)</f>
        <v>0</v>
      </c>
      <c r="BZ128" s="475"/>
      <c r="CA128" s="19"/>
      <c r="CB128" s="274"/>
      <c r="CC128" s="173"/>
      <c r="CD128" s="374">
        <v>0</v>
      </c>
      <c r="CE128" s="475"/>
      <c r="CF128" s="19"/>
      <c r="CG128" s="274"/>
      <c r="CH128" s="173"/>
      <c r="CI128" s="374">
        <v>0</v>
      </c>
      <c r="CJ128" s="475"/>
      <c r="CK128" s="19"/>
      <c r="CL128" s="274"/>
      <c r="CM128" s="173"/>
      <c r="CN128" s="374">
        <v>0</v>
      </c>
      <c r="CO128" s="475"/>
      <c r="CP128" s="19"/>
      <c r="CQ128" s="274"/>
      <c r="CR128" s="173"/>
      <c r="CS128" s="374">
        <v>0</v>
      </c>
      <c r="CT128" s="475"/>
      <c r="CU128" s="19"/>
      <c r="CV128" s="274"/>
      <c r="CW128" s="173"/>
      <c r="CX128" s="374">
        <v>0</v>
      </c>
      <c r="CY128" s="475"/>
      <c r="CZ128" s="19"/>
      <c r="DA128" s="274"/>
      <c r="DB128" s="173"/>
      <c r="DC128" s="374">
        <v>0</v>
      </c>
      <c r="DD128" s="475"/>
      <c r="DE128" s="19"/>
      <c r="DF128" s="274"/>
      <c r="DG128" s="173"/>
      <c r="DH128" s="374">
        <v>0</v>
      </c>
      <c r="DI128" s="475"/>
      <c r="DJ128" s="19"/>
      <c r="DK128" s="274"/>
      <c r="DL128" s="173"/>
      <c r="DM128" s="374">
        <v>0</v>
      </c>
      <c r="DN128" s="475"/>
      <c r="DO128" s="19"/>
      <c r="DP128" s="274"/>
      <c r="DQ128" s="173"/>
      <c r="DR128" s="374">
        <v>0</v>
      </c>
      <c r="DS128" s="475"/>
      <c r="DT128" s="19"/>
      <c r="DU128" s="274"/>
      <c r="DV128" s="173"/>
      <c r="DW128" s="374">
        <v>0</v>
      </c>
      <c r="DX128" s="475"/>
      <c r="DY128" s="19"/>
      <c r="DZ128" s="274"/>
      <c r="EA128" s="173"/>
      <c r="EB128" s="374">
        <v>0</v>
      </c>
      <c r="EC128" s="475"/>
      <c r="ED128" s="19"/>
      <c r="EE128" s="274"/>
      <c r="EF128" s="173"/>
      <c r="EG128" s="374">
        <v>0</v>
      </c>
      <c r="EH128" s="475"/>
      <c r="EI128" s="19"/>
      <c r="EJ128" s="274"/>
      <c r="EK128" s="173"/>
      <c r="EL128" s="374">
        <f>SUM(CD128:EG128)</f>
        <v>0</v>
      </c>
      <c r="EM128" s="475"/>
      <c r="EN128" s="19"/>
      <c r="EO128" s="244"/>
    </row>
    <row r="129" spans="4:145" hidden="1" x14ac:dyDescent="0.2">
      <c r="D129" s="244" t="s">
        <v>467</v>
      </c>
      <c r="E129" s="82"/>
      <c r="F129" s="276"/>
      <c r="G129" s="37">
        <v>0</v>
      </c>
      <c r="H129" s="36"/>
      <c r="I129" s="19"/>
      <c r="J129" s="274"/>
      <c r="K129" s="231"/>
      <c r="L129" s="37">
        <v>0</v>
      </c>
      <c r="M129" s="36"/>
      <c r="N129" s="19"/>
      <c r="O129" s="274"/>
      <c r="P129" s="231"/>
      <c r="Q129" s="37">
        <v>0</v>
      </c>
      <c r="R129" s="36"/>
      <c r="S129" s="19"/>
      <c r="T129" s="274"/>
      <c r="U129" s="231"/>
      <c r="V129" s="37">
        <v>0</v>
      </c>
      <c r="W129" s="36"/>
      <c r="X129" s="19"/>
      <c r="Y129" s="274"/>
      <c r="Z129" s="231"/>
      <c r="AA129" s="37">
        <v>0</v>
      </c>
      <c r="AB129" s="36"/>
      <c r="AC129" s="19"/>
      <c r="AD129" s="274"/>
      <c r="AE129" s="231"/>
      <c r="AF129" s="37">
        <v>0</v>
      </c>
      <c r="AG129" s="36"/>
      <c r="AH129" s="19"/>
      <c r="AI129" s="274"/>
      <c r="AJ129" s="231"/>
      <c r="AK129" s="37">
        <v>0</v>
      </c>
      <c r="AL129" s="36"/>
      <c r="AM129" s="19"/>
      <c r="AN129" s="274"/>
      <c r="AO129" s="231"/>
      <c r="AP129" s="37">
        <v>0</v>
      </c>
      <c r="AQ129" s="36"/>
      <c r="AR129" s="19"/>
      <c r="AS129" s="274"/>
      <c r="AT129" s="231"/>
      <c r="AU129" s="37">
        <v>0</v>
      </c>
      <c r="AV129" s="36"/>
      <c r="AW129" s="19"/>
      <c r="AX129" s="274"/>
      <c r="AY129" s="231"/>
      <c r="AZ129" s="37">
        <v>0</v>
      </c>
      <c r="BA129" s="36"/>
      <c r="BB129" s="19"/>
      <c r="BC129" s="274"/>
      <c r="BD129" s="231"/>
      <c r="BE129" s="37">
        <v>0</v>
      </c>
      <c r="BF129" s="36"/>
      <c r="BG129" s="19"/>
      <c r="BH129" s="274"/>
      <c r="BI129" s="231"/>
      <c r="BJ129" s="37">
        <v>0</v>
      </c>
      <c r="BK129" s="36"/>
      <c r="BL129" s="19"/>
      <c r="BM129" s="274"/>
      <c r="BN129" s="231"/>
      <c r="BO129" s="37">
        <v>0</v>
      </c>
      <c r="BP129" s="36"/>
      <c r="BQ129" s="19"/>
      <c r="BR129" s="274"/>
      <c r="BS129" s="231"/>
      <c r="BT129" s="37">
        <f>SUM(L129:BO129)</f>
        <v>0</v>
      </c>
      <c r="BU129" s="36"/>
      <c r="BV129" s="19"/>
      <c r="BW129" s="274"/>
      <c r="BX129" s="231"/>
      <c r="BY129" s="37">
        <f>SUM(Q129:BT129)</f>
        <v>0</v>
      </c>
      <c r="BZ129" s="36"/>
      <c r="CA129" s="19"/>
      <c r="CB129" s="274"/>
      <c r="CC129" s="231"/>
      <c r="CD129" s="37">
        <v>0</v>
      </c>
      <c r="CE129" s="36"/>
      <c r="CF129" s="19"/>
      <c r="CG129" s="274"/>
      <c r="CH129" s="231"/>
      <c r="CI129" s="37">
        <v>0</v>
      </c>
      <c r="CJ129" s="36"/>
      <c r="CK129" s="19"/>
      <c r="CL129" s="274"/>
      <c r="CM129" s="231"/>
      <c r="CN129" s="37">
        <v>0</v>
      </c>
      <c r="CO129" s="36"/>
      <c r="CP129" s="19"/>
      <c r="CQ129" s="274"/>
      <c r="CR129" s="231"/>
      <c r="CS129" s="37">
        <v>0</v>
      </c>
      <c r="CT129" s="36"/>
      <c r="CU129" s="19"/>
      <c r="CV129" s="274"/>
      <c r="CW129" s="231"/>
      <c r="CX129" s="37">
        <v>0</v>
      </c>
      <c r="CY129" s="36"/>
      <c r="CZ129" s="19"/>
      <c r="DA129" s="274"/>
      <c r="DB129" s="231"/>
      <c r="DC129" s="37">
        <v>0</v>
      </c>
      <c r="DD129" s="36"/>
      <c r="DE129" s="19"/>
      <c r="DF129" s="274"/>
      <c r="DG129" s="231"/>
      <c r="DH129" s="37">
        <v>0</v>
      </c>
      <c r="DI129" s="36"/>
      <c r="DJ129" s="19"/>
      <c r="DK129" s="274"/>
      <c r="DL129" s="231"/>
      <c r="DM129" s="37">
        <v>0</v>
      </c>
      <c r="DN129" s="36"/>
      <c r="DO129" s="19"/>
      <c r="DP129" s="274"/>
      <c r="DQ129" s="231"/>
      <c r="DR129" s="37">
        <v>0</v>
      </c>
      <c r="DS129" s="36"/>
      <c r="DT129" s="19"/>
      <c r="DU129" s="274"/>
      <c r="DV129" s="231"/>
      <c r="DW129" s="37">
        <v>0</v>
      </c>
      <c r="DX129" s="36"/>
      <c r="DY129" s="19"/>
      <c r="DZ129" s="274"/>
      <c r="EA129" s="231"/>
      <c r="EB129" s="37">
        <v>0</v>
      </c>
      <c r="EC129" s="36"/>
      <c r="ED129" s="19"/>
      <c r="EE129" s="274"/>
      <c r="EF129" s="231"/>
      <c r="EG129" s="37">
        <v>0</v>
      </c>
      <c r="EH129" s="36"/>
      <c r="EI129" s="19"/>
      <c r="EJ129" s="274"/>
      <c r="EK129" s="231"/>
      <c r="EL129" s="37">
        <f>SUM(CD129:EG129)</f>
        <v>0</v>
      </c>
      <c r="EM129" s="36"/>
      <c r="EN129" s="19"/>
      <c r="EO129" s="244"/>
    </row>
    <row r="130" spans="4:145" x14ac:dyDescent="0.2">
      <c r="D130" s="244"/>
      <c r="E130" s="82"/>
      <c r="G130" s="19"/>
      <c r="H130" s="19"/>
      <c r="I130" s="19"/>
      <c r="J130" s="274"/>
      <c r="K130" s="19"/>
      <c r="L130" s="19"/>
      <c r="M130" s="19"/>
      <c r="N130" s="19"/>
      <c r="O130" s="274"/>
      <c r="P130" s="19"/>
      <c r="Q130" s="19"/>
      <c r="R130" s="19"/>
      <c r="S130" s="19"/>
      <c r="T130" s="274"/>
      <c r="U130" s="19"/>
      <c r="V130" s="19"/>
      <c r="W130" s="19"/>
      <c r="X130" s="19"/>
      <c r="Y130" s="274"/>
      <c r="Z130" s="19"/>
      <c r="AA130" s="19"/>
      <c r="AB130" s="19"/>
      <c r="AC130" s="19"/>
      <c r="AD130" s="274"/>
      <c r="AE130" s="19"/>
      <c r="AF130" s="19"/>
      <c r="AG130" s="19"/>
      <c r="AH130" s="19"/>
      <c r="AI130" s="274"/>
      <c r="AJ130" s="19"/>
      <c r="AK130" s="19"/>
      <c r="AL130" s="19"/>
      <c r="AM130" s="19"/>
      <c r="AN130" s="274"/>
      <c r="AO130" s="19"/>
      <c r="AP130" s="19"/>
      <c r="AQ130" s="19"/>
      <c r="AR130" s="19"/>
      <c r="AS130" s="274"/>
      <c r="AT130" s="19"/>
      <c r="AU130" s="19"/>
      <c r="AV130" s="19"/>
      <c r="AW130" s="19"/>
      <c r="AX130" s="274"/>
      <c r="AY130" s="19"/>
      <c r="AZ130" s="19"/>
      <c r="BA130" s="19"/>
      <c r="BB130" s="19"/>
      <c r="BC130" s="274"/>
      <c r="BD130" s="19"/>
      <c r="BE130" s="19"/>
      <c r="BF130" s="19"/>
      <c r="BG130" s="19"/>
      <c r="BH130" s="274"/>
      <c r="BI130" s="19"/>
      <c r="BJ130" s="19"/>
      <c r="BK130" s="19"/>
      <c r="BL130" s="19"/>
      <c r="BM130" s="274"/>
      <c r="BN130" s="19"/>
      <c r="BO130" s="19"/>
      <c r="BP130" s="19"/>
      <c r="BQ130" s="19"/>
      <c r="BR130" s="274"/>
      <c r="BS130" s="19"/>
      <c r="BT130" s="19"/>
      <c r="BU130" s="19"/>
      <c r="BV130" s="19"/>
      <c r="BW130" s="274"/>
      <c r="BX130" s="19"/>
      <c r="BY130" s="19"/>
      <c r="BZ130" s="19"/>
      <c r="CA130" s="19"/>
      <c r="CB130" s="274"/>
      <c r="CC130" s="19"/>
      <c r="CD130" s="19"/>
      <c r="CE130" s="19"/>
      <c r="CF130" s="19"/>
      <c r="CG130" s="274"/>
      <c r="CH130" s="19"/>
      <c r="CI130" s="19"/>
      <c r="CJ130" s="19"/>
      <c r="CK130" s="19"/>
      <c r="CL130" s="274"/>
      <c r="CM130" s="19"/>
      <c r="CN130" s="19"/>
      <c r="CO130" s="19"/>
      <c r="CP130" s="19"/>
      <c r="CQ130" s="274"/>
      <c r="CR130" s="19"/>
      <c r="CS130" s="19"/>
      <c r="CT130" s="19"/>
      <c r="CU130" s="19"/>
      <c r="CV130" s="274"/>
      <c r="CW130" s="19"/>
      <c r="CX130" s="19"/>
      <c r="CY130" s="19"/>
      <c r="CZ130" s="19"/>
      <c r="DA130" s="274"/>
      <c r="DB130" s="19"/>
      <c r="DC130" s="19"/>
      <c r="DD130" s="19"/>
      <c r="DE130" s="19"/>
      <c r="DF130" s="274"/>
      <c r="DG130" s="19"/>
      <c r="DH130" s="19"/>
      <c r="DI130" s="19"/>
      <c r="DJ130" s="19"/>
      <c r="DK130" s="274"/>
      <c r="DL130" s="19"/>
      <c r="DM130" s="19"/>
      <c r="DN130" s="19"/>
      <c r="DO130" s="19"/>
      <c r="DP130" s="274"/>
      <c r="DQ130" s="19"/>
      <c r="DR130" s="19"/>
      <c r="DS130" s="19"/>
      <c r="DT130" s="19"/>
      <c r="DU130" s="274"/>
      <c r="DV130" s="19"/>
      <c r="DW130" s="19"/>
      <c r="DX130" s="19"/>
      <c r="DY130" s="19"/>
      <c r="DZ130" s="274"/>
      <c r="EA130" s="19"/>
      <c r="EB130" s="19"/>
      <c r="EC130" s="19"/>
      <c r="ED130" s="19"/>
      <c r="EE130" s="274"/>
      <c r="EF130" s="19"/>
      <c r="EG130" s="19"/>
      <c r="EH130" s="19"/>
      <c r="EI130" s="19"/>
      <c r="EJ130" s="274"/>
      <c r="EK130" s="19"/>
      <c r="EL130" s="19"/>
      <c r="EM130" s="19"/>
      <c r="EN130" s="19"/>
      <c r="EO130" s="244"/>
    </row>
    <row r="131" spans="4:145" x14ac:dyDescent="0.2">
      <c r="D131" s="244" t="s">
        <v>473</v>
      </c>
      <c r="E131" s="82"/>
      <c r="G131" s="19">
        <f>SUM(G132:G133)</f>
        <v>778000</v>
      </c>
      <c r="H131" s="19"/>
      <c r="I131" s="19"/>
      <c r="J131" s="274"/>
      <c r="K131" s="19"/>
      <c r="L131" s="19">
        <f>SUM(L132:L133)</f>
        <v>777665</v>
      </c>
      <c r="M131" s="19"/>
      <c r="N131" s="19"/>
      <c r="O131" s="274"/>
      <c r="P131" s="19"/>
      <c r="Q131" s="19">
        <f>SUM(Q132:Q133)</f>
        <v>0</v>
      </c>
      <c r="R131" s="19"/>
      <c r="S131" s="19"/>
      <c r="T131" s="274"/>
      <c r="U131" s="19"/>
      <c r="V131" s="19">
        <f>SUM(V132:V133)</f>
        <v>0</v>
      </c>
      <c r="W131" s="19"/>
      <c r="X131" s="19"/>
      <c r="Y131" s="274"/>
      <c r="Z131" s="19"/>
      <c r="AA131" s="19">
        <f>SUM(AA132:AA133)</f>
        <v>0</v>
      </c>
      <c r="AB131" s="19"/>
      <c r="AC131" s="19"/>
      <c r="AD131" s="274"/>
      <c r="AE131" s="19"/>
      <c r="AF131" s="19">
        <f>SUM(AF132:AF133)</f>
        <v>0</v>
      </c>
      <c r="AG131" s="19"/>
      <c r="AH131" s="19"/>
      <c r="AI131" s="274"/>
      <c r="AJ131" s="19"/>
      <c r="AK131" s="19">
        <f>SUM(AK132:AK133)</f>
        <v>0</v>
      </c>
      <c r="AL131" s="19"/>
      <c r="AM131" s="19"/>
      <c r="AN131" s="274"/>
      <c r="AO131" s="19"/>
      <c r="AP131" s="19">
        <f>SUM(AP132:AP133)</f>
        <v>0</v>
      </c>
      <c r="AQ131" s="19"/>
      <c r="AR131" s="19"/>
      <c r="AS131" s="274"/>
      <c r="AT131" s="19"/>
      <c r="AU131" s="19">
        <f>SUM(AU132:AU133)</f>
        <v>0</v>
      </c>
      <c r="AV131" s="19"/>
      <c r="AW131" s="19"/>
      <c r="AX131" s="274"/>
      <c r="AY131" s="19"/>
      <c r="AZ131" s="19">
        <f>SUM(AZ132:AZ133)</f>
        <v>0</v>
      </c>
      <c r="BA131" s="19"/>
      <c r="BB131" s="19"/>
      <c r="BC131" s="274"/>
      <c r="BD131" s="19"/>
      <c r="BE131" s="19">
        <f>SUM(BE132:BE133)</f>
        <v>0</v>
      </c>
      <c r="BF131" s="19"/>
      <c r="BG131" s="19"/>
      <c r="BH131" s="274"/>
      <c r="BI131" s="19"/>
      <c r="BJ131" s="19">
        <f>SUM(BJ132:BJ133)</f>
        <v>0</v>
      </c>
      <c r="BK131" s="19"/>
      <c r="BL131" s="19"/>
      <c r="BM131" s="274"/>
      <c r="BN131" s="19"/>
      <c r="BO131" s="19">
        <f>SUM(BO132:BO133)</f>
        <v>0</v>
      </c>
      <c r="BP131" s="19"/>
      <c r="BQ131" s="19"/>
      <c r="BR131" s="274"/>
      <c r="BS131" s="19"/>
      <c r="BT131" s="19">
        <f>SUM(BT132:BT133)</f>
        <v>777665</v>
      </c>
      <c r="BU131" s="19"/>
      <c r="BV131" s="19"/>
      <c r="BW131" s="274"/>
      <c r="BX131" s="19"/>
      <c r="BY131" s="19">
        <f>SUM(BY132:BY133)</f>
        <v>1282940</v>
      </c>
      <c r="BZ131" s="19"/>
      <c r="CA131" s="19"/>
      <c r="CB131" s="274"/>
      <c r="CC131" s="19"/>
      <c r="CD131" s="19">
        <f>SUM(CD132:CD133)</f>
        <v>628449</v>
      </c>
      <c r="CE131" s="19"/>
      <c r="CF131" s="19"/>
      <c r="CG131" s="274"/>
      <c r="CH131" s="19"/>
      <c r="CI131" s="19">
        <f>SUM(CI132:CI133)</f>
        <v>0</v>
      </c>
      <c r="CJ131" s="19"/>
      <c r="CK131" s="19"/>
      <c r="CL131" s="274"/>
      <c r="CM131" s="19"/>
      <c r="CN131" s="19">
        <f>SUM(CN132:CN133)</f>
        <v>0</v>
      </c>
      <c r="CO131" s="19"/>
      <c r="CP131" s="19"/>
      <c r="CQ131" s="274"/>
      <c r="CR131" s="19"/>
      <c r="CS131" s="19">
        <f>SUM(CS132:CS133)</f>
        <v>0</v>
      </c>
      <c r="CT131" s="19"/>
      <c r="CU131" s="19"/>
      <c r="CV131" s="274"/>
      <c r="CW131" s="19"/>
      <c r="CX131" s="19">
        <f>SUM(CX132:CX133)</f>
        <v>0</v>
      </c>
      <c r="CY131" s="19"/>
      <c r="CZ131" s="19"/>
      <c r="DA131" s="274"/>
      <c r="DB131" s="19"/>
      <c r="DC131" s="19">
        <f>SUM(DC132:DC133)</f>
        <v>0</v>
      </c>
      <c r="DD131" s="19"/>
      <c r="DE131" s="19"/>
      <c r="DF131" s="274"/>
      <c r="DG131" s="19"/>
      <c r="DH131" s="19">
        <f>SUM(DH132:DH133)</f>
        <v>654491</v>
      </c>
      <c r="DI131" s="19"/>
      <c r="DJ131" s="19"/>
      <c r="DK131" s="274"/>
      <c r="DL131" s="19"/>
      <c r="DM131" s="19">
        <f>SUM(DM132:DM133)</f>
        <v>0</v>
      </c>
      <c r="DN131" s="19"/>
      <c r="DO131" s="19"/>
      <c r="DP131" s="274"/>
      <c r="DQ131" s="19"/>
      <c r="DR131" s="19">
        <f>SUM(DR132:DR133)</f>
        <v>0</v>
      </c>
      <c r="DS131" s="19"/>
      <c r="DT131" s="19"/>
      <c r="DU131" s="274"/>
      <c r="DV131" s="19"/>
      <c r="DW131" s="19">
        <f>SUM(DW132:DW133)</f>
        <v>0</v>
      </c>
      <c r="DX131" s="19"/>
      <c r="DY131" s="19"/>
      <c r="DZ131" s="274"/>
      <c r="EA131" s="19"/>
      <c r="EB131" s="19">
        <f>SUM(EB132:EB133)</f>
        <v>0</v>
      </c>
      <c r="EC131" s="19"/>
      <c r="ED131" s="19"/>
      <c r="EE131" s="274"/>
      <c r="EF131" s="19"/>
      <c r="EG131" s="19">
        <f>SUM(EG132:EG133)</f>
        <v>0</v>
      </c>
      <c r="EH131" s="19"/>
      <c r="EI131" s="19"/>
      <c r="EJ131" s="274"/>
      <c r="EK131" s="19"/>
      <c r="EL131" s="19">
        <f>SUM(EL132:EL133)</f>
        <v>1282940</v>
      </c>
      <c r="EM131" s="19"/>
      <c r="EN131" s="19"/>
      <c r="EO131" s="244"/>
    </row>
    <row r="132" spans="4:145" x14ac:dyDescent="0.2">
      <c r="D132" s="244" t="s">
        <v>466</v>
      </c>
      <c r="E132" s="82"/>
      <c r="F132" s="112"/>
      <c r="G132" s="374">
        <v>392000</v>
      </c>
      <c r="H132" s="475"/>
      <c r="I132" s="19"/>
      <c r="J132" s="274"/>
      <c r="K132" s="173"/>
      <c r="L132" s="374">
        <v>391647</v>
      </c>
      <c r="M132" s="475"/>
      <c r="N132" s="19"/>
      <c r="O132" s="274"/>
      <c r="P132" s="173"/>
      <c r="Q132" s="374">
        <v>0</v>
      </c>
      <c r="R132" s="475"/>
      <c r="S132" s="19"/>
      <c r="T132" s="274"/>
      <c r="U132" s="173"/>
      <c r="V132" s="374">
        <v>0</v>
      </c>
      <c r="W132" s="475"/>
      <c r="X132" s="19"/>
      <c r="Y132" s="274"/>
      <c r="Z132" s="173"/>
      <c r="AA132" s="374">
        <v>0</v>
      </c>
      <c r="AB132" s="475"/>
      <c r="AC132" s="19"/>
      <c r="AD132" s="274"/>
      <c r="AE132" s="173"/>
      <c r="AF132" s="374">
        <v>0</v>
      </c>
      <c r="AG132" s="475"/>
      <c r="AH132" s="19"/>
      <c r="AI132" s="274"/>
      <c r="AJ132" s="173"/>
      <c r="AK132" s="374">
        <v>0</v>
      </c>
      <c r="AL132" s="475"/>
      <c r="AM132" s="19"/>
      <c r="AN132" s="274"/>
      <c r="AO132" s="173"/>
      <c r="AP132" s="374">
        <v>0</v>
      </c>
      <c r="AQ132" s="475"/>
      <c r="AR132" s="19"/>
      <c r="AS132" s="274"/>
      <c r="AT132" s="173"/>
      <c r="AU132" s="374">
        <v>0</v>
      </c>
      <c r="AV132" s="475"/>
      <c r="AW132" s="19"/>
      <c r="AX132" s="274"/>
      <c r="AY132" s="173"/>
      <c r="AZ132" s="374">
        <v>0</v>
      </c>
      <c r="BA132" s="475"/>
      <c r="BB132" s="19"/>
      <c r="BC132" s="274"/>
      <c r="BD132" s="173"/>
      <c r="BE132" s="374">
        <v>0</v>
      </c>
      <c r="BF132" s="475"/>
      <c r="BG132" s="19"/>
      <c r="BH132" s="274"/>
      <c r="BI132" s="173"/>
      <c r="BJ132" s="374">
        <v>0</v>
      </c>
      <c r="BK132" s="475"/>
      <c r="BL132" s="19"/>
      <c r="BM132" s="274"/>
      <c r="BN132" s="173"/>
      <c r="BO132" s="374">
        <v>0</v>
      </c>
      <c r="BP132" s="475"/>
      <c r="BQ132" s="19"/>
      <c r="BR132" s="274"/>
      <c r="BS132" s="173"/>
      <c r="BT132" s="374">
        <f>SUM(L132:BO132)</f>
        <v>391647</v>
      </c>
      <c r="BU132" s="475"/>
      <c r="BV132" s="19"/>
      <c r="BW132" s="274"/>
      <c r="BX132" s="173"/>
      <c r="BY132" s="374">
        <v>783294</v>
      </c>
      <c r="BZ132" s="475"/>
      <c r="CA132" s="19"/>
      <c r="CB132" s="274"/>
      <c r="CC132" s="173"/>
      <c r="CD132" s="374">
        <v>391647</v>
      </c>
      <c r="CE132" s="475"/>
      <c r="CF132" s="19"/>
      <c r="CG132" s="274"/>
      <c r="CH132" s="173"/>
      <c r="CI132" s="374">
        <v>0</v>
      </c>
      <c r="CJ132" s="475"/>
      <c r="CK132" s="19"/>
      <c r="CL132" s="274"/>
      <c r="CM132" s="173"/>
      <c r="CN132" s="374">
        <v>0</v>
      </c>
      <c r="CO132" s="475"/>
      <c r="CP132" s="19"/>
      <c r="CQ132" s="274"/>
      <c r="CR132" s="173"/>
      <c r="CS132" s="374">
        <v>0</v>
      </c>
      <c r="CT132" s="475"/>
      <c r="CU132" s="19"/>
      <c r="CV132" s="274"/>
      <c r="CW132" s="173"/>
      <c r="CX132" s="374">
        <v>0</v>
      </c>
      <c r="CY132" s="475"/>
      <c r="CZ132" s="19"/>
      <c r="DA132" s="274"/>
      <c r="DB132" s="173"/>
      <c r="DC132" s="374">
        <v>0</v>
      </c>
      <c r="DD132" s="475"/>
      <c r="DE132" s="19"/>
      <c r="DF132" s="274"/>
      <c r="DG132" s="173"/>
      <c r="DH132" s="374">
        <v>391647</v>
      </c>
      <c r="DI132" s="475"/>
      <c r="DJ132" s="19"/>
      <c r="DK132" s="274"/>
      <c r="DL132" s="173"/>
      <c r="DM132" s="374">
        <v>0</v>
      </c>
      <c r="DN132" s="475"/>
      <c r="DO132" s="19"/>
      <c r="DP132" s="274"/>
      <c r="DQ132" s="173"/>
      <c r="DR132" s="374">
        <v>0</v>
      </c>
      <c r="DS132" s="475"/>
      <c r="DT132" s="19"/>
      <c r="DU132" s="274"/>
      <c r="DV132" s="173"/>
      <c r="DW132" s="374">
        <v>0</v>
      </c>
      <c r="DX132" s="475"/>
      <c r="DY132" s="19"/>
      <c r="DZ132" s="274"/>
      <c r="EA132" s="173"/>
      <c r="EB132" s="374">
        <v>0</v>
      </c>
      <c r="EC132" s="475"/>
      <c r="ED132" s="19"/>
      <c r="EE132" s="274"/>
      <c r="EF132" s="173"/>
      <c r="EG132" s="374">
        <v>0</v>
      </c>
      <c r="EH132" s="475"/>
      <c r="EI132" s="19"/>
      <c r="EJ132" s="274"/>
      <c r="EK132" s="173"/>
      <c r="EL132" s="374">
        <f>SUM(CD132:EG132)</f>
        <v>783294</v>
      </c>
      <c r="EM132" s="475"/>
      <c r="EN132" s="19"/>
      <c r="EO132" s="244"/>
    </row>
    <row r="133" spans="4:145" x14ac:dyDescent="0.2">
      <c r="D133" s="244" t="s">
        <v>467</v>
      </c>
      <c r="E133" s="82"/>
      <c r="F133" s="276"/>
      <c r="G133" s="37">
        <v>386000</v>
      </c>
      <c r="H133" s="36"/>
      <c r="I133" s="19"/>
      <c r="J133" s="274"/>
      <c r="K133" s="231"/>
      <c r="L133" s="37">
        <v>386018</v>
      </c>
      <c r="M133" s="36"/>
      <c r="N133" s="19"/>
      <c r="O133" s="274"/>
      <c r="P133" s="231"/>
      <c r="Q133" s="37">
        <v>0</v>
      </c>
      <c r="R133" s="36"/>
      <c r="S133" s="19"/>
      <c r="T133" s="274"/>
      <c r="U133" s="231"/>
      <c r="V133" s="37">
        <v>0</v>
      </c>
      <c r="W133" s="36"/>
      <c r="X133" s="19"/>
      <c r="Y133" s="274"/>
      <c r="Z133" s="231"/>
      <c r="AA133" s="37">
        <v>0</v>
      </c>
      <c r="AB133" s="36"/>
      <c r="AC133" s="19"/>
      <c r="AD133" s="274"/>
      <c r="AE133" s="231"/>
      <c r="AF133" s="37">
        <v>0</v>
      </c>
      <c r="AG133" s="36"/>
      <c r="AH133" s="19"/>
      <c r="AI133" s="274"/>
      <c r="AJ133" s="231"/>
      <c r="AK133" s="37">
        <v>0</v>
      </c>
      <c r="AL133" s="36"/>
      <c r="AM133" s="19"/>
      <c r="AN133" s="274"/>
      <c r="AO133" s="231"/>
      <c r="AP133" s="37">
        <v>0</v>
      </c>
      <c r="AQ133" s="36"/>
      <c r="AR133" s="19"/>
      <c r="AS133" s="274"/>
      <c r="AT133" s="231"/>
      <c r="AU133" s="37">
        <v>0</v>
      </c>
      <c r="AV133" s="36"/>
      <c r="AW133" s="19"/>
      <c r="AX133" s="274"/>
      <c r="AY133" s="231"/>
      <c r="AZ133" s="37">
        <v>0</v>
      </c>
      <c r="BA133" s="36"/>
      <c r="BB133" s="19"/>
      <c r="BC133" s="274"/>
      <c r="BD133" s="231"/>
      <c r="BE133" s="37">
        <v>0</v>
      </c>
      <c r="BF133" s="36"/>
      <c r="BG133" s="19"/>
      <c r="BH133" s="274"/>
      <c r="BI133" s="231"/>
      <c r="BJ133" s="37">
        <v>0</v>
      </c>
      <c r="BK133" s="36"/>
      <c r="BL133" s="19"/>
      <c r="BM133" s="274"/>
      <c r="BN133" s="231"/>
      <c r="BO133" s="37">
        <v>0</v>
      </c>
      <c r="BP133" s="36"/>
      <c r="BQ133" s="19"/>
      <c r="BR133" s="274"/>
      <c r="BS133" s="231"/>
      <c r="BT133" s="37">
        <f>SUM(L133:BO133)</f>
        <v>386018</v>
      </c>
      <c r="BU133" s="36"/>
      <c r="BV133" s="19"/>
      <c r="BW133" s="274"/>
      <c r="BX133" s="231"/>
      <c r="BY133" s="37">
        <v>499646</v>
      </c>
      <c r="BZ133" s="36"/>
      <c r="CA133" s="19"/>
      <c r="CB133" s="274"/>
      <c r="CC133" s="231"/>
      <c r="CD133" s="37">
        <v>236802</v>
      </c>
      <c r="CE133" s="36"/>
      <c r="CF133" s="19"/>
      <c r="CG133" s="274"/>
      <c r="CH133" s="231"/>
      <c r="CI133" s="37">
        <v>0</v>
      </c>
      <c r="CJ133" s="36"/>
      <c r="CK133" s="19"/>
      <c r="CL133" s="274"/>
      <c r="CM133" s="231"/>
      <c r="CN133" s="37">
        <v>0</v>
      </c>
      <c r="CO133" s="36"/>
      <c r="CP133" s="19"/>
      <c r="CQ133" s="274"/>
      <c r="CR133" s="231"/>
      <c r="CS133" s="37">
        <v>0</v>
      </c>
      <c r="CT133" s="36"/>
      <c r="CU133" s="19"/>
      <c r="CV133" s="274"/>
      <c r="CW133" s="231"/>
      <c r="CX133" s="37">
        <v>0</v>
      </c>
      <c r="CY133" s="36"/>
      <c r="CZ133" s="19"/>
      <c r="DA133" s="274"/>
      <c r="DB133" s="231"/>
      <c r="DC133" s="37">
        <v>0</v>
      </c>
      <c r="DD133" s="36"/>
      <c r="DE133" s="19"/>
      <c r="DF133" s="274"/>
      <c r="DG133" s="231"/>
      <c r="DH133" s="37">
        <v>262844</v>
      </c>
      <c r="DI133" s="36"/>
      <c r="DJ133" s="19"/>
      <c r="DK133" s="274"/>
      <c r="DL133" s="231"/>
      <c r="DM133" s="37">
        <v>0</v>
      </c>
      <c r="DN133" s="36"/>
      <c r="DO133" s="19"/>
      <c r="DP133" s="274"/>
      <c r="DQ133" s="231"/>
      <c r="DR133" s="37">
        <v>0</v>
      </c>
      <c r="DS133" s="36"/>
      <c r="DT133" s="19"/>
      <c r="DU133" s="274"/>
      <c r="DV133" s="231"/>
      <c r="DW133" s="37">
        <v>0</v>
      </c>
      <c r="DX133" s="36"/>
      <c r="DY133" s="19"/>
      <c r="DZ133" s="274"/>
      <c r="EA133" s="231"/>
      <c r="EB133" s="37">
        <v>0</v>
      </c>
      <c r="EC133" s="36"/>
      <c r="ED133" s="19"/>
      <c r="EE133" s="274"/>
      <c r="EF133" s="231"/>
      <c r="EG133" s="37">
        <v>0</v>
      </c>
      <c r="EH133" s="36"/>
      <c r="EI133" s="19"/>
      <c r="EJ133" s="274"/>
      <c r="EK133" s="231"/>
      <c r="EL133" s="37">
        <f>SUM(CD133:EG133)</f>
        <v>499646</v>
      </c>
      <c r="EM133" s="36"/>
      <c r="EN133" s="19"/>
      <c r="EO133" s="244"/>
    </row>
    <row r="134" spans="4:145" ht="12.75" customHeight="1" x14ac:dyDescent="0.2">
      <c r="D134" s="244"/>
      <c r="E134" s="82"/>
      <c r="G134" s="19"/>
      <c r="H134" s="19"/>
      <c r="I134" s="19"/>
      <c r="J134" s="274"/>
      <c r="K134" s="19"/>
      <c r="L134" s="19"/>
      <c r="M134" s="19"/>
      <c r="N134" s="19"/>
      <c r="O134" s="274"/>
      <c r="P134" s="19"/>
      <c r="Q134" s="19"/>
      <c r="R134" s="19"/>
      <c r="S134" s="19"/>
      <c r="T134" s="274"/>
      <c r="U134" s="19"/>
      <c r="V134" s="19"/>
      <c r="W134" s="19"/>
      <c r="X134" s="19"/>
      <c r="Y134" s="274"/>
      <c r="Z134" s="19"/>
      <c r="AA134" s="19"/>
      <c r="AB134" s="19"/>
      <c r="AC134" s="19"/>
      <c r="AD134" s="274"/>
      <c r="AE134" s="19"/>
      <c r="AF134" s="19"/>
      <c r="AG134" s="19"/>
      <c r="AH134" s="19"/>
      <c r="AI134" s="274"/>
      <c r="AJ134" s="19"/>
      <c r="AK134" s="19"/>
      <c r="AL134" s="19"/>
      <c r="AM134" s="19"/>
      <c r="AN134" s="274"/>
      <c r="AO134" s="19"/>
      <c r="AP134" s="19"/>
      <c r="AQ134" s="19"/>
      <c r="AR134" s="19"/>
      <c r="AS134" s="274"/>
      <c r="AT134" s="19"/>
      <c r="AU134" s="19"/>
      <c r="AV134" s="19"/>
      <c r="AW134" s="19"/>
      <c r="AX134" s="274"/>
      <c r="AY134" s="19"/>
      <c r="AZ134" s="19"/>
      <c r="BA134" s="19"/>
      <c r="BB134" s="19"/>
      <c r="BC134" s="274"/>
      <c r="BD134" s="19"/>
      <c r="BE134" s="19"/>
      <c r="BF134" s="19"/>
      <c r="BG134" s="19"/>
      <c r="BH134" s="274"/>
      <c r="BI134" s="19"/>
      <c r="BJ134" s="19"/>
      <c r="BK134" s="19"/>
      <c r="BL134" s="19"/>
      <c r="BM134" s="274"/>
      <c r="BN134" s="19"/>
      <c r="BO134" s="19"/>
      <c r="BP134" s="19"/>
      <c r="BQ134" s="19"/>
      <c r="BR134" s="274"/>
      <c r="BS134" s="19"/>
      <c r="BT134" s="19"/>
      <c r="BU134" s="19"/>
      <c r="BV134" s="19"/>
      <c r="BW134" s="274"/>
      <c r="BX134" s="19"/>
      <c r="BY134" s="19"/>
      <c r="BZ134" s="19"/>
      <c r="CA134" s="19"/>
      <c r="CB134" s="274"/>
      <c r="CC134" s="19"/>
      <c r="CD134" s="19"/>
      <c r="CE134" s="19"/>
      <c r="CF134" s="19"/>
      <c r="CG134" s="274"/>
      <c r="CH134" s="19"/>
      <c r="CI134" s="19"/>
      <c r="CJ134" s="19"/>
      <c r="CK134" s="19"/>
      <c r="CL134" s="274"/>
      <c r="CM134" s="19"/>
      <c r="CN134" s="19"/>
      <c r="CO134" s="19"/>
      <c r="CP134" s="19"/>
      <c r="CQ134" s="274"/>
      <c r="CR134" s="19"/>
      <c r="CS134" s="19"/>
      <c r="CT134" s="19"/>
      <c r="CU134" s="19"/>
      <c r="CV134" s="274"/>
      <c r="CW134" s="19"/>
      <c r="CX134" s="19"/>
      <c r="CY134" s="19"/>
      <c r="CZ134" s="19"/>
      <c r="DA134" s="274"/>
      <c r="DB134" s="19"/>
      <c r="DC134" s="19"/>
      <c r="DD134" s="19"/>
      <c r="DE134" s="19"/>
      <c r="DF134" s="274"/>
      <c r="DG134" s="19"/>
      <c r="DH134" s="19"/>
      <c r="DI134" s="19"/>
      <c r="DJ134" s="19"/>
      <c r="DK134" s="274"/>
      <c r="DL134" s="19"/>
      <c r="DM134" s="19"/>
      <c r="DN134" s="19"/>
      <c r="DO134" s="19"/>
      <c r="DP134" s="274"/>
      <c r="DQ134" s="19"/>
      <c r="DR134" s="19"/>
      <c r="DS134" s="19"/>
      <c r="DT134" s="19"/>
      <c r="DU134" s="274"/>
      <c r="DV134" s="19"/>
      <c r="DW134" s="19"/>
      <c r="DX134" s="19"/>
      <c r="DY134" s="19"/>
      <c r="DZ134" s="274"/>
      <c r="EA134" s="19"/>
      <c r="EB134" s="19"/>
      <c r="EC134" s="19"/>
      <c r="ED134" s="19"/>
      <c r="EE134" s="274"/>
      <c r="EF134" s="19"/>
      <c r="EG134" s="19"/>
      <c r="EH134" s="19"/>
      <c r="EI134" s="19"/>
      <c r="EJ134" s="274"/>
      <c r="EK134" s="19"/>
      <c r="EL134" s="19"/>
      <c r="EM134" s="19"/>
      <c r="EN134" s="19"/>
      <c r="EO134" s="244"/>
    </row>
    <row r="135" spans="4:145" ht="12.75" customHeight="1" x14ac:dyDescent="0.2">
      <c r="D135" s="244" t="s">
        <v>474</v>
      </c>
      <c r="E135" s="82"/>
      <c r="G135" s="19">
        <f>SUM(G136:G137)</f>
        <v>4924000</v>
      </c>
      <c r="H135" s="19"/>
      <c r="I135" s="19"/>
      <c r="J135" s="274"/>
      <c r="K135" s="19"/>
      <c r="L135" s="19">
        <f>SUM(L136:L137)</f>
        <v>0</v>
      </c>
      <c r="M135" s="19"/>
      <c r="N135" s="19"/>
      <c r="O135" s="274"/>
      <c r="P135" s="19"/>
      <c r="Q135" s="19">
        <f>SUM(Q136:Q137)</f>
        <v>4923900</v>
      </c>
      <c r="R135" s="19"/>
      <c r="S135" s="19"/>
      <c r="T135" s="274"/>
      <c r="U135" s="19"/>
      <c r="V135" s="19">
        <f>SUM(V136:V137)</f>
        <v>0</v>
      </c>
      <c r="W135" s="19"/>
      <c r="X135" s="19"/>
      <c r="Y135" s="274"/>
      <c r="Z135" s="19"/>
      <c r="AA135" s="19">
        <f>SUM(AA136:AA137)</f>
        <v>0</v>
      </c>
      <c r="AB135" s="19"/>
      <c r="AC135" s="19"/>
      <c r="AD135" s="274"/>
      <c r="AE135" s="19"/>
      <c r="AF135" s="19">
        <f>SUM(AF136:AF137)</f>
        <v>0</v>
      </c>
      <c r="AG135" s="19"/>
      <c r="AH135" s="19"/>
      <c r="AI135" s="274"/>
      <c r="AJ135" s="19"/>
      <c r="AK135" s="19">
        <f>SUM(AK136:AK137)</f>
        <v>0</v>
      </c>
      <c r="AL135" s="19"/>
      <c r="AM135" s="19"/>
      <c r="AN135" s="274"/>
      <c r="AO135" s="19"/>
      <c r="AP135" s="19">
        <f>SUM(AP136:AP137)</f>
        <v>0</v>
      </c>
      <c r="AQ135" s="19"/>
      <c r="AR135" s="19"/>
      <c r="AS135" s="274"/>
      <c r="AT135" s="19"/>
      <c r="AU135" s="19">
        <f>SUM(AU136:AU137)</f>
        <v>0</v>
      </c>
      <c r="AV135" s="19"/>
      <c r="AW135" s="19"/>
      <c r="AX135" s="274"/>
      <c r="AY135" s="19"/>
      <c r="AZ135" s="19">
        <f>SUM(AZ136:AZ137)</f>
        <v>0</v>
      </c>
      <c r="BA135" s="19"/>
      <c r="BB135" s="19"/>
      <c r="BC135" s="274"/>
      <c r="BD135" s="19"/>
      <c r="BE135" s="19">
        <f>SUM(BE136:BE137)</f>
        <v>0</v>
      </c>
      <c r="BF135" s="19"/>
      <c r="BG135" s="19"/>
      <c r="BH135" s="274"/>
      <c r="BI135" s="19"/>
      <c r="BJ135" s="19">
        <f>SUM(BJ136:BJ137)</f>
        <v>0</v>
      </c>
      <c r="BK135" s="19"/>
      <c r="BL135" s="19"/>
      <c r="BM135" s="274"/>
      <c r="BN135" s="19"/>
      <c r="BO135" s="19">
        <f>SUM(BO136:BO137)</f>
        <v>0</v>
      </c>
      <c r="BP135" s="19"/>
      <c r="BQ135" s="19"/>
      <c r="BR135" s="274"/>
      <c r="BS135" s="19"/>
      <c r="BT135" s="19">
        <f>SUM(BT136:BT137)</f>
        <v>4923900</v>
      </c>
      <c r="BU135" s="19"/>
      <c r="BV135" s="19"/>
      <c r="BW135" s="274"/>
      <c r="BX135" s="19"/>
      <c r="BY135" s="19">
        <v>0</v>
      </c>
      <c r="BZ135" s="19"/>
      <c r="CA135" s="19"/>
      <c r="CB135" s="274"/>
      <c r="CC135" s="19"/>
      <c r="CD135" s="19">
        <f>SUM(CD136:CD137)</f>
        <v>0</v>
      </c>
      <c r="CE135" s="19"/>
      <c r="CF135" s="19"/>
      <c r="CG135" s="274"/>
      <c r="CH135" s="19"/>
      <c r="CI135" s="19">
        <f>SUM(CI136:CI137)</f>
        <v>0</v>
      </c>
      <c r="CJ135" s="19"/>
      <c r="CK135" s="19"/>
      <c r="CL135" s="274"/>
      <c r="CM135" s="19"/>
      <c r="CN135" s="19">
        <f>SUM(CN136:CN137)</f>
        <v>0</v>
      </c>
      <c r="CO135" s="19"/>
      <c r="CP135" s="19"/>
      <c r="CQ135" s="274"/>
      <c r="CR135" s="19"/>
      <c r="CS135" s="19">
        <f>SUM(CS136:CS137)</f>
        <v>0</v>
      </c>
      <c r="CT135" s="19"/>
      <c r="CU135" s="19"/>
      <c r="CV135" s="274"/>
      <c r="CW135" s="19"/>
      <c r="CX135" s="19">
        <f>SUM(CX136:CX137)</f>
        <v>0</v>
      </c>
      <c r="CY135" s="19"/>
      <c r="CZ135" s="19"/>
      <c r="DA135" s="274"/>
      <c r="DB135" s="19"/>
      <c r="DC135" s="19">
        <f>SUM(DC136:DC137)</f>
        <v>0</v>
      </c>
      <c r="DD135" s="19"/>
      <c r="DE135" s="19"/>
      <c r="DF135" s="274"/>
      <c r="DG135" s="19"/>
      <c r="DH135" s="19">
        <f>SUM(DH136:DH137)</f>
        <v>0</v>
      </c>
      <c r="DI135" s="19"/>
      <c r="DJ135" s="19"/>
      <c r="DK135" s="274"/>
      <c r="DL135" s="19"/>
      <c r="DM135" s="19">
        <f>SUM(DM136:DM137)</f>
        <v>0</v>
      </c>
      <c r="DN135" s="19"/>
      <c r="DO135" s="19"/>
      <c r="DP135" s="274"/>
      <c r="DQ135" s="19"/>
      <c r="DR135" s="19">
        <f>SUM(DR136:DR137)</f>
        <v>0</v>
      </c>
      <c r="DS135" s="19"/>
      <c r="DT135" s="19"/>
      <c r="DU135" s="274"/>
      <c r="DV135" s="19"/>
      <c r="DW135" s="19">
        <f>SUM(DW136:DW137)</f>
        <v>0</v>
      </c>
      <c r="DX135" s="19"/>
      <c r="DY135" s="19"/>
      <c r="DZ135" s="274"/>
      <c r="EA135" s="19"/>
      <c r="EB135" s="19">
        <f>SUM(EB136:EB137)</f>
        <v>0</v>
      </c>
      <c r="EC135" s="19"/>
      <c r="ED135" s="19"/>
      <c r="EE135" s="274"/>
      <c r="EF135" s="19"/>
      <c r="EG135" s="19">
        <f>SUM(EG136:EG137)</f>
        <v>0</v>
      </c>
      <c r="EH135" s="19"/>
      <c r="EI135" s="19"/>
      <c r="EJ135" s="274"/>
      <c r="EK135" s="19"/>
      <c r="EL135" s="19">
        <f>SUM(EL136:EL137)</f>
        <v>0</v>
      </c>
      <c r="EM135" s="19"/>
      <c r="EN135" s="19"/>
      <c r="EO135" s="244"/>
    </row>
    <row r="136" spans="4:145" ht="12.75" customHeight="1" x14ac:dyDescent="0.2">
      <c r="D136" s="244" t="s">
        <v>466</v>
      </c>
      <c r="E136" s="82"/>
      <c r="F136" s="112"/>
      <c r="G136" s="374">
        <v>1961000</v>
      </c>
      <c r="H136" s="475"/>
      <c r="I136" s="19"/>
      <c r="J136" s="274"/>
      <c r="K136" s="112"/>
      <c r="L136" s="374">
        <v>0</v>
      </c>
      <c r="M136" s="475"/>
      <c r="N136" s="19"/>
      <c r="O136" s="274"/>
      <c r="P136" s="112"/>
      <c r="Q136" s="374">
        <v>1960784</v>
      </c>
      <c r="R136" s="475"/>
      <c r="S136" s="19"/>
      <c r="T136" s="274"/>
      <c r="U136" s="112"/>
      <c r="V136" s="374">
        <v>0</v>
      </c>
      <c r="W136" s="475"/>
      <c r="X136" s="19"/>
      <c r="Y136" s="274"/>
      <c r="Z136" s="112"/>
      <c r="AA136" s="374">
        <v>0</v>
      </c>
      <c r="AB136" s="475"/>
      <c r="AC136" s="19"/>
      <c r="AD136" s="274"/>
      <c r="AE136" s="112"/>
      <c r="AF136" s="374">
        <v>0</v>
      </c>
      <c r="AG136" s="475"/>
      <c r="AH136" s="19"/>
      <c r="AI136" s="274"/>
      <c r="AJ136" s="112"/>
      <c r="AK136" s="374">
        <v>0</v>
      </c>
      <c r="AL136" s="475"/>
      <c r="AM136" s="19"/>
      <c r="AN136" s="274"/>
      <c r="AO136" s="112"/>
      <c r="AP136" s="374">
        <v>0</v>
      </c>
      <c r="AQ136" s="475"/>
      <c r="AR136" s="19"/>
      <c r="AS136" s="274"/>
      <c r="AT136" s="112"/>
      <c r="AU136" s="374">
        <v>0</v>
      </c>
      <c r="AV136" s="475"/>
      <c r="AW136" s="19"/>
      <c r="AX136" s="274"/>
      <c r="AY136" s="112"/>
      <c r="AZ136" s="374">
        <v>0</v>
      </c>
      <c r="BA136" s="475"/>
      <c r="BB136" s="19"/>
      <c r="BC136" s="274"/>
      <c r="BD136" s="112"/>
      <c r="BE136" s="374">
        <v>0</v>
      </c>
      <c r="BF136" s="475"/>
      <c r="BG136" s="19"/>
      <c r="BH136" s="274"/>
      <c r="BI136" s="112"/>
      <c r="BJ136" s="374">
        <v>0</v>
      </c>
      <c r="BK136" s="475"/>
      <c r="BL136" s="19"/>
      <c r="BM136" s="274"/>
      <c r="BN136" s="112"/>
      <c r="BO136" s="374">
        <v>0</v>
      </c>
      <c r="BP136" s="475"/>
      <c r="BQ136" s="19"/>
      <c r="BR136" s="274"/>
      <c r="BS136" s="112"/>
      <c r="BT136" s="374">
        <f>SUM(L136:BO136)</f>
        <v>1960784</v>
      </c>
      <c r="BU136" s="475"/>
      <c r="BV136" s="19"/>
      <c r="BW136" s="274"/>
      <c r="BX136" s="112"/>
      <c r="BY136" s="374">
        <v>0</v>
      </c>
      <c r="BZ136" s="475"/>
      <c r="CA136" s="19"/>
      <c r="CB136" s="274"/>
      <c r="CC136" s="112"/>
      <c r="CD136" s="374">
        <v>0</v>
      </c>
      <c r="CE136" s="475"/>
      <c r="CF136" s="19"/>
      <c r="CG136" s="274"/>
      <c r="CH136" s="112"/>
      <c r="CI136" s="374">
        <v>0</v>
      </c>
      <c r="CJ136" s="475"/>
      <c r="CK136" s="19"/>
      <c r="CL136" s="274"/>
      <c r="CM136" s="112"/>
      <c r="CN136" s="374">
        <v>0</v>
      </c>
      <c r="CO136" s="475"/>
      <c r="CP136" s="19"/>
      <c r="CQ136" s="274"/>
      <c r="CR136" s="112"/>
      <c r="CS136" s="374">
        <v>0</v>
      </c>
      <c r="CT136" s="475"/>
      <c r="CU136" s="19"/>
      <c r="CV136" s="274"/>
      <c r="CW136" s="112"/>
      <c r="CX136" s="374">
        <v>0</v>
      </c>
      <c r="CY136" s="475"/>
      <c r="CZ136" s="19"/>
      <c r="DA136" s="274"/>
      <c r="DB136" s="112"/>
      <c r="DC136" s="374">
        <v>0</v>
      </c>
      <c r="DD136" s="475"/>
      <c r="DE136" s="19"/>
      <c r="DF136" s="274"/>
      <c r="DG136" s="112"/>
      <c r="DH136" s="374">
        <v>0</v>
      </c>
      <c r="DI136" s="475"/>
      <c r="DJ136" s="19"/>
      <c r="DK136" s="274"/>
      <c r="DL136" s="112"/>
      <c r="DM136" s="374">
        <v>0</v>
      </c>
      <c r="DN136" s="475"/>
      <c r="DO136" s="19"/>
      <c r="DP136" s="274"/>
      <c r="DQ136" s="112"/>
      <c r="DR136" s="374">
        <v>0</v>
      </c>
      <c r="DS136" s="475"/>
      <c r="DT136" s="19"/>
      <c r="DU136" s="274"/>
      <c r="DV136" s="112"/>
      <c r="DW136" s="374">
        <v>0</v>
      </c>
      <c r="DX136" s="475"/>
      <c r="DY136" s="19"/>
      <c r="DZ136" s="274"/>
      <c r="EA136" s="112"/>
      <c r="EB136" s="374">
        <v>0</v>
      </c>
      <c r="EC136" s="475"/>
      <c r="ED136" s="19"/>
      <c r="EE136" s="274"/>
      <c r="EF136" s="112"/>
      <c r="EG136" s="374">
        <v>0</v>
      </c>
      <c r="EH136" s="475"/>
      <c r="EI136" s="19"/>
      <c r="EJ136" s="274"/>
      <c r="EK136" s="112"/>
      <c r="EL136" s="374">
        <f>SUM(CD136:EG136)</f>
        <v>0</v>
      </c>
      <c r="EM136" s="475"/>
      <c r="EN136" s="19"/>
      <c r="EO136" s="244"/>
    </row>
    <row r="137" spans="4:145" ht="12.75" customHeight="1" x14ac:dyDescent="0.2">
      <c r="D137" s="244" t="s">
        <v>467</v>
      </c>
      <c r="E137" s="82"/>
      <c r="F137" s="276"/>
      <c r="G137" s="37">
        <v>2963000</v>
      </c>
      <c r="H137" s="36"/>
      <c r="I137" s="19"/>
      <c r="J137" s="274"/>
      <c r="K137" s="276"/>
      <c r="L137" s="37">
        <v>0</v>
      </c>
      <c r="M137" s="36"/>
      <c r="N137" s="19"/>
      <c r="O137" s="274"/>
      <c r="P137" s="276"/>
      <c r="Q137" s="37">
        <v>2963116</v>
      </c>
      <c r="R137" s="36"/>
      <c r="S137" s="19"/>
      <c r="T137" s="274"/>
      <c r="U137" s="276"/>
      <c r="V137" s="37">
        <v>0</v>
      </c>
      <c r="W137" s="36"/>
      <c r="X137" s="19"/>
      <c r="Y137" s="274"/>
      <c r="Z137" s="276"/>
      <c r="AA137" s="37">
        <v>0</v>
      </c>
      <c r="AB137" s="36"/>
      <c r="AC137" s="19"/>
      <c r="AD137" s="274"/>
      <c r="AE137" s="276"/>
      <c r="AF137" s="37">
        <v>0</v>
      </c>
      <c r="AG137" s="36"/>
      <c r="AH137" s="19"/>
      <c r="AI137" s="274"/>
      <c r="AJ137" s="276"/>
      <c r="AK137" s="37">
        <v>0</v>
      </c>
      <c r="AL137" s="36"/>
      <c r="AM137" s="19"/>
      <c r="AN137" s="274"/>
      <c r="AO137" s="276"/>
      <c r="AP137" s="37">
        <v>0</v>
      </c>
      <c r="AQ137" s="36"/>
      <c r="AR137" s="19"/>
      <c r="AS137" s="274"/>
      <c r="AT137" s="276"/>
      <c r="AU137" s="37">
        <v>0</v>
      </c>
      <c r="AV137" s="36"/>
      <c r="AW137" s="19"/>
      <c r="AX137" s="274"/>
      <c r="AY137" s="276"/>
      <c r="AZ137" s="37">
        <v>0</v>
      </c>
      <c r="BA137" s="36"/>
      <c r="BB137" s="19"/>
      <c r="BC137" s="274"/>
      <c r="BD137" s="276"/>
      <c r="BE137" s="37">
        <v>0</v>
      </c>
      <c r="BF137" s="36"/>
      <c r="BG137" s="19"/>
      <c r="BH137" s="274"/>
      <c r="BI137" s="276"/>
      <c r="BJ137" s="37">
        <v>0</v>
      </c>
      <c r="BK137" s="36"/>
      <c r="BL137" s="19"/>
      <c r="BM137" s="274"/>
      <c r="BN137" s="276"/>
      <c r="BO137" s="37">
        <v>0</v>
      </c>
      <c r="BP137" s="36"/>
      <c r="BQ137" s="19"/>
      <c r="BR137" s="274"/>
      <c r="BS137" s="276"/>
      <c r="BT137" s="37">
        <f>SUM(L137:BO137)</f>
        <v>2963116</v>
      </c>
      <c r="BU137" s="36"/>
      <c r="BV137" s="19"/>
      <c r="BW137" s="274"/>
      <c r="BX137" s="276"/>
      <c r="BY137" s="37">
        <v>0</v>
      </c>
      <c r="BZ137" s="36"/>
      <c r="CA137" s="19"/>
      <c r="CB137" s="274"/>
      <c r="CC137" s="276"/>
      <c r="CD137" s="37">
        <v>0</v>
      </c>
      <c r="CE137" s="36"/>
      <c r="CF137" s="19"/>
      <c r="CG137" s="274"/>
      <c r="CH137" s="276"/>
      <c r="CI137" s="37">
        <v>0</v>
      </c>
      <c r="CJ137" s="36"/>
      <c r="CK137" s="19"/>
      <c r="CL137" s="274"/>
      <c r="CM137" s="276"/>
      <c r="CN137" s="37">
        <v>0</v>
      </c>
      <c r="CO137" s="36"/>
      <c r="CP137" s="19"/>
      <c r="CQ137" s="274"/>
      <c r="CR137" s="276"/>
      <c r="CS137" s="37">
        <v>0</v>
      </c>
      <c r="CT137" s="36"/>
      <c r="CU137" s="19"/>
      <c r="CV137" s="274"/>
      <c r="CW137" s="276"/>
      <c r="CX137" s="37">
        <v>0</v>
      </c>
      <c r="CY137" s="36"/>
      <c r="CZ137" s="19"/>
      <c r="DA137" s="274"/>
      <c r="DB137" s="276"/>
      <c r="DC137" s="37">
        <v>0</v>
      </c>
      <c r="DD137" s="36"/>
      <c r="DE137" s="19"/>
      <c r="DF137" s="274"/>
      <c r="DG137" s="276"/>
      <c r="DH137" s="37">
        <v>0</v>
      </c>
      <c r="DI137" s="36"/>
      <c r="DJ137" s="19"/>
      <c r="DK137" s="274"/>
      <c r="DL137" s="276"/>
      <c r="DM137" s="37">
        <v>0</v>
      </c>
      <c r="DN137" s="36"/>
      <c r="DO137" s="19"/>
      <c r="DP137" s="274"/>
      <c r="DQ137" s="276"/>
      <c r="DR137" s="37">
        <v>0</v>
      </c>
      <c r="DS137" s="36"/>
      <c r="DT137" s="19"/>
      <c r="DU137" s="274"/>
      <c r="DV137" s="276"/>
      <c r="DW137" s="37">
        <v>0</v>
      </c>
      <c r="DX137" s="36"/>
      <c r="DY137" s="19"/>
      <c r="DZ137" s="274"/>
      <c r="EA137" s="276"/>
      <c r="EB137" s="37">
        <v>0</v>
      </c>
      <c r="EC137" s="36"/>
      <c r="ED137" s="19"/>
      <c r="EE137" s="274"/>
      <c r="EF137" s="276"/>
      <c r="EG137" s="37">
        <v>0</v>
      </c>
      <c r="EH137" s="36"/>
      <c r="EI137" s="19"/>
      <c r="EJ137" s="274"/>
      <c r="EK137" s="276"/>
      <c r="EL137" s="37">
        <f>SUM(CD137:EG137)</f>
        <v>0</v>
      </c>
      <c r="EM137" s="36"/>
      <c r="EN137" s="19"/>
      <c r="EO137" s="244"/>
    </row>
    <row r="138" spans="4:145" x14ac:dyDescent="0.2">
      <c r="D138" s="244"/>
      <c r="E138" s="82"/>
      <c r="G138" s="19"/>
      <c r="H138" s="19"/>
      <c r="I138" s="19"/>
      <c r="J138" s="274"/>
      <c r="K138" s="19"/>
      <c r="L138" s="19"/>
      <c r="M138" s="19"/>
      <c r="N138" s="19"/>
      <c r="O138" s="274"/>
      <c r="P138" s="19"/>
      <c r="Q138" s="19"/>
      <c r="R138" s="19"/>
      <c r="S138" s="19"/>
      <c r="T138" s="274"/>
      <c r="U138" s="19"/>
      <c r="V138" s="19"/>
      <c r="W138" s="19"/>
      <c r="X138" s="19"/>
      <c r="Y138" s="274"/>
      <c r="Z138" s="19"/>
      <c r="AA138" s="19"/>
      <c r="AB138" s="19"/>
      <c r="AC138" s="19"/>
      <c r="AD138" s="274"/>
      <c r="AE138" s="19"/>
      <c r="AF138" s="19"/>
      <c r="AG138" s="19"/>
      <c r="AH138" s="19"/>
      <c r="AI138" s="274"/>
      <c r="AJ138" s="19"/>
      <c r="AK138" s="19"/>
      <c r="AL138" s="19"/>
      <c r="AM138" s="19"/>
      <c r="AN138" s="274"/>
      <c r="AO138" s="19"/>
      <c r="AP138" s="19"/>
      <c r="AQ138" s="19"/>
      <c r="AR138" s="19"/>
      <c r="AS138" s="274"/>
      <c r="AT138" s="19"/>
      <c r="AU138" s="19"/>
      <c r="AV138" s="19"/>
      <c r="AW138" s="19"/>
      <c r="AX138" s="274"/>
      <c r="AY138" s="19"/>
      <c r="AZ138" s="19"/>
      <c r="BA138" s="19"/>
      <c r="BB138" s="19"/>
      <c r="BC138" s="274"/>
      <c r="BD138" s="19"/>
      <c r="BE138" s="19"/>
      <c r="BF138" s="19"/>
      <c r="BG138" s="19"/>
      <c r="BH138" s="274"/>
      <c r="BI138" s="19"/>
      <c r="BJ138" s="19"/>
      <c r="BK138" s="19"/>
      <c r="BL138" s="19"/>
      <c r="BM138" s="274"/>
      <c r="BN138" s="19"/>
      <c r="BO138" s="19"/>
      <c r="BP138" s="19"/>
      <c r="BQ138" s="19"/>
      <c r="BR138" s="274"/>
      <c r="BS138" s="19"/>
      <c r="BT138" s="19"/>
      <c r="BU138" s="19"/>
      <c r="BV138" s="19"/>
      <c r="BW138" s="274"/>
      <c r="BX138" s="19"/>
      <c r="BY138" s="19"/>
      <c r="BZ138" s="19"/>
      <c r="CA138" s="19"/>
      <c r="CB138" s="274"/>
      <c r="CC138" s="19"/>
      <c r="CD138" s="19"/>
      <c r="CE138" s="19"/>
      <c r="CF138" s="19"/>
      <c r="CG138" s="274"/>
      <c r="CH138" s="19"/>
      <c r="CI138" s="19"/>
      <c r="CJ138" s="19"/>
      <c r="CK138" s="19"/>
      <c r="CL138" s="274"/>
      <c r="CM138" s="19"/>
      <c r="CN138" s="19"/>
      <c r="CO138" s="19"/>
      <c r="CP138" s="19"/>
      <c r="CQ138" s="274"/>
      <c r="CR138" s="19"/>
      <c r="CS138" s="19"/>
      <c r="CT138" s="19"/>
      <c r="CU138" s="19"/>
      <c r="CV138" s="274"/>
      <c r="CW138" s="19"/>
      <c r="CX138" s="19"/>
      <c r="CY138" s="19"/>
      <c r="CZ138" s="19"/>
      <c r="DA138" s="274"/>
      <c r="DB138" s="19"/>
      <c r="DC138" s="19"/>
      <c r="DD138" s="19"/>
      <c r="DE138" s="19"/>
      <c r="DF138" s="274"/>
      <c r="DG138" s="19"/>
      <c r="DH138" s="19"/>
      <c r="DI138" s="19"/>
      <c r="DJ138" s="19"/>
      <c r="DK138" s="274"/>
      <c r="DL138" s="19"/>
      <c r="DM138" s="19"/>
      <c r="DN138" s="19"/>
      <c r="DO138" s="19"/>
      <c r="DP138" s="274"/>
      <c r="DQ138" s="19"/>
      <c r="DR138" s="19"/>
      <c r="DS138" s="19"/>
      <c r="DT138" s="19"/>
      <c r="DU138" s="274"/>
      <c r="DV138" s="19"/>
      <c r="DW138" s="19"/>
      <c r="DX138" s="19"/>
      <c r="DY138" s="19"/>
      <c r="DZ138" s="274"/>
      <c r="EA138" s="19"/>
      <c r="EB138" s="19"/>
      <c r="EC138" s="19"/>
      <c r="ED138" s="19"/>
      <c r="EE138" s="274"/>
      <c r="EF138" s="19"/>
      <c r="EG138" s="19"/>
      <c r="EH138" s="19"/>
      <c r="EI138" s="19"/>
      <c r="EJ138" s="274"/>
      <c r="EK138" s="19"/>
      <c r="EL138" s="19"/>
      <c r="EM138" s="19"/>
      <c r="EN138" s="19"/>
      <c r="EO138" s="244"/>
    </row>
    <row r="139" spans="4:145" x14ac:dyDescent="0.2">
      <c r="D139" s="244" t="s">
        <v>475</v>
      </c>
      <c r="E139" s="82"/>
      <c r="G139" s="19">
        <f>SUM(G140:G141)</f>
        <v>8700000</v>
      </c>
      <c r="H139" s="19"/>
      <c r="I139" s="19"/>
      <c r="J139" s="274"/>
      <c r="K139" s="19"/>
      <c r="L139" s="19">
        <f>SUM(L140:L141)</f>
        <v>0</v>
      </c>
      <c r="M139" s="19"/>
      <c r="N139" s="19"/>
      <c r="O139" s="274"/>
      <c r="P139" s="19"/>
      <c r="Q139" s="19">
        <f>SUM(Q140:Q141)</f>
        <v>0</v>
      </c>
      <c r="R139" s="19"/>
      <c r="S139" s="19"/>
      <c r="T139" s="274"/>
      <c r="U139" s="19"/>
      <c r="V139" s="19">
        <f>SUM(V140:V141)</f>
        <v>8699700</v>
      </c>
      <c r="W139" s="19"/>
      <c r="X139" s="19"/>
      <c r="Y139" s="274"/>
      <c r="Z139" s="19"/>
      <c r="AA139" s="19">
        <f>SUM(AA140:AA141)</f>
        <v>0</v>
      </c>
      <c r="AB139" s="19"/>
      <c r="AC139" s="19"/>
      <c r="AD139" s="274"/>
      <c r="AE139" s="19"/>
      <c r="AF139" s="19">
        <f>SUM(AF140:AF141)</f>
        <v>0</v>
      </c>
      <c r="AG139" s="19"/>
      <c r="AH139" s="19"/>
      <c r="AI139" s="274"/>
      <c r="AJ139" s="19"/>
      <c r="AK139" s="19">
        <f>SUM(AK140:AK141)</f>
        <v>0</v>
      </c>
      <c r="AL139" s="19"/>
      <c r="AM139" s="19"/>
      <c r="AN139" s="274"/>
      <c r="AO139" s="19"/>
      <c r="AP139" s="19">
        <f>SUM(AP140:AP141)</f>
        <v>0</v>
      </c>
      <c r="AQ139" s="19"/>
      <c r="AR139" s="19"/>
      <c r="AS139" s="274"/>
      <c r="AT139" s="19"/>
      <c r="AU139" s="19">
        <f>SUM(AU140:AU141)</f>
        <v>0</v>
      </c>
      <c r="AV139" s="19"/>
      <c r="AW139" s="19"/>
      <c r="AX139" s="274"/>
      <c r="AY139" s="19"/>
      <c r="AZ139" s="19">
        <f>SUM(AZ140:AZ141)</f>
        <v>0</v>
      </c>
      <c r="BA139" s="19"/>
      <c r="BB139" s="19"/>
      <c r="BC139" s="274"/>
      <c r="BD139" s="19"/>
      <c r="BE139" s="19">
        <f>SUM(BE140:BE141)</f>
        <v>0</v>
      </c>
      <c r="BF139" s="19"/>
      <c r="BG139" s="19"/>
      <c r="BH139" s="274"/>
      <c r="BI139" s="19"/>
      <c r="BJ139" s="19">
        <f>SUM(BJ140:BJ141)</f>
        <v>0</v>
      </c>
      <c r="BK139" s="19"/>
      <c r="BL139" s="19"/>
      <c r="BM139" s="274"/>
      <c r="BN139" s="19"/>
      <c r="BO139" s="19">
        <f>SUM(BO140:BO141)</f>
        <v>0</v>
      </c>
      <c r="BP139" s="19"/>
      <c r="BQ139" s="19"/>
      <c r="BR139" s="274"/>
      <c r="BS139" s="19"/>
      <c r="BT139" s="19">
        <f>SUM(BT140:BT141)</f>
        <v>8699700</v>
      </c>
      <c r="BU139" s="19"/>
      <c r="BV139" s="19"/>
      <c r="BW139" s="274"/>
      <c r="BX139" s="19"/>
      <c r="BY139" s="19">
        <v>0</v>
      </c>
      <c r="BZ139" s="19"/>
      <c r="CA139" s="19"/>
      <c r="CB139" s="274"/>
      <c r="CC139" s="19"/>
      <c r="CD139" s="19">
        <f>SUM(CD140:CD141)</f>
        <v>0</v>
      </c>
      <c r="CE139" s="19"/>
      <c r="CF139" s="19"/>
      <c r="CG139" s="274"/>
      <c r="CH139" s="19"/>
      <c r="CI139" s="19">
        <f>SUM(CI140:CI141)</f>
        <v>0</v>
      </c>
      <c r="CJ139" s="19"/>
      <c r="CK139" s="19"/>
      <c r="CL139" s="274"/>
      <c r="CM139" s="19"/>
      <c r="CN139" s="19">
        <f>SUM(CN140:CN141)</f>
        <v>0</v>
      </c>
      <c r="CO139" s="19"/>
      <c r="CP139" s="19"/>
      <c r="CQ139" s="274"/>
      <c r="CR139" s="19"/>
      <c r="CS139" s="19">
        <f>SUM(CS140:CS141)</f>
        <v>0</v>
      </c>
      <c r="CT139" s="19"/>
      <c r="CU139" s="19"/>
      <c r="CV139" s="274"/>
      <c r="CW139" s="19"/>
      <c r="CX139" s="19">
        <f>SUM(CX140:CX141)</f>
        <v>0</v>
      </c>
      <c r="CY139" s="19"/>
      <c r="CZ139" s="19"/>
      <c r="DA139" s="274"/>
      <c r="DB139" s="19"/>
      <c r="DC139" s="19">
        <f>SUM(DC140:DC141)</f>
        <v>0</v>
      </c>
      <c r="DD139" s="19"/>
      <c r="DE139" s="19"/>
      <c r="DF139" s="274"/>
      <c r="DG139" s="19"/>
      <c r="DH139" s="19">
        <f>SUM(DH140:DH141)</f>
        <v>0</v>
      </c>
      <c r="DI139" s="19"/>
      <c r="DJ139" s="19"/>
      <c r="DK139" s="274"/>
      <c r="DL139" s="19"/>
      <c r="DM139" s="19">
        <f>SUM(DM140:DM141)</f>
        <v>0</v>
      </c>
      <c r="DN139" s="19"/>
      <c r="DO139" s="19"/>
      <c r="DP139" s="274"/>
      <c r="DQ139" s="19"/>
      <c r="DR139" s="19">
        <f>SUM(DR140:DR141)</f>
        <v>0</v>
      </c>
      <c r="DS139" s="19"/>
      <c r="DT139" s="19"/>
      <c r="DU139" s="274"/>
      <c r="DV139" s="19"/>
      <c r="DW139" s="19">
        <f>SUM(DW140:DW141)</f>
        <v>0</v>
      </c>
      <c r="DX139" s="19"/>
      <c r="DY139" s="19"/>
      <c r="DZ139" s="274"/>
      <c r="EA139" s="19"/>
      <c r="EB139" s="19">
        <f>SUM(EB140:EB141)</f>
        <v>0</v>
      </c>
      <c r="EC139" s="19"/>
      <c r="ED139" s="19"/>
      <c r="EE139" s="274"/>
      <c r="EF139" s="19"/>
      <c r="EG139" s="19">
        <f>SUM(EG140:EG141)</f>
        <v>0</v>
      </c>
      <c r="EH139" s="19"/>
      <c r="EI139" s="19"/>
      <c r="EJ139" s="274"/>
      <c r="EK139" s="19"/>
      <c r="EL139" s="19">
        <f>SUM(EL140:EL141)</f>
        <v>0</v>
      </c>
      <c r="EM139" s="19"/>
      <c r="EN139" s="19"/>
      <c r="EO139" s="244"/>
    </row>
    <row r="140" spans="4:145" x14ac:dyDescent="0.2">
      <c r="D140" s="244" t="s">
        <v>466</v>
      </c>
      <c r="E140" s="82"/>
      <c r="F140" s="112"/>
      <c r="G140" s="374">
        <v>5604000</v>
      </c>
      <c r="H140" s="475"/>
      <c r="I140" s="19"/>
      <c r="J140" s="274"/>
      <c r="K140" s="112"/>
      <c r="L140" s="374">
        <v>0</v>
      </c>
      <c r="M140" s="475"/>
      <c r="N140" s="19"/>
      <c r="O140" s="274"/>
      <c r="P140" s="112"/>
      <c r="Q140" s="374">
        <v>0</v>
      </c>
      <c r="R140" s="475"/>
      <c r="S140" s="19"/>
      <c r="T140" s="274"/>
      <c r="U140" s="112"/>
      <c r="V140" s="374">
        <v>5604275</v>
      </c>
      <c r="W140" s="475"/>
      <c r="X140" s="19"/>
      <c r="Y140" s="274"/>
      <c r="Z140" s="112"/>
      <c r="AA140" s="374">
        <v>0</v>
      </c>
      <c r="AB140" s="475"/>
      <c r="AC140" s="19"/>
      <c r="AD140" s="274"/>
      <c r="AE140" s="112"/>
      <c r="AF140" s="374">
        <v>0</v>
      </c>
      <c r="AG140" s="475"/>
      <c r="AH140" s="19"/>
      <c r="AI140" s="274"/>
      <c r="AJ140" s="112"/>
      <c r="AK140" s="374">
        <v>0</v>
      </c>
      <c r="AL140" s="475"/>
      <c r="AM140" s="19"/>
      <c r="AN140" s="274"/>
      <c r="AO140" s="112"/>
      <c r="AP140" s="374">
        <v>0</v>
      </c>
      <c r="AQ140" s="475"/>
      <c r="AR140" s="19"/>
      <c r="AS140" s="274"/>
      <c r="AT140" s="112"/>
      <c r="AU140" s="374">
        <v>0</v>
      </c>
      <c r="AV140" s="475"/>
      <c r="AW140" s="19"/>
      <c r="AX140" s="274"/>
      <c r="AY140" s="112"/>
      <c r="AZ140" s="374">
        <v>0</v>
      </c>
      <c r="BA140" s="475"/>
      <c r="BB140" s="19"/>
      <c r="BC140" s="274"/>
      <c r="BD140" s="112"/>
      <c r="BE140" s="374">
        <v>0</v>
      </c>
      <c r="BF140" s="475"/>
      <c r="BG140" s="19"/>
      <c r="BH140" s="274"/>
      <c r="BI140" s="112"/>
      <c r="BJ140" s="374">
        <v>0</v>
      </c>
      <c r="BK140" s="475"/>
      <c r="BL140" s="19"/>
      <c r="BM140" s="274"/>
      <c r="BN140" s="112"/>
      <c r="BO140" s="374">
        <v>0</v>
      </c>
      <c r="BP140" s="475"/>
      <c r="BQ140" s="19"/>
      <c r="BR140" s="274"/>
      <c r="BS140" s="112"/>
      <c r="BT140" s="374">
        <f>SUM(L140:BO140)</f>
        <v>5604275</v>
      </c>
      <c r="BU140" s="475"/>
      <c r="BV140" s="19"/>
      <c r="BW140" s="274"/>
      <c r="BX140" s="112"/>
      <c r="BY140" s="374">
        <v>0</v>
      </c>
      <c r="BZ140" s="475"/>
      <c r="CA140" s="19"/>
      <c r="CB140" s="274"/>
      <c r="CC140" s="112"/>
      <c r="CD140" s="374">
        <v>0</v>
      </c>
      <c r="CE140" s="475"/>
      <c r="CF140" s="19"/>
      <c r="CG140" s="274"/>
      <c r="CH140" s="112"/>
      <c r="CI140" s="374">
        <v>0</v>
      </c>
      <c r="CJ140" s="475"/>
      <c r="CK140" s="19"/>
      <c r="CL140" s="274"/>
      <c r="CM140" s="112"/>
      <c r="CN140" s="374">
        <v>0</v>
      </c>
      <c r="CO140" s="475"/>
      <c r="CP140" s="19"/>
      <c r="CQ140" s="274"/>
      <c r="CR140" s="112"/>
      <c r="CS140" s="374">
        <v>0</v>
      </c>
      <c r="CT140" s="475"/>
      <c r="CU140" s="19"/>
      <c r="CV140" s="274"/>
      <c r="CW140" s="112"/>
      <c r="CX140" s="374">
        <v>0</v>
      </c>
      <c r="CY140" s="475"/>
      <c r="CZ140" s="19"/>
      <c r="DA140" s="274"/>
      <c r="DB140" s="112"/>
      <c r="DC140" s="374">
        <v>0</v>
      </c>
      <c r="DD140" s="475"/>
      <c r="DE140" s="19"/>
      <c r="DF140" s="274"/>
      <c r="DG140" s="112"/>
      <c r="DH140" s="374">
        <v>0</v>
      </c>
      <c r="DI140" s="475"/>
      <c r="DJ140" s="19"/>
      <c r="DK140" s="274"/>
      <c r="DL140" s="112"/>
      <c r="DM140" s="374">
        <v>0</v>
      </c>
      <c r="DN140" s="475"/>
      <c r="DO140" s="19"/>
      <c r="DP140" s="274"/>
      <c r="DQ140" s="112"/>
      <c r="DR140" s="374">
        <v>0</v>
      </c>
      <c r="DS140" s="475"/>
      <c r="DT140" s="19"/>
      <c r="DU140" s="274"/>
      <c r="DV140" s="112"/>
      <c r="DW140" s="374">
        <v>0</v>
      </c>
      <c r="DX140" s="475"/>
      <c r="DY140" s="19"/>
      <c r="DZ140" s="274"/>
      <c r="EA140" s="112"/>
      <c r="EB140" s="374">
        <v>0</v>
      </c>
      <c r="EC140" s="475"/>
      <c r="ED140" s="19"/>
      <c r="EE140" s="274"/>
      <c r="EF140" s="112"/>
      <c r="EG140" s="374">
        <v>0</v>
      </c>
      <c r="EH140" s="475"/>
      <c r="EI140" s="19"/>
      <c r="EJ140" s="274"/>
      <c r="EK140" s="112"/>
      <c r="EL140" s="374">
        <f>SUM(CD140:EG140)</f>
        <v>0</v>
      </c>
      <c r="EM140" s="475"/>
      <c r="EN140" s="19"/>
      <c r="EO140" s="244"/>
    </row>
    <row r="141" spans="4:145" x14ac:dyDescent="0.2">
      <c r="D141" s="244" t="s">
        <v>467</v>
      </c>
      <c r="E141" s="82"/>
      <c r="F141" s="276"/>
      <c r="G141" s="37">
        <v>3096000</v>
      </c>
      <c r="H141" s="36"/>
      <c r="I141" s="19"/>
      <c r="J141" s="274"/>
      <c r="K141" s="276"/>
      <c r="L141" s="37">
        <v>0</v>
      </c>
      <c r="M141" s="36"/>
      <c r="N141" s="19"/>
      <c r="O141" s="274"/>
      <c r="P141" s="276"/>
      <c r="Q141" s="37">
        <v>0</v>
      </c>
      <c r="R141" s="36"/>
      <c r="S141" s="19"/>
      <c r="T141" s="274"/>
      <c r="U141" s="276"/>
      <c r="V141" s="37">
        <v>3095425</v>
      </c>
      <c r="W141" s="36"/>
      <c r="X141" s="19"/>
      <c r="Y141" s="274"/>
      <c r="Z141" s="276"/>
      <c r="AA141" s="37">
        <v>0</v>
      </c>
      <c r="AB141" s="36"/>
      <c r="AC141" s="19"/>
      <c r="AD141" s="274"/>
      <c r="AE141" s="276"/>
      <c r="AF141" s="37">
        <v>0</v>
      </c>
      <c r="AG141" s="36"/>
      <c r="AH141" s="19"/>
      <c r="AI141" s="274"/>
      <c r="AJ141" s="276"/>
      <c r="AK141" s="37">
        <v>0</v>
      </c>
      <c r="AL141" s="36"/>
      <c r="AM141" s="19"/>
      <c r="AN141" s="274"/>
      <c r="AO141" s="276"/>
      <c r="AP141" s="37">
        <v>0</v>
      </c>
      <c r="AQ141" s="36"/>
      <c r="AR141" s="19"/>
      <c r="AS141" s="274"/>
      <c r="AT141" s="276"/>
      <c r="AU141" s="37">
        <v>0</v>
      </c>
      <c r="AV141" s="36"/>
      <c r="AW141" s="19"/>
      <c r="AX141" s="274"/>
      <c r="AY141" s="276"/>
      <c r="AZ141" s="37">
        <v>0</v>
      </c>
      <c r="BA141" s="36"/>
      <c r="BB141" s="19"/>
      <c r="BC141" s="274"/>
      <c r="BD141" s="276"/>
      <c r="BE141" s="37">
        <v>0</v>
      </c>
      <c r="BF141" s="36"/>
      <c r="BG141" s="19"/>
      <c r="BH141" s="274"/>
      <c r="BI141" s="276"/>
      <c r="BJ141" s="37">
        <v>0</v>
      </c>
      <c r="BK141" s="36"/>
      <c r="BL141" s="19"/>
      <c r="BM141" s="274"/>
      <c r="BN141" s="276"/>
      <c r="BO141" s="37">
        <v>0</v>
      </c>
      <c r="BP141" s="36"/>
      <c r="BQ141" s="19"/>
      <c r="BR141" s="274"/>
      <c r="BS141" s="276"/>
      <c r="BT141" s="37">
        <f>SUM(L141:BO141)</f>
        <v>3095425</v>
      </c>
      <c r="BU141" s="36"/>
      <c r="BV141" s="19"/>
      <c r="BW141" s="274"/>
      <c r="BX141" s="276"/>
      <c r="BY141" s="37">
        <v>0</v>
      </c>
      <c r="BZ141" s="36"/>
      <c r="CA141" s="19"/>
      <c r="CB141" s="274"/>
      <c r="CC141" s="276"/>
      <c r="CD141" s="37">
        <v>0</v>
      </c>
      <c r="CE141" s="36"/>
      <c r="CF141" s="19"/>
      <c r="CG141" s="274"/>
      <c r="CH141" s="276"/>
      <c r="CI141" s="37">
        <v>0</v>
      </c>
      <c r="CJ141" s="36"/>
      <c r="CK141" s="19"/>
      <c r="CL141" s="274"/>
      <c r="CM141" s="276"/>
      <c r="CN141" s="37">
        <v>0</v>
      </c>
      <c r="CO141" s="36"/>
      <c r="CP141" s="19"/>
      <c r="CQ141" s="274"/>
      <c r="CR141" s="276"/>
      <c r="CS141" s="37">
        <v>0</v>
      </c>
      <c r="CT141" s="36"/>
      <c r="CU141" s="19"/>
      <c r="CV141" s="274"/>
      <c r="CW141" s="276"/>
      <c r="CX141" s="37">
        <v>0</v>
      </c>
      <c r="CY141" s="36"/>
      <c r="CZ141" s="19"/>
      <c r="DA141" s="274"/>
      <c r="DB141" s="276"/>
      <c r="DC141" s="37">
        <v>0</v>
      </c>
      <c r="DD141" s="36"/>
      <c r="DE141" s="19"/>
      <c r="DF141" s="274"/>
      <c r="DG141" s="276"/>
      <c r="DH141" s="37">
        <v>0</v>
      </c>
      <c r="DI141" s="36"/>
      <c r="DJ141" s="19"/>
      <c r="DK141" s="274"/>
      <c r="DL141" s="276"/>
      <c r="DM141" s="37">
        <v>0</v>
      </c>
      <c r="DN141" s="36"/>
      <c r="DO141" s="19"/>
      <c r="DP141" s="274"/>
      <c r="DQ141" s="276"/>
      <c r="DR141" s="37">
        <v>0</v>
      </c>
      <c r="DS141" s="36"/>
      <c r="DT141" s="19"/>
      <c r="DU141" s="274"/>
      <c r="DV141" s="276"/>
      <c r="DW141" s="37">
        <v>0</v>
      </c>
      <c r="DX141" s="36"/>
      <c r="DY141" s="19"/>
      <c r="DZ141" s="274"/>
      <c r="EA141" s="276"/>
      <c r="EB141" s="37">
        <v>0</v>
      </c>
      <c r="EC141" s="36"/>
      <c r="ED141" s="19"/>
      <c r="EE141" s="274"/>
      <c r="EF141" s="276"/>
      <c r="EG141" s="37">
        <v>0</v>
      </c>
      <c r="EH141" s="36"/>
      <c r="EI141" s="19"/>
      <c r="EJ141" s="274"/>
      <c r="EK141" s="276"/>
      <c r="EL141" s="37">
        <f>SUM(CD141:EG141)</f>
        <v>0</v>
      </c>
      <c r="EM141" s="36"/>
      <c r="EN141" s="19"/>
      <c r="EO141" s="244"/>
    </row>
    <row r="142" spans="4:145" x14ac:dyDescent="0.2">
      <c r="D142" s="244"/>
      <c r="E142" s="82"/>
      <c r="G142" s="19"/>
      <c r="H142" s="19"/>
      <c r="I142" s="19"/>
      <c r="J142" s="274"/>
      <c r="L142" s="19"/>
      <c r="M142" s="19"/>
      <c r="N142" s="19"/>
      <c r="O142" s="274"/>
      <c r="Q142" s="19"/>
      <c r="R142" s="19"/>
      <c r="S142" s="19"/>
      <c r="T142" s="274"/>
      <c r="V142" s="19"/>
      <c r="W142" s="19"/>
      <c r="X142" s="19"/>
      <c r="Y142" s="274"/>
      <c r="AA142" s="19"/>
      <c r="AB142" s="19"/>
      <c r="AC142" s="19"/>
      <c r="AD142" s="274"/>
      <c r="AF142" s="19"/>
      <c r="AG142" s="19"/>
      <c r="AH142" s="19"/>
      <c r="AI142" s="274"/>
      <c r="AK142" s="19"/>
      <c r="AL142" s="19"/>
      <c r="AM142" s="19"/>
      <c r="AN142" s="274"/>
      <c r="AP142" s="19"/>
      <c r="AQ142" s="19"/>
      <c r="AR142" s="19"/>
      <c r="AS142" s="274"/>
      <c r="AU142" s="19"/>
      <c r="AV142" s="19"/>
      <c r="AW142" s="19"/>
      <c r="AX142" s="274"/>
      <c r="AZ142" s="19"/>
      <c r="BA142" s="19"/>
      <c r="BB142" s="19"/>
      <c r="BC142" s="274"/>
      <c r="BE142" s="19"/>
      <c r="BF142" s="19"/>
      <c r="BG142" s="19"/>
      <c r="BH142" s="274"/>
      <c r="BJ142" s="19"/>
      <c r="BK142" s="19"/>
      <c r="BL142" s="19"/>
      <c r="BM142" s="274"/>
      <c r="BO142" s="19"/>
      <c r="BP142" s="19"/>
      <c r="BQ142" s="19"/>
      <c r="BR142" s="274"/>
      <c r="BT142" s="19"/>
      <c r="BU142" s="19"/>
      <c r="BV142" s="19"/>
      <c r="BW142" s="274"/>
      <c r="BY142" s="19"/>
      <c r="BZ142" s="19"/>
      <c r="CA142" s="19"/>
      <c r="CB142" s="274"/>
      <c r="CD142" s="19"/>
      <c r="CE142" s="19"/>
      <c r="CF142" s="19"/>
      <c r="CG142" s="274"/>
      <c r="CI142" s="19"/>
      <c r="CJ142" s="19"/>
      <c r="CK142" s="19"/>
      <c r="CL142" s="274"/>
      <c r="CN142" s="19"/>
      <c r="CO142" s="19"/>
      <c r="CP142" s="19"/>
      <c r="CQ142" s="274"/>
      <c r="CS142" s="19"/>
      <c r="CT142" s="19"/>
      <c r="CU142" s="19"/>
      <c r="CV142" s="274"/>
      <c r="CX142" s="19"/>
      <c r="CY142" s="19"/>
      <c r="CZ142" s="19"/>
      <c r="DA142" s="274"/>
      <c r="DC142" s="19"/>
      <c r="DD142" s="19"/>
      <c r="DE142" s="19"/>
      <c r="DF142" s="274"/>
      <c r="DH142" s="19"/>
      <c r="DI142" s="19"/>
      <c r="DJ142" s="19"/>
      <c r="DK142" s="274"/>
      <c r="DM142" s="19"/>
      <c r="DN142" s="19"/>
      <c r="DO142" s="19"/>
      <c r="DP142" s="274"/>
      <c r="DR142" s="19"/>
      <c r="DS142" s="19"/>
      <c r="DT142" s="19"/>
      <c r="DU142" s="274"/>
      <c r="DW142" s="19"/>
      <c r="DX142" s="19"/>
      <c r="DY142" s="19"/>
      <c r="DZ142" s="274"/>
      <c r="EB142" s="19"/>
      <c r="EC142" s="19"/>
      <c r="ED142" s="19"/>
      <c r="EE142" s="274"/>
      <c r="EG142" s="19"/>
      <c r="EH142" s="19"/>
      <c r="EI142" s="19"/>
      <c r="EJ142" s="274"/>
      <c r="EL142" s="19"/>
      <c r="EM142" s="19"/>
      <c r="EN142" s="19"/>
      <c r="EO142" s="244"/>
    </row>
    <row r="143" spans="4:145" x14ac:dyDescent="0.2">
      <c r="D143" s="244" t="s">
        <v>476</v>
      </c>
      <c r="E143" s="82"/>
      <c r="G143" s="19">
        <f>SUM(G144:G145)</f>
        <v>7000</v>
      </c>
      <c r="H143" s="19"/>
      <c r="I143" s="19"/>
      <c r="J143" s="274"/>
      <c r="K143" s="19"/>
      <c r="L143" s="19">
        <f>SUM(L144:L145)</f>
        <v>0</v>
      </c>
      <c r="M143" s="19"/>
      <c r="N143" s="19"/>
      <c r="O143" s="274"/>
      <c r="P143" s="19"/>
      <c r="Q143" s="19">
        <f>SUM(Q144:Q145)</f>
        <v>8086</v>
      </c>
      <c r="R143" s="19"/>
      <c r="S143" s="19"/>
      <c r="T143" s="274"/>
      <c r="U143" s="19"/>
      <c r="V143" s="19">
        <f>SUM(V144:V145)</f>
        <v>0</v>
      </c>
      <c r="W143" s="19"/>
      <c r="X143" s="19"/>
      <c r="Y143" s="274"/>
      <c r="Z143" s="19"/>
      <c r="AA143" s="19">
        <f>SUM(AA144:AA145)</f>
        <v>0</v>
      </c>
      <c r="AB143" s="19"/>
      <c r="AC143" s="19"/>
      <c r="AD143" s="274"/>
      <c r="AE143" s="19"/>
      <c r="AF143" s="19">
        <f>SUM(AF144:AF145)</f>
        <v>0</v>
      </c>
      <c r="AG143" s="19"/>
      <c r="AH143" s="19"/>
      <c r="AI143" s="274"/>
      <c r="AJ143" s="19"/>
      <c r="AK143" s="19">
        <f>SUM(AK144:AK145)</f>
        <v>0</v>
      </c>
      <c r="AL143" s="19"/>
      <c r="AM143" s="19"/>
      <c r="AN143" s="274"/>
      <c r="AO143" s="19"/>
      <c r="AP143" s="19">
        <f>SUM(AP144:AP145)</f>
        <v>0</v>
      </c>
      <c r="AQ143" s="19"/>
      <c r="AR143" s="19"/>
      <c r="AS143" s="274"/>
      <c r="AT143" s="19"/>
      <c r="AU143" s="19">
        <f>SUM(AU144:AU145)</f>
        <v>6967</v>
      </c>
      <c r="AV143" s="19"/>
      <c r="AW143" s="19"/>
      <c r="AX143" s="274"/>
      <c r="AY143" s="19"/>
      <c r="AZ143" s="19">
        <f>SUM(AZ144:AZ145)</f>
        <v>0</v>
      </c>
      <c r="BA143" s="19"/>
      <c r="BB143" s="19"/>
      <c r="BC143" s="274"/>
      <c r="BD143" s="19"/>
      <c r="BE143" s="19">
        <f>SUM(BE144:BE145)</f>
        <v>0</v>
      </c>
      <c r="BF143" s="19"/>
      <c r="BG143" s="19"/>
      <c r="BH143" s="274"/>
      <c r="BI143" s="19"/>
      <c r="BJ143" s="19">
        <f>SUM(BJ144:BJ145)</f>
        <v>0</v>
      </c>
      <c r="BK143" s="19"/>
      <c r="BL143" s="19"/>
      <c r="BM143" s="274"/>
      <c r="BN143" s="19"/>
      <c r="BO143" s="19">
        <f>SUM(BO144:BO145)</f>
        <v>0</v>
      </c>
      <c r="BP143" s="19"/>
      <c r="BQ143" s="19"/>
      <c r="BR143" s="274"/>
      <c r="BS143" s="19"/>
      <c r="BT143" s="19">
        <f>SUM(BT144:BT145)</f>
        <v>15053</v>
      </c>
      <c r="BU143" s="19"/>
      <c r="BV143" s="19"/>
      <c r="BW143" s="274"/>
      <c r="BX143" s="19"/>
      <c r="BY143" s="19">
        <v>0</v>
      </c>
      <c r="BZ143" s="19"/>
      <c r="CA143" s="19"/>
      <c r="CB143" s="274"/>
      <c r="CC143" s="19"/>
      <c r="CD143" s="19">
        <f>SUM(CD144:CD145)</f>
        <v>0</v>
      </c>
      <c r="CE143" s="19"/>
      <c r="CF143" s="19"/>
      <c r="CG143" s="274"/>
      <c r="CH143" s="19"/>
      <c r="CI143" s="19">
        <f>SUM(CI144:CI145)</f>
        <v>0</v>
      </c>
      <c r="CJ143" s="19"/>
      <c r="CK143" s="19"/>
      <c r="CL143" s="274"/>
      <c r="CM143" s="19"/>
      <c r="CN143" s="19">
        <f>SUM(CN144:CN145)</f>
        <v>0</v>
      </c>
      <c r="CO143" s="19"/>
      <c r="CP143" s="19"/>
      <c r="CQ143" s="274"/>
      <c r="CR143" s="19"/>
      <c r="CS143" s="19">
        <f>SUM(CS144:CS145)</f>
        <v>0</v>
      </c>
      <c r="CT143" s="19"/>
      <c r="CU143" s="19"/>
      <c r="CV143" s="274"/>
      <c r="CW143" s="19"/>
      <c r="CX143" s="19">
        <f>SUM(CX144:CX145)</f>
        <v>0</v>
      </c>
      <c r="CY143" s="19"/>
      <c r="CZ143" s="19"/>
      <c r="DA143" s="274"/>
      <c r="DB143" s="19"/>
      <c r="DC143" s="19">
        <f>SUM(DC144:DC145)</f>
        <v>0</v>
      </c>
      <c r="DD143" s="19"/>
      <c r="DE143" s="19"/>
      <c r="DF143" s="274"/>
      <c r="DG143" s="19"/>
      <c r="DH143" s="19">
        <f>SUM(DH144:DH145)</f>
        <v>0</v>
      </c>
      <c r="DI143" s="19"/>
      <c r="DJ143" s="19"/>
      <c r="DK143" s="274"/>
      <c r="DL143" s="19"/>
      <c r="DM143" s="19">
        <f>SUM(DM144:DM145)</f>
        <v>0</v>
      </c>
      <c r="DN143" s="19"/>
      <c r="DO143" s="19"/>
      <c r="DP143" s="274"/>
      <c r="DQ143" s="19"/>
      <c r="DR143" s="19">
        <f>SUM(DR144:DR145)</f>
        <v>0</v>
      </c>
      <c r="DS143" s="19"/>
      <c r="DT143" s="19"/>
      <c r="DU143" s="274"/>
      <c r="DV143" s="19"/>
      <c r="DW143" s="19">
        <f>SUM(DW144:DW145)</f>
        <v>0</v>
      </c>
      <c r="DX143" s="19"/>
      <c r="DY143" s="19"/>
      <c r="DZ143" s="274"/>
      <c r="EA143" s="19"/>
      <c r="EB143" s="19">
        <f>SUM(EB144:EB145)</f>
        <v>0</v>
      </c>
      <c r="EC143" s="19"/>
      <c r="ED143" s="19"/>
      <c r="EE143" s="274"/>
      <c r="EF143" s="19"/>
      <c r="EG143" s="19">
        <f>SUM(EG144:EG145)</f>
        <v>0</v>
      </c>
      <c r="EH143" s="19"/>
      <c r="EI143" s="19"/>
      <c r="EJ143" s="274"/>
      <c r="EK143" s="19"/>
      <c r="EL143" s="19">
        <f>SUM(EL144:EL145)</f>
        <v>0</v>
      </c>
      <c r="EM143" s="19"/>
      <c r="EN143" s="19"/>
      <c r="EO143" s="244"/>
    </row>
    <row r="144" spans="4:145" x14ac:dyDescent="0.2">
      <c r="D144" s="244" t="s">
        <v>466</v>
      </c>
      <c r="E144" s="82"/>
      <c r="F144" s="112"/>
      <c r="G144" s="374">
        <v>2000</v>
      </c>
      <c r="H144" s="475"/>
      <c r="I144" s="19"/>
      <c r="J144" s="274"/>
      <c r="K144" s="112"/>
      <c r="L144" s="374">
        <v>0</v>
      </c>
      <c r="M144" s="475"/>
      <c r="N144" s="19"/>
      <c r="O144" s="274"/>
      <c r="P144" s="112"/>
      <c r="Q144" s="374">
        <v>1939</v>
      </c>
      <c r="R144" s="475"/>
      <c r="S144" s="19"/>
      <c r="T144" s="274"/>
      <c r="U144" s="112"/>
      <c r="V144" s="374">
        <v>0</v>
      </c>
      <c r="W144" s="475"/>
      <c r="X144" s="19"/>
      <c r="Y144" s="274"/>
      <c r="Z144" s="112"/>
      <c r="AA144" s="374">
        <v>0</v>
      </c>
      <c r="AB144" s="475"/>
      <c r="AC144" s="19"/>
      <c r="AD144" s="274"/>
      <c r="AE144" s="112"/>
      <c r="AF144" s="374">
        <v>0</v>
      </c>
      <c r="AG144" s="475"/>
      <c r="AH144" s="19"/>
      <c r="AI144" s="274"/>
      <c r="AJ144" s="112"/>
      <c r="AK144" s="374">
        <v>0</v>
      </c>
      <c r="AL144" s="475"/>
      <c r="AM144" s="19"/>
      <c r="AN144" s="274"/>
      <c r="AO144" s="112"/>
      <c r="AP144" s="374">
        <v>0</v>
      </c>
      <c r="AQ144" s="475"/>
      <c r="AR144" s="19"/>
      <c r="AS144" s="274"/>
      <c r="AT144" s="112"/>
      <c r="AU144" s="374">
        <v>1940</v>
      </c>
      <c r="AV144" s="475"/>
      <c r="AW144" s="19"/>
      <c r="AX144" s="274"/>
      <c r="AY144" s="112"/>
      <c r="AZ144" s="374">
        <v>0</v>
      </c>
      <c r="BA144" s="475"/>
      <c r="BB144" s="19"/>
      <c r="BC144" s="274"/>
      <c r="BD144" s="112"/>
      <c r="BE144" s="374">
        <v>0</v>
      </c>
      <c r="BF144" s="475"/>
      <c r="BG144" s="19"/>
      <c r="BH144" s="274"/>
      <c r="BI144" s="112"/>
      <c r="BJ144" s="374">
        <v>0</v>
      </c>
      <c r="BK144" s="475"/>
      <c r="BL144" s="19"/>
      <c r="BM144" s="274"/>
      <c r="BN144" s="112"/>
      <c r="BO144" s="374">
        <v>0</v>
      </c>
      <c r="BP144" s="475"/>
      <c r="BQ144" s="19"/>
      <c r="BR144" s="274"/>
      <c r="BS144" s="112"/>
      <c r="BT144" s="374">
        <f>SUM(L144:BO144)</f>
        <v>3879</v>
      </c>
      <c r="BU144" s="475"/>
      <c r="BV144" s="19"/>
      <c r="BW144" s="274"/>
      <c r="BX144" s="112"/>
      <c r="BY144" s="374">
        <v>0</v>
      </c>
      <c r="BZ144" s="475"/>
      <c r="CA144" s="19"/>
      <c r="CB144" s="274"/>
      <c r="CC144" s="112"/>
      <c r="CD144" s="374">
        <v>0</v>
      </c>
      <c r="CE144" s="475"/>
      <c r="CF144" s="19"/>
      <c r="CG144" s="274"/>
      <c r="CH144" s="112"/>
      <c r="CI144" s="374">
        <v>0</v>
      </c>
      <c r="CJ144" s="475"/>
      <c r="CK144" s="19"/>
      <c r="CL144" s="274"/>
      <c r="CM144" s="112"/>
      <c r="CN144" s="374">
        <v>0</v>
      </c>
      <c r="CO144" s="475"/>
      <c r="CP144" s="19"/>
      <c r="CQ144" s="274"/>
      <c r="CR144" s="112"/>
      <c r="CS144" s="374">
        <v>0</v>
      </c>
      <c r="CT144" s="475"/>
      <c r="CU144" s="19"/>
      <c r="CV144" s="274"/>
      <c r="CW144" s="112"/>
      <c r="CX144" s="374">
        <v>0</v>
      </c>
      <c r="CY144" s="475"/>
      <c r="CZ144" s="19"/>
      <c r="DA144" s="274"/>
      <c r="DB144" s="112"/>
      <c r="DC144" s="374">
        <v>0</v>
      </c>
      <c r="DD144" s="475"/>
      <c r="DE144" s="19"/>
      <c r="DF144" s="274"/>
      <c r="DG144" s="112"/>
      <c r="DH144" s="374">
        <v>0</v>
      </c>
      <c r="DI144" s="475"/>
      <c r="DJ144" s="19"/>
      <c r="DK144" s="274"/>
      <c r="DL144" s="112"/>
      <c r="DM144" s="374">
        <v>0</v>
      </c>
      <c r="DN144" s="475"/>
      <c r="DO144" s="19"/>
      <c r="DP144" s="274"/>
      <c r="DQ144" s="112"/>
      <c r="DR144" s="374">
        <v>0</v>
      </c>
      <c r="DS144" s="475"/>
      <c r="DT144" s="19"/>
      <c r="DU144" s="274"/>
      <c r="DV144" s="112"/>
      <c r="DW144" s="374">
        <v>0</v>
      </c>
      <c r="DX144" s="475"/>
      <c r="DY144" s="19"/>
      <c r="DZ144" s="274"/>
      <c r="EA144" s="112"/>
      <c r="EB144" s="374">
        <v>0</v>
      </c>
      <c r="EC144" s="475"/>
      <c r="ED144" s="19"/>
      <c r="EE144" s="274"/>
      <c r="EF144" s="112"/>
      <c r="EG144" s="374">
        <v>0</v>
      </c>
      <c r="EH144" s="475"/>
      <c r="EI144" s="19"/>
      <c r="EJ144" s="274"/>
      <c r="EK144" s="112"/>
      <c r="EL144" s="374">
        <f>SUM(CD144:EG144)</f>
        <v>0</v>
      </c>
      <c r="EM144" s="475"/>
      <c r="EN144" s="19"/>
      <c r="EO144" s="244"/>
    </row>
    <row r="145" spans="4:148" x14ac:dyDescent="0.2">
      <c r="D145" s="244" t="s">
        <v>467</v>
      </c>
      <c r="E145" s="82"/>
      <c r="F145" s="276"/>
      <c r="G145" s="37">
        <v>5000</v>
      </c>
      <c r="H145" s="36"/>
      <c r="I145" s="19"/>
      <c r="J145" s="274"/>
      <c r="K145" s="276"/>
      <c r="L145" s="37">
        <v>0</v>
      </c>
      <c r="M145" s="36"/>
      <c r="N145" s="19"/>
      <c r="O145" s="274"/>
      <c r="P145" s="276"/>
      <c r="Q145" s="37">
        <v>6147</v>
      </c>
      <c r="R145" s="36"/>
      <c r="S145" s="19"/>
      <c r="T145" s="274"/>
      <c r="U145" s="276"/>
      <c r="V145" s="37">
        <v>0</v>
      </c>
      <c r="W145" s="36"/>
      <c r="X145" s="19"/>
      <c r="Y145" s="274"/>
      <c r="Z145" s="276"/>
      <c r="AA145" s="37">
        <v>0</v>
      </c>
      <c r="AB145" s="36"/>
      <c r="AC145" s="19"/>
      <c r="AD145" s="274"/>
      <c r="AE145" s="276"/>
      <c r="AF145" s="37">
        <v>0</v>
      </c>
      <c r="AG145" s="36"/>
      <c r="AH145" s="19"/>
      <c r="AI145" s="274"/>
      <c r="AJ145" s="276"/>
      <c r="AK145" s="37">
        <v>0</v>
      </c>
      <c r="AL145" s="36"/>
      <c r="AM145" s="19"/>
      <c r="AN145" s="274"/>
      <c r="AO145" s="276"/>
      <c r="AP145" s="37">
        <v>0</v>
      </c>
      <c r="AQ145" s="36"/>
      <c r="AR145" s="19"/>
      <c r="AS145" s="274"/>
      <c r="AT145" s="276"/>
      <c r="AU145" s="37">
        <v>5027</v>
      </c>
      <c r="AV145" s="36"/>
      <c r="AW145" s="19"/>
      <c r="AX145" s="274"/>
      <c r="AY145" s="276"/>
      <c r="AZ145" s="37">
        <v>0</v>
      </c>
      <c r="BA145" s="36"/>
      <c r="BB145" s="19"/>
      <c r="BC145" s="274"/>
      <c r="BD145" s="276"/>
      <c r="BE145" s="37">
        <v>0</v>
      </c>
      <c r="BF145" s="36"/>
      <c r="BG145" s="19"/>
      <c r="BH145" s="274"/>
      <c r="BI145" s="276"/>
      <c r="BJ145" s="37">
        <v>0</v>
      </c>
      <c r="BK145" s="36"/>
      <c r="BL145" s="19"/>
      <c r="BM145" s="274"/>
      <c r="BN145" s="276"/>
      <c r="BO145" s="37">
        <v>0</v>
      </c>
      <c r="BP145" s="36"/>
      <c r="BQ145" s="19"/>
      <c r="BR145" s="274"/>
      <c r="BS145" s="276"/>
      <c r="BT145" s="37">
        <f>SUM(L145:BO145)</f>
        <v>11174</v>
      </c>
      <c r="BU145" s="36"/>
      <c r="BV145" s="19"/>
      <c r="BW145" s="274"/>
      <c r="BX145" s="276"/>
      <c r="BY145" s="37">
        <v>0</v>
      </c>
      <c r="BZ145" s="36"/>
      <c r="CA145" s="19"/>
      <c r="CB145" s="274"/>
      <c r="CC145" s="276"/>
      <c r="CD145" s="37">
        <v>0</v>
      </c>
      <c r="CE145" s="36"/>
      <c r="CF145" s="19"/>
      <c r="CG145" s="274"/>
      <c r="CH145" s="276"/>
      <c r="CI145" s="37">
        <v>0</v>
      </c>
      <c r="CJ145" s="36"/>
      <c r="CK145" s="19"/>
      <c r="CL145" s="274"/>
      <c r="CM145" s="276"/>
      <c r="CN145" s="37">
        <v>0</v>
      </c>
      <c r="CO145" s="36"/>
      <c r="CP145" s="19"/>
      <c r="CQ145" s="274"/>
      <c r="CR145" s="276"/>
      <c r="CS145" s="37">
        <v>0</v>
      </c>
      <c r="CT145" s="36"/>
      <c r="CU145" s="19"/>
      <c r="CV145" s="274"/>
      <c r="CW145" s="276"/>
      <c r="CX145" s="37">
        <v>0</v>
      </c>
      <c r="CY145" s="36"/>
      <c r="CZ145" s="19"/>
      <c r="DA145" s="274"/>
      <c r="DB145" s="276"/>
      <c r="DC145" s="37">
        <v>0</v>
      </c>
      <c r="DD145" s="36"/>
      <c r="DE145" s="19"/>
      <c r="DF145" s="274"/>
      <c r="DG145" s="276"/>
      <c r="DH145" s="37">
        <v>0</v>
      </c>
      <c r="DI145" s="36"/>
      <c r="DJ145" s="19"/>
      <c r="DK145" s="274"/>
      <c r="DL145" s="276"/>
      <c r="DM145" s="37">
        <v>0</v>
      </c>
      <c r="DN145" s="36"/>
      <c r="DO145" s="19"/>
      <c r="DP145" s="274"/>
      <c r="DQ145" s="276"/>
      <c r="DR145" s="37">
        <v>0</v>
      </c>
      <c r="DS145" s="36"/>
      <c r="DT145" s="19"/>
      <c r="DU145" s="274"/>
      <c r="DV145" s="276"/>
      <c r="DW145" s="37">
        <v>0</v>
      </c>
      <c r="DX145" s="36"/>
      <c r="DY145" s="19"/>
      <c r="DZ145" s="274"/>
      <c r="EA145" s="276"/>
      <c r="EB145" s="37">
        <v>0</v>
      </c>
      <c r="EC145" s="36"/>
      <c r="ED145" s="19"/>
      <c r="EE145" s="274"/>
      <c r="EF145" s="276"/>
      <c r="EG145" s="37">
        <v>0</v>
      </c>
      <c r="EH145" s="36"/>
      <c r="EI145" s="19"/>
      <c r="EJ145" s="274"/>
      <c r="EK145" s="276"/>
      <c r="EL145" s="37">
        <f>SUM(CD145:EG145)</f>
        <v>0</v>
      </c>
      <c r="EM145" s="36"/>
      <c r="EN145" s="19"/>
      <c r="EO145" s="244"/>
    </row>
    <row r="146" spans="4:148" ht="12.75" hidden="1" customHeight="1" x14ac:dyDescent="0.2">
      <c r="D146" s="244"/>
      <c r="E146" s="82"/>
      <c r="G146" s="19"/>
      <c r="H146" s="19"/>
      <c r="I146" s="19"/>
      <c r="J146" s="274"/>
      <c r="K146" s="19"/>
      <c r="L146" s="19"/>
      <c r="M146" s="19"/>
      <c r="N146" s="19"/>
      <c r="O146" s="274"/>
      <c r="P146" s="19"/>
      <c r="Q146" s="19"/>
      <c r="R146" s="19"/>
      <c r="S146" s="19"/>
      <c r="T146" s="274"/>
      <c r="U146" s="19"/>
      <c r="V146" s="19"/>
      <c r="W146" s="19"/>
      <c r="X146" s="19"/>
      <c r="Y146" s="274"/>
      <c r="Z146" s="19"/>
      <c r="AA146" s="19"/>
      <c r="AB146" s="19"/>
      <c r="AC146" s="19"/>
      <c r="AD146" s="274"/>
      <c r="AE146" s="19"/>
      <c r="AF146" s="19"/>
      <c r="AG146" s="19"/>
      <c r="AH146" s="19"/>
      <c r="AI146" s="274"/>
      <c r="AJ146" s="19"/>
      <c r="AK146" s="19"/>
      <c r="AL146" s="19"/>
      <c r="AM146" s="19"/>
      <c r="AN146" s="274"/>
      <c r="AO146" s="19"/>
      <c r="AP146" s="19"/>
      <c r="AQ146" s="19"/>
      <c r="AR146" s="19"/>
      <c r="AS146" s="274"/>
      <c r="AT146" s="19"/>
      <c r="AU146" s="19"/>
      <c r="AV146" s="19"/>
      <c r="AW146" s="19"/>
      <c r="AX146" s="274"/>
      <c r="AY146" s="19"/>
      <c r="AZ146" s="19"/>
      <c r="BA146" s="19"/>
      <c r="BB146" s="19"/>
      <c r="BC146" s="274"/>
      <c r="BD146" s="19"/>
      <c r="BE146" s="19"/>
      <c r="BF146" s="19"/>
      <c r="BG146" s="19"/>
      <c r="BH146" s="274"/>
      <c r="BI146" s="19"/>
      <c r="BJ146" s="19"/>
      <c r="BK146" s="19"/>
      <c r="BL146" s="19"/>
      <c r="BM146" s="274"/>
      <c r="BN146" s="19"/>
      <c r="BO146" s="19"/>
      <c r="BP146" s="19"/>
      <c r="BQ146" s="19"/>
      <c r="BR146" s="274"/>
      <c r="BS146" s="19"/>
      <c r="BT146" s="19"/>
      <c r="BU146" s="19"/>
      <c r="BV146" s="19"/>
      <c r="BW146" s="274"/>
      <c r="BX146" s="19"/>
      <c r="BY146" s="19"/>
      <c r="BZ146" s="19"/>
      <c r="CA146" s="19"/>
      <c r="CB146" s="274"/>
      <c r="CC146" s="19"/>
      <c r="CD146" s="19"/>
      <c r="CE146" s="19"/>
      <c r="CF146" s="19"/>
      <c r="CG146" s="274"/>
      <c r="CH146" s="19"/>
      <c r="CI146" s="19"/>
      <c r="CJ146" s="19"/>
      <c r="CK146" s="19"/>
      <c r="CL146" s="274"/>
      <c r="CM146" s="19"/>
      <c r="CN146" s="19"/>
      <c r="CO146" s="19"/>
      <c r="CP146" s="19"/>
      <c r="CQ146" s="274"/>
      <c r="CR146" s="19"/>
      <c r="CS146" s="19"/>
      <c r="CT146" s="19"/>
      <c r="CU146" s="19"/>
      <c r="CV146" s="274"/>
      <c r="CW146" s="19"/>
      <c r="CX146" s="19"/>
      <c r="CY146" s="19"/>
      <c r="CZ146" s="19"/>
      <c r="DA146" s="274"/>
      <c r="DB146" s="19"/>
      <c r="DC146" s="19"/>
      <c r="DD146" s="19"/>
      <c r="DE146" s="19"/>
      <c r="DF146" s="274"/>
      <c r="DG146" s="19"/>
      <c r="DH146" s="19"/>
      <c r="DI146" s="19"/>
      <c r="DJ146" s="19"/>
      <c r="DK146" s="274"/>
      <c r="DL146" s="19"/>
      <c r="DM146" s="19"/>
      <c r="DN146" s="19"/>
      <c r="DO146" s="19"/>
      <c r="DP146" s="274"/>
      <c r="DQ146" s="19"/>
      <c r="DR146" s="19"/>
      <c r="DS146" s="19"/>
      <c r="DT146" s="19"/>
      <c r="DU146" s="274"/>
      <c r="DV146" s="19"/>
      <c r="DW146" s="19"/>
      <c r="DX146" s="19"/>
      <c r="DY146" s="19"/>
      <c r="DZ146" s="274"/>
      <c r="EA146" s="19"/>
      <c r="EB146" s="19"/>
      <c r="EC146" s="19"/>
      <c r="ED146" s="19"/>
      <c r="EE146" s="274"/>
      <c r="EF146" s="19"/>
      <c r="EG146" s="19"/>
      <c r="EH146" s="19"/>
      <c r="EI146" s="19"/>
      <c r="EJ146" s="274"/>
      <c r="EK146" s="19"/>
      <c r="EL146" s="19"/>
      <c r="EM146" s="19"/>
      <c r="EN146" s="19"/>
      <c r="EO146" s="244"/>
    </row>
    <row r="147" spans="4:148" ht="12.75" hidden="1" customHeight="1" x14ac:dyDescent="0.2">
      <c r="D147" s="244" t="s">
        <v>477</v>
      </c>
      <c r="E147" s="82"/>
      <c r="G147" s="19">
        <f>SUM(G148:G149)</f>
        <v>0</v>
      </c>
      <c r="H147" s="19"/>
      <c r="I147" s="19"/>
      <c r="J147" s="274"/>
      <c r="K147" s="19"/>
      <c r="L147" s="19">
        <f>SUM(L148:L149)</f>
        <v>0</v>
      </c>
      <c r="M147" s="19"/>
      <c r="N147" s="19"/>
      <c r="O147" s="274"/>
      <c r="P147" s="19"/>
      <c r="Q147" s="19">
        <f>SUM(Q148:Q149)</f>
        <v>0</v>
      </c>
      <c r="R147" s="19"/>
      <c r="S147" s="19"/>
      <c r="T147" s="274"/>
      <c r="U147" s="19"/>
      <c r="V147" s="19">
        <f>SUM(V148:V149)</f>
        <v>0</v>
      </c>
      <c r="W147" s="19"/>
      <c r="X147" s="19"/>
      <c r="Y147" s="274"/>
      <c r="Z147" s="19"/>
      <c r="AA147" s="19">
        <f>SUM(AA148:AA149)</f>
        <v>0</v>
      </c>
      <c r="AB147" s="19"/>
      <c r="AC147" s="19"/>
      <c r="AD147" s="274"/>
      <c r="AE147" s="19"/>
      <c r="AF147" s="19">
        <f>SUM(AF148:AF149)</f>
        <v>0</v>
      </c>
      <c r="AG147" s="19"/>
      <c r="AH147" s="19"/>
      <c r="AI147" s="274"/>
      <c r="AJ147" s="19"/>
      <c r="AK147" s="19">
        <f>SUM(AK148:AK149)</f>
        <v>0</v>
      </c>
      <c r="AL147" s="19"/>
      <c r="AM147" s="19"/>
      <c r="AN147" s="274"/>
      <c r="AO147" s="19"/>
      <c r="AP147" s="19">
        <f>SUM(AP148:AP149)</f>
        <v>0</v>
      </c>
      <c r="AQ147" s="19"/>
      <c r="AR147" s="19"/>
      <c r="AS147" s="274"/>
      <c r="AT147" s="19"/>
      <c r="AU147" s="19">
        <f>SUM(AU148:AU149)</f>
        <v>0</v>
      </c>
      <c r="AV147" s="19"/>
      <c r="AW147" s="19"/>
      <c r="AX147" s="274"/>
      <c r="AY147" s="19"/>
      <c r="AZ147" s="19">
        <f>SUM(AZ148:AZ149)</f>
        <v>0</v>
      </c>
      <c r="BA147" s="19"/>
      <c r="BB147" s="19"/>
      <c r="BC147" s="274"/>
      <c r="BD147" s="19"/>
      <c r="BE147" s="19">
        <f>SUM(BE148:BE149)</f>
        <v>0</v>
      </c>
      <c r="BF147" s="19"/>
      <c r="BG147" s="19"/>
      <c r="BH147" s="274"/>
      <c r="BI147" s="19"/>
      <c r="BJ147" s="19">
        <f>SUM(BJ148:BJ149)</f>
        <v>0</v>
      </c>
      <c r="BK147" s="19"/>
      <c r="BL147" s="19"/>
      <c r="BM147" s="274"/>
      <c r="BN147" s="19"/>
      <c r="BO147" s="19">
        <f>SUM(BO148:BO149)</f>
        <v>0</v>
      </c>
      <c r="BP147" s="19"/>
      <c r="BQ147" s="19"/>
      <c r="BR147" s="274"/>
      <c r="BS147" s="19"/>
      <c r="BT147" s="19">
        <f>SUM(BT148:BT149)</f>
        <v>0</v>
      </c>
      <c r="BU147" s="19"/>
      <c r="BV147" s="19"/>
      <c r="BW147" s="274"/>
      <c r="BX147" s="19"/>
      <c r="BY147" s="19">
        <v>0</v>
      </c>
      <c r="BZ147" s="19"/>
      <c r="CA147" s="19"/>
      <c r="CB147" s="274"/>
      <c r="CC147" s="19"/>
      <c r="CD147" s="19">
        <f>SUM(CD148:CD149)</f>
        <v>0</v>
      </c>
      <c r="CE147" s="19"/>
      <c r="CF147" s="19"/>
      <c r="CG147" s="274"/>
      <c r="CH147" s="19"/>
      <c r="CI147" s="19">
        <f>SUM(CI148:CI149)</f>
        <v>0</v>
      </c>
      <c r="CJ147" s="19"/>
      <c r="CK147" s="19"/>
      <c r="CL147" s="274"/>
      <c r="CM147" s="19"/>
      <c r="CN147" s="19">
        <f>SUM(CN148:CN149)</f>
        <v>0</v>
      </c>
      <c r="CO147" s="19"/>
      <c r="CP147" s="19"/>
      <c r="CQ147" s="274"/>
      <c r="CR147" s="19"/>
      <c r="CS147" s="19">
        <f>SUM(CS148:CS149)</f>
        <v>0</v>
      </c>
      <c r="CT147" s="19"/>
      <c r="CU147" s="19"/>
      <c r="CV147" s="274"/>
      <c r="CW147" s="19"/>
      <c r="CX147" s="19">
        <f>SUM(CX148:CX149)</f>
        <v>0</v>
      </c>
      <c r="CY147" s="19"/>
      <c r="CZ147" s="19"/>
      <c r="DA147" s="274"/>
      <c r="DB147" s="19"/>
      <c r="DC147" s="19">
        <f>SUM(DC148:DC149)</f>
        <v>0</v>
      </c>
      <c r="DD147" s="19"/>
      <c r="DE147" s="19"/>
      <c r="DF147" s="274"/>
      <c r="DG147" s="19"/>
      <c r="DH147" s="19">
        <f>SUM(DH148:DH149)</f>
        <v>0</v>
      </c>
      <c r="DI147" s="19"/>
      <c r="DJ147" s="19"/>
      <c r="DK147" s="274"/>
      <c r="DL147" s="19"/>
      <c r="DM147" s="19">
        <f>SUM(DM148:DM149)</f>
        <v>0</v>
      </c>
      <c r="DN147" s="19"/>
      <c r="DO147" s="19"/>
      <c r="DP147" s="274"/>
      <c r="DQ147" s="19"/>
      <c r="DR147" s="19">
        <f>SUM(DR148:DR149)</f>
        <v>0</v>
      </c>
      <c r="DS147" s="19"/>
      <c r="DT147" s="19"/>
      <c r="DU147" s="274"/>
      <c r="DV147" s="19"/>
      <c r="DW147" s="19">
        <f>SUM(DW148:DW149)</f>
        <v>0</v>
      </c>
      <c r="DX147" s="19"/>
      <c r="DY147" s="19"/>
      <c r="DZ147" s="274"/>
      <c r="EA147" s="19"/>
      <c r="EB147" s="19">
        <f>SUM(EB148:EB149)</f>
        <v>0</v>
      </c>
      <c r="EC147" s="19"/>
      <c r="ED147" s="19"/>
      <c r="EE147" s="274"/>
      <c r="EF147" s="19"/>
      <c r="EG147" s="19">
        <f>SUM(EG148:EG149)</f>
        <v>0</v>
      </c>
      <c r="EH147" s="19"/>
      <c r="EI147" s="19"/>
      <c r="EJ147" s="274"/>
      <c r="EK147" s="19"/>
      <c r="EL147" s="19">
        <f>SUM(EL148:EL149)</f>
        <v>0</v>
      </c>
      <c r="EM147" s="19"/>
      <c r="EN147" s="19"/>
      <c r="EO147" s="244"/>
    </row>
    <row r="148" spans="4:148" ht="12.75" hidden="1" customHeight="1" x14ac:dyDescent="0.2">
      <c r="D148" s="244" t="s">
        <v>466</v>
      </c>
      <c r="E148" s="82"/>
      <c r="F148" s="112"/>
      <c r="G148" s="374">
        <v>0</v>
      </c>
      <c r="H148" s="475"/>
      <c r="I148" s="19"/>
      <c r="J148" s="274"/>
      <c r="K148" s="173"/>
      <c r="L148" s="374">
        <v>0</v>
      </c>
      <c r="M148" s="475"/>
      <c r="N148" s="19"/>
      <c r="O148" s="274"/>
      <c r="P148" s="173"/>
      <c r="Q148" s="374">
        <v>0</v>
      </c>
      <c r="R148" s="475"/>
      <c r="S148" s="19"/>
      <c r="T148" s="274"/>
      <c r="U148" s="173"/>
      <c r="V148" s="374">
        <v>0</v>
      </c>
      <c r="W148" s="475"/>
      <c r="X148" s="19"/>
      <c r="Y148" s="274"/>
      <c r="Z148" s="173"/>
      <c r="AA148" s="374">
        <v>0</v>
      </c>
      <c r="AB148" s="475"/>
      <c r="AC148" s="19"/>
      <c r="AD148" s="274"/>
      <c r="AE148" s="173"/>
      <c r="AF148" s="374">
        <v>0</v>
      </c>
      <c r="AG148" s="475"/>
      <c r="AH148" s="19"/>
      <c r="AI148" s="274"/>
      <c r="AJ148" s="173"/>
      <c r="AK148" s="374">
        <v>0</v>
      </c>
      <c r="AL148" s="475"/>
      <c r="AM148" s="19"/>
      <c r="AN148" s="274"/>
      <c r="AO148" s="173"/>
      <c r="AP148" s="374">
        <v>0</v>
      </c>
      <c r="AQ148" s="475"/>
      <c r="AR148" s="19"/>
      <c r="AS148" s="274"/>
      <c r="AT148" s="173"/>
      <c r="AU148" s="374">
        <v>0</v>
      </c>
      <c r="AV148" s="475"/>
      <c r="AW148" s="19"/>
      <c r="AX148" s="274"/>
      <c r="AY148" s="173"/>
      <c r="AZ148" s="374">
        <v>0</v>
      </c>
      <c r="BA148" s="475"/>
      <c r="BB148" s="19"/>
      <c r="BC148" s="274"/>
      <c r="BD148" s="173"/>
      <c r="BE148" s="374">
        <v>0</v>
      </c>
      <c r="BF148" s="475"/>
      <c r="BG148" s="19"/>
      <c r="BH148" s="274"/>
      <c r="BI148" s="173"/>
      <c r="BJ148" s="374">
        <v>0</v>
      </c>
      <c r="BK148" s="475"/>
      <c r="BL148" s="19"/>
      <c r="BM148" s="274"/>
      <c r="BN148" s="173"/>
      <c r="BO148" s="374">
        <v>0</v>
      </c>
      <c r="BP148" s="475"/>
      <c r="BQ148" s="19"/>
      <c r="BR148" s="274"/>
      <c r="BS148" s="173"/>
      <c r="BT148" s="374">
        <f>SUM(L148:BO148)</f>
        <v>0</v>
      </c>
      <c r="BU148" s="475"/>
      <c r="BV148" s="19"/>
      <c r="BW148" s="274"/>
      <c r="BX148" s="173"/>
      <c r="BY148" s="374">
        <v>0</v>
      </c>
      <c r="BZ148" s="475"/>
      <c r="CA148" s="19"/>
      <c r="CB148" s="274"/>
      <c r="CC148" s="173"/>
      <c r="CD148" s="374">
        <v>0</v>
      </c>
      <c r="CE148" s="475"/>
      <c r="CF148" s="19"/>
      <c r="CG148" s="274"/>
      <c r="CH148" s="173"/>
      <c r="CI148" s="374">
        <v>0</v>
      </c>
      <c r="CJ148" s="475"/>
      <c r="CK148" s="19"/>
      <c r="CL148" s="274"/>
      <c r="CM148" s="173"/>
      <c r="CN148" s="374">
        <v>0</v>
      </c>
      <c r="CO148" s="475"/>
      <c r="CP148" s="19"/>
      <c r="CQ148" s="274"/>
      <c r="CR148" s="173"/>
      <c r="CS148" s="374">
        <v>0</v>
      </c>
      <c r="CT148" s="475"/>
      <c r="CU148" s="19"/>
      <c r="CV148" s="274"/>
      <c r="CW148" s="173"/>
      <c r="CX148" s="374">
        <v>0</v>
      </c>
      <c r="CY148" s="475"/>
      <c r="CZ148" s="19"/>
      <c r="DA148" s="274"/>
      <c r="DB148" s="173"/>
      <c r="DC148" s="374">
        <v>0</v>
      </c>
      <c r="DD148" s="475"/>
      <c r="DE148" s="19"/>
      <c r="DF148" s="274"/>
      <c r="DG148" s="173"/>
      <c r="DH148" s="374">
        <v>0</v>
      </c>
      <c r="DI148" s="475"/>
      <c r="DJ148" s="19"/>
      <c r="DK148" s="274"/>
      <c r="DL148" s="173"/>
      <c r="DM148" s="374">
        <v>0</v>
      </c>
      <c r="DN148" s="475"/>
      <c r="DO148" s="19"/>
      <c r="DP148" s="274"/>
      <c r="DQ148" s="173"/>
      <c r="DR148" s="374">
        <v>0</v>
      </c>
      <c r="DS148" s="475"/>
      <c r="DT148" s="19"/>
      <c r="DU148" s="274"/>
      <c r="DV148" s="173"/>
      <c r="DW148" s="374">
        <v>0</v>
      </c>
      <c r="DX148" s="475"/>
      <c r="DY148" s="19"/>
      <c r="DZ148" s="274"/>
      <c r="EA148" s="173"/>
      <c r="EB148" s="374">
        <v>0</v>
      </c>
      <c r="EC148" s="475"/>
      <c r="ED148" s="19"/>
      <c r="EE148" s="274"/>
      <c r="EF148" s="173"/>
      <c r="EG148" s="374">
        <v>0</v>
      </c>
      <c r="EH148" s="475"/>
      <c r="EI148" s="19"/>
      <c r="EJ148" s="274"/>
      <c r="EK148" s="173"/>
      <c r="EL148" s="374">
        <f>SUM(CD148:EG148)</f>
        <v>0</v>
      </c>
      <c r="EM148" s="475"/>
      <c r="EN148" s="19"/>
      <c r="EO148" s="244"/>
    </row>
    <row r="149" spans="4:148" ht="12.75" hidden="1" customHeight="1" x14ac:dyDescent="0.2">
      <c r="D149" s="244" t="s">
        <v>467</v>
      </c>
      <c r="E149" s="82"/>
      <c r="F149" s="276"/>
      <c r="G149" s="37">
        <v>0</v>
      </c>
      <c r="H149" s="36"/>
      <c r="I149" s="19"/>
      <c r="J149" s="274"/>
      <c r="K149" s="231"/>
      <c r="L149" s="37">
        <v>0</v>
      </c>
      <c r="M149" s="36"/>
      <c r="N149" s="19"/>
      <c r="O149" s="274"/>
      <c r="P149" s="231"/>
      <c r="Q149" s="37">
        <v>0</v>
      </c>
      <c r="R149" s="36"/>
      <c r="S149" s="19"/>
      <c r="T149" s="274"/>
      <c r="U149" s="231"/>
      <c r="V149" s="37">
        <v>0</v>
      </c>
      <c r="W149" s="36"/>
      <c r="X149" s="19"/>
      <c r="Y149" s="274"/>
      <c r="Z149" s="231"/>
      <c r="AA149" s="37">
        <v>0</v>
      </c>
      <c r="AB149" s="36"/>
      <c r="AC149" s="19"/>
      <c r="AD149" s="274"/>
      <c r="AE149" s="231"/>
      <c r="AF149" s="37">
        <v>0</v>
      </c>
      <c r="AG149" s="36"/>
      <c r="AH149" s="19"/>
      <c r="AI149" s="274"/>
      <c r="AJ149" s="231"/>
      <c r="AK149" s="37">
        <v>0</v>
      </c>
      <c r="AL149" s="36"/>
      <c r="AM149" s="19"/>
      <c r="AN149" s="274"/>
      <c r="AO149" s="231"/>
      <c r="AP149" s="37">
        <v>0</v>
      </c>
      <c r="AQ149" s="36"/>
      <c r="AR149" s="19"/>
      <c r="AS149" s="274"/>
      <c r="AT149" s="231"/>
      <c r="AU149" s="37">
        <v>0</v>
      </c>
      <c r="AV149" s="36"/>
      <c r="AW149" s="19"/>
      <c r="AX149" s="274"/>
      <c r="AY149" s="231"/>
      <c r="AZ149" s="37">
        <v>0</v>
      </c>
      <c r="BA149" s="36"/>
      <c r="BB149" s="19"/>
      <c r="BC149" s="274"/>
      <c r="BD149" s="231"/>
      <c r="BE149" s="37">
        <v>0</v>
      </c>
      <c r="BF149" s="36"/>
      <c r="BG149" s="19"/>
      <c r="BH149" s="274"/>
      <c r="BI149" s="231"/>
      <c r="BJ149" s="37">
        <v>0</v>
      </c>
      <c r="BK149" s="36"/>
      <c r="BL149" s="19"/>
      <c r="BM149" s="274"/>
      <c r="BN149" s="231"/>
      <c r="BO149" s="37">
        <v>0</v>
      </c>
      <c r="BP149" s="36"/>
      <c r="BQ149" s="19"/>
      <c r="BR149" s="274"/>
      <c r="BS149" s="231"/>
      <c r="BT149" s="37">
        <f>SUM(L149:BO149)</f>
        <v>0</v>
      </c>
      <c r="BU149" s="36"/>
      <c r="BV149" s="19"/>
      <c r="BW149" s="274"/>
      <c r="BX149" s="231"/>
      <c r="BY149" s="37">
        <v>0</v>
      </c>
      <c r="BZ149" s="36"/>
      <c r="CA149" s="19"/>
      <c r="CB149" s="274"/>
      <c r="CC149" s="231"/>
      <c r="CD149" s="37">
        <v>0</v>
      </c>
      <c r="CE149" s="36"/>
      <c r="CF149" s="19"/>
      <c r="CG149" s="274"/>
      <c r="CH149" s="231"/>
      <c r="CI149" s="37">
        <v>0</v>
      </c>
      <c r="CJ149" s="36"/>
      <c r="CK149" s="19"/>
      <c r="CL149" s="274"/>
      <c r="CM149" s="231"/>
      <c r="CN149" s="37">
        <v>0</v>
      </c>
      <c r="CO149" s="36"/>
      <c r="CP149" s="19"/>
      <c r="CQ149" s="274"/>
      <c r="CR149" s="231"/>
      <c r="CS149" s="37">
        <v>0</v>
      </c>
      <c r="CT149" s="36"/>
      <c r="CU149" s="19"/>
      <c r="CV149" s="274"/>
      <c r="CW149" s="231"/>
      <c r="CX149" s="37">
        <v>0</v>
      </c>
      <c r="CY149" s="36"/>
      <c r="CZ149" s="19"/>
      <c r="DA149" s="274"/>
      <c r="DB149" s="231"/>
      <c r="DC149" s="37">
        <v>0</v>
      </c>
      <c r="DD149" s="36"/>
      <c r="DE149" s="19"/>
      <c r="DF149" s="274"/>
      <c r="DG149" s="231"/>
      <c r="DH149" s="37">
        <v>0</v>
      </c>
      <c r="DI149" s="36"/>
      <c r="DJ149" s="19"/>
      <c r="DK149" s="274"/>
      <c r="DL149" s="231"/>
      <c r="DM149" s="37">
        <v>0</v>
      </c>
      <c r="DN149" s="36"/>
      <c r="DO149" s="19"/>
      <c r="DP149" s="274"/>
      <c r="DQ149" s="231"/>
      <c r="DR149" s="37">
        <v>0</v>
      </c>
      <c r="DS149" s="36"/>
      <c r="DT149" s="19"/>
      <c r="DU149" s="274"/>
      <c r="DV149" s="231"/>
      <c r="DW149" s="37">
        <v>0</v>
      </c>
      <c r="DX149" s="36"/>
      <c r="DY149" s="19"/>
      <c r="DZ149" s="274"/>
      <c r="EA149" s="231"/>
      <c r="EB149" s="37">
        <v>0</v>
      </c>
      <c r="EC149" s="36"/>
      <c r="ED149" s="19"/>
      <c r="EE149" s="274"/>
      <c r="EF149" s="231"/>
      <c r="EG149" s="37">
        <v>0</v>
      </c>
      <c r="EH149" s="36"/>
      <c r="EI149" s="19"/>
      <c r="EJ149" s="274"/>
      <c r="EK149" s="231"/>
      <c r="EL149" s="37">
        <f>SUM(CD149:EG149)</f>
        <v>0</v>
      </c>
      <c r="EM149" s="36"/>
      <c r="EN149" s="19"/>
      <c r="EO149" s="244"/>
    </row>
    <row r="150" spans="4:148" ht="12.75" hidden="1" customHeight="1" x14ac:dyDescent="0.2">
      <c r="D150" s="244"/>
      <c r="E150" s="82"/>
      <c r="G150" s="19"/>
      <c r="H150" s="19"/>
      <c r="I150" s="19"/>
      <c r="J150" s="274"/>
      <c r="K150" s="19"/>
      <c r="L150" s="19"/>
      <c r="M150" s="19"/>
      <c r="N150" s="19"/>
      <c r="O150" s="274"/>
      <c r="P150" s="19"/>
      <c r="Q150" s="19"/>
      <c r="R150" s="19"/>
      <c r="S150" s="19"/>
      <c r="T150" s="274"/>
      <c r="U150" s="19"/>
      <c r="V150" s="19"/>
      <c r="W150" s="19"/>
      <c r="X150" s="19"/>
      <c r="Y150" s="274"/>
      <c r="Z150" s="19"/>
      <c r="AA150" s="19"/>
      <c r="AB150" s="19"/>
      <c r="AC150" s="19"/>
      <c r="AD150" s="274"/>
      <c r="AE150" s="19"/>
      <c r="AF150" s="19"/>
      <c r="AG150" s="19"/>
      <c r="AH150" s="19"/>
      <c r="AI150" s="274"/>
      <c r="AJ150" s="19"/>
      <c r="AK150" s="19"/>
      <c r="AL150" s="19"/>
      <c r="AM150" s="19"/>
      <c r="AN150" s="274"/>
      <c r="AO150" s="19"/>
      <c r="AP150" s="19"/>
      <c r="AQ150" s="19"/>
      <c r="AR150" s="19"/>
      <c r="AS150" s="274"/>
      <c r="AT150" s="19"/>
      <c r="AU150" s="19"/>
      <c r="AV150" s="19"/>
      <c r="AW150" s="19"/>
      <c r="AX150" s="274"/>
      <c r="AY150" s="19"/>
      <c r="AZ150" s="19"/>
      <c r="BA150" s="19"/>
      <c r="BB150" s="19"/>
      <c r="BC150" s="274"/>
      <c r="BD150" s="19"/>
      <c r="BE150" s="19"/>
      <c r="BF150" s="19"/>
      <c r="BG150" s="19"/>
      <c r="BH150" s="274"/>
      <c r="BI150" s="19"/>
      <c r="BJ150" s="19"/>
      <c r="BK150" s="19"/>
      <c r="BL150" s="19"/>
      <c r="BM150" s="274"/>
      <c r="BN150" s="19"/>
      <c r="BO150" s="19"/>
      <c r="BP150" s="19"/>
      <c r="BQ150" s="19"/>
      <c r="BR150" s="274"/>
      <c r="BS150" s="19"/>
      <c r="BT150" s="19"/>
      <c r="BU150" s="19"/>
      <c r="BV150" s="19"/>
      <c r="BW150" s="274"/>
      <c r="BX150" s="19"/>
      <c r="BY150" s="19"/>
      <c r="BZ150" s="19"/>
      <c r="CA150" s="19"/>
      <c r="CB150" s="274"/>
      <c r="CC150" s="19"/>
      <c r="CD150" s="19"/>
      <c r="CE150" s="19"/>
      <c r="CF150" s="19"/>
      <c r="CG150" s="274"/>
      <c r="CH150" s="19"/>
      <c r="CI150" s="19"/>
      <c r="CJ150" s="19"/>
      <c r="CK150" s="19"/>
      <c r="CL150" s="274"/>
      <c r="CM150" s="19"/>
      <c r="CN150" s="19"/>
      <c r="CO150" s="19"/>
      <c r="CP150" s="19"/>
      <c r="CQ150" s="274"/>
      <c r="CR150" s="19"/>
      <c r="CS150" s="19"/>
      <c r="CT150" s="19"/>
      <c r="CU150" s="19"/>
      <c r="CV150" s="274"/>
      <c r="CW150" s="19"/>
      <c r="CX150" s="19"/>
      <c r="CY150" s="19"/>
      <c r="CZ150" s="19"/>
      <c r="DA150" s="274"/>
      <c r="DB150" s="19"/>
      <c r="DC150" s="19"/>
      <c r="DD150" s="19"/>
      <c r="DE150" s="19"/>
      <c r="DF150" s="274"/>
      <c r="DG150" s="19"/>
      <c r="DH150" s="19"/>
      <c r="DI150" s="19"/>
      <c r="DJ150" s="19"/>
      <c r="DK150" s="274"/>
      <c r="DL150" s="19"/>
      <c r="DM150" s="19"/>
      <c r="DN150" s="19"/>
      <c r="DO150" s="19"/>
      <c r="DP150" s="274"/>
      <c r="DQ150" s="19"/>
      <c r="DR150" s="19"/>
      <c r="DS150" s="19"/>
      <c r="DT150" s="19"/>
      <c r="DU150" s="274"/>
      <c r="DV150" s="19"/>
      <c r="DW150" s="19"/>
      <c r="DX150" s="19"/>
      <c r="DY150" s="19"/>
      <c r="DZ150" s="274"/>
      <c r="EA150" s="19"/>
      <c r="EB150" s="19"/>
      <c r="EC150" s="19"/>
      <c r="ED150" s="19"/>
      <c r="EE150" s="274"/>
      <c r="EF150" s="19"/>
      <c r="EG150" s="19"/>
      <c r="EH150" s="19"/>
      <c r="EI150" s="19"/>
      <c r="EJ150" s="274"/>
      <c r="EK150" s="19"/>
      <c r="EL150" s="19"/>
      <c r="EM150" s="19"/>
      <c r="EN150" s="19"/>
      <c r="EO150" s="244"/>
    </row>
    <row r="151" spans="4:148" ht="12.75" hidden="1" customHeight="1" x14ac:dyDescent="0.2">
      <c r="D151" s="244" t="s">
        <v>478</v>
      </c>
      <c r="E151" s="82"/>
      <c r="G151" s="19">
        <f>SUM(G152:G153)</f>
        <v>0</v>
      </c>
      <c r="H151" s="19"/>
      <c r="I151" s="19"/>
      <c r="J151" s="274"/>
      <c r="K151" s="19"/>
      <c r="L151" s="19">
        <f>SUM(L152:L153)</f>
        <v>0</v>
      </c>
      <c r="M151" s="19"/>
      <c r="N151" s="19"/>
      <c r="O151" s="274"/>
      <c r="P151" s="19"/>
      <c r="Q151" s="19">
        <f>SUM(Q152:Q153)</f>
        <v>0</v>
      </c>
      <c r="R151" s="19"/>
      <c r="S151" s="19"/>
      <c r="T151" s="274"/>
      <c r="U151" s="19"/>
      <c r="V151" s="19">
        <f>SUM(V152:V153)</f>
        <v>0</v>
      </c>
      <c r="W151" s="19"/>
      <c r="X151" s="19"/>
      <c r="Y151" s="274"/>
      <c r="Z151" s="19"/>
      <c r="AA151" s="19">
        <f>SUM(AA152:AA153)</f>
        <v>0</v>
      </c>
      <c r="AB151" s="19"/>
      <c r="AC151" s="19"/>
      <c r="AD151" s="274"/>
      <c r="AE151" s="19"/>
      <c r="AF151" s="19">
        <f>SUM(AF152:AF153)</f>
        <v>0</v>
      </c>
      <c r="AG151" s="19"/>
      <c r="AH151" s="19"/>
      <c r="AI151" s="274"/>
      <c r="AJ151" s="19"/>
      <c r="AK151" s="19">
        <f>SUM(AK152:AK153)</f>
        <v>0</v>
      </c>
      <c r="AL151" s="19"/>
      <c r="AM151" s="19"/>
      <c r="AN151" s="274"/>
      <c r="AO151" s="19"/>
      <c r="AP151" s="19">
        <f>SUM(AP152:AP153)</f>
        <v>0</v>
      </c>
      <c r="AQ151" s="19"/>
      <c r="AR151" s="19"/>
      <c r="AS151" s="274"/>
      <c r="AT151" s="19"/>
      <c r="AU151" s="19">
        <f>SUM(AU152:AU153)</f>
        <v>0</v>
      </c>
      <c r="AV151" s="19"/>
      <c r="AW151" s="19"/>
      <c r="AX151" s="274"/>
      <c r="AY151" s="19"/>
      <c r="AZ151" s="19">
        <f>SUM(AZ152:AZ153)</f>
        <v>0</v>
      </c>
      <c r="BA151" s="19"/>
      <c r="BB151" s="19"/>
      <c r="BC151" s="274"/>
      <c r="BD151" s="19"/>
      <c r="BE151" s="19">
        <f>SUM(BE152:BE153)</f>
        <v>0</v>
      </c>
      <c r="BF151" s="19"/>
      <c r="BG151" s="19"/>
      <c r="BH151" s="274"/>
      <c r="BI151" s="19"/>
      <c r="BJ151" s="19">
        <f>SUM(BJ152:BJ153)</f>
        <v>0</v>
      </c>
      <c r="BK151" s="19"/>
      <c r="BL151" s="19"/>
      <c r="BM151" s="274"/>
      <c r="BN151" s="19"/>
      <c r="BO151" s="19">
        <f>SUM(BO152:BO153)</f>
        <v>0</v>
      </c>
      <c r="BP151" s="19"/>
      <c r="BQ151" s="19"/>
      <c r="BR151" s="274"/>
      <c r="BS151" s="19"/>
      <c r="BT151" s="19">
        <f>SUM(BT152:BT153)</f>
        <v>0</v>
      </c>
      <c r="BU151" s="19"/>
      <c r="BV151" s="19"/>
      <c r="BW151" s="274"/>
      <c r="BX151" s="19"/>
      <c r="BY151" s="19">
        <v>0</v>
      </c>
      <c r="BZ151" s="19"/>
      <c r="CA151" s="19"/>
      <c r="CB151" s="274"/>
      <c r="CC151" s="19"/>
      <c r="CD151" s="19">
        <f>SUM(CD152:CD153)</f>
        <v>0</v>
      </c>
      <c r="CE151" s="19"/>
      <c r="CF151" s="19"/>
      <c r="CG151" s="274"/>
      <c r="CH151" s="19"/>
      <c r="CI151" s="19">
        <f>SUM(CI152:CI153)</f>
        <v>0</v>
      </c>
      <c r="CJ151" s="19"/>
      <c r="CK151" s="19"/>
      <c r="CL151" s="274"/>
      <c r="CM151" s="19"/>
      <c r="CN151" s="19">
        <f>SUM(CN152:CN153)</f>
        <v>0</v>
      </c>
      <c r="CO151" s="19"/>
      <c r="CP151" s="19"/>
      <c r="CQ151" s="274"/>
      <c r="CR151" s="19"/>
      <c r="CS151" s="19">
        <f>SUM(CS152:CS153)</f>
        <v>0</v>
      </c>
      <c r="CT151" s="19"/>
      <c r="CU151" s="19"/>
      <c r="CV151" s="274"/>
      <c r="CW151" s="19"/>
      <c r="CX151" s="19">
        <f>SUM(CX152:CX153)</f>
        <v>0</v>
      </c>
      <c r="CY151" s="19"/>
      <c r="CZ151" s="19"/>
      <c r="DA151" s="274"/>
      <c r="DB151" s="19"/>
      <c r="DC151" s="19">
        <f>SUM(DC152:DC153)</f>
        <v>0</v>
      </c>
      <c r="DD151" s="19"/>
      <c r="DE151" s="19"/>
      <c r="DF151" s="274"/>
      <c r="DG151" s="19"/>
      <c r="DH151" s="19">
        <f>SUM(DH152:DH153)</f>
        <v>0</v>
      </c>
      <c r="DI151" s="19"/>
      <c r="DJ151" s="19"/>
      <c r="DK151" s="274"/>
      <c r="DL151" s="19"/>
      <c r="DM151" s="19">
        <f>SUM(DM152:DM153)</f>
        <v>0</v>
      </c>
      <c r="DN151" s="19"/>
      <c r="DO151" s="19"/>
      <c r="DP151" s="274"/>
      <c r="DQ151" s="19"/>
      <c r="DR151" s="19">
        <f>SUM(DR152:DR153)</f>
        <v>0</v>
      </c>
      <c r="DS151" s="19"/>
      <c r="DT151" s="19"/>
      <c r="DU151" s="274"/>
      <c r="DV151" s="19"/>
      <c r="DW151" s="19">
        <f>SUM(DW152:DW153)</f>
        <v>0</v>
      </c>
      <c r="DX151" s="19"/>
      <c r="DY151" s="19"/>
      <c r="DZ151" s="274"/>
      <c r="EA151" s="19"/>
      <c r="EB151" s="19">
        <f>SUM(EB152:EB153)</f>
        <v>0</v>
      </c>
      <c r="EC151" s="19"/>
      <c r="ED151" s="19"/>
      <c r="EE151" s="274"/>
      <c r="EF151" s="19"/>
      <c r="EG151" s="19">
        <f>SUM(EG152:EG153)</f>
        <v>0</v>
      </c>
      <c r="EH151" s="19"/>
      <c r="EI151" s="19"/>
      <c r="EJ151" s="274"/>
      <c r="EK151" s="19"/>
      <c r="EL151" s="19">
        <f>SUM(EL152:EL153)</f>
        <v>0</v>
      </c>
      <c r="EM151" s="19"/>
      <c r="EN151" s="19"/>
      <c r="EO151" s="244"/>
    </row>
    <row r="152" spans="4:148" ht="12.75" hidden="1" customHeight="1" x14ac:dyDescent="0.2">
      <c r="D152" s="244" t="s">
        <v>466</v>
      </c>
      <c r="E152" s="82"/>
      <c r="F152" s="112"/>
      <c r="G152" s="374">
        <v>0</v>
      </c>
      <c r="H152" s="475"/>
      <c r="I152" s="19"/>
      <c r="J152" s="274"/>
      <c r="K152" s="173"/>
      <c r="L152" s="374">
        <v>0</v>
      </c>
      <c r="M152" s="475"/>
      <c r="N152" s="19"/>
      <c r="O152" s="274"/>
      <c r="P152" s="173"/>
      <c r="Q152" s="374">
        <v>0</v>
      </c>
      <c r="R152" s="475"/>
      <c r="S152" s="19"/>
      <c r="T152" s="274"/>
      <c r="U152" s="173"/>
      <c r="V152" s="374">
        <v>0</v>
      </c>
      <c r="W152" s="475"/>
      <c r="X152" s="19"/>
      <c r="Y152" s="274"/>
      <c r="Z152" s="173"/>
      <c r="AA152" s="374">
        <v>0</v>
      </c>
      <c r="AB152" s="475"/>
      <c r="AC152" s="19"/>
      <c r="AD152" s="274"/>
      <c r="AE152" s="173"/>
      <c r="AF152" s="374">
        <v>0</v>
      </c>
      <c r="AG152" s="475"/>
      <c r="AH152" s="19"/>
      <c r="AI152" s="274"/>
      <c r="AJ152" s="173"/>
      <c r="AK152" s="374">
        <v>0</v>
      </c>
      <c r="AL152" s="475"/>
      <c r="AM152" s="19"/>
      <c r="AN152" s="274"/>
      <c r="AO152" s="173"/>
      <c r="AP152" s="374">
        <v>0</v>
      </c>
      <c r="AQ152" s="475"/>
      <c r="AR152" s="19"/>
      <c r="AS152" s="274"/>
      <c r="AT152" s="173"/>
      <c r="AU152" s="374">
        <v>0</v>
      </c>
      <c r="AV152" s="475"/>
      <c r="AW152" s="19"/>
      <c r="AX152" s="274"/>
      <c r="AY152" s="173"/>
      <c r="AZ152" s="374">
        <v>0</v>
      </c>
      <c r="BA152" s="475"/>
      <c r="BB152" s="19"/>
      <c r="BC152" s="274"/>
      <c r="BD152" s="173"/>
      <c r="BE152" s="374">
        <v>0</v>
      </c>
      <c r="BF152" s="475"/>
      <c r="BG152" s="19"/>
      <c r="BH152" s="274"/>
      <c r="BI152" s="173"/>
      <c r="BJ152" s="374">
        <v>0</v>
      </c>
      <c r="BK152" s="475"/>
      <c r="BL152" s="19"/>
      <c r="BM152" s="274"/>
      <c r="BN152" s="173"/>
      <c r="BO152" s="374">
        <v>0</v>
      </c>
      <c r="BP152" s="475"/>
      <c r="BQ152" s="19"/>
      <c r="BR152" s="274"/>
      <c r="BS152" s="173"/>
      <c r="BT152" s="374">
        <f>SUM(L152:BO152)</f>
        <v>0</v>
      </c>
      <c r="BU152" s="475"/>
      <c r="BV152" s="19"/>
      <c r="BW152" s="274"/>
      <c r="BX152" s="173"/>
      <c r="BY152" s="374">
        <v>0</v>
      </c>
      <c r="BZ152" s="475"/>
      <c r="CA152" s="19"/>
      <c r="CB152" s="274"/>
      <c r="CC152" s="173"/>
      <c r="CD152" s="374">
        <v>0</v>
      </c>
      <c r="CE152" s="475"/>
      <c r="CF152" s="19"/>
      <c r="CG152" s="274"/>
      <c r="CH152" s="173"/>
      <c r="CI152" s="374">
        <v>0</v>
      </c>
      <c r="CJ152" s="475"/>
      <c r="CK152" s="19"/>
      <c r="CL152" s="274"/>
      <c r="CM152" s="173"/>
      <c r="CN152" s="374">
        <v>0</v>
      </c>
      <c r="CO152" s="475"/>
      <c r="CP152" s="19"/>
      <c r="CQ152" s="274"/>
      <c r="CR152" s="173"/>
      <c r="CS152" s="374">
        <v>0</v>
      </c>
      <c r="CT152" s="475"/>
      <c r="CU152" s="19"/>
      <c r="CV152" s="274"/>
      <c r="CW152" s="173"/>
      <c r="CX152" s="374">
        <v>0</v>
      </c>
      <c r="CY152" s="475"/>
      <c r="CZ152" s="19"/>
      <c r="DA152" s="274"/>
      <c r="DB152" s="173"/>
      <c r="DC152" s="374">
        <v>0</v>
      </c>
      <c r="DD152" s="475"/>
      <c r="DE152" s="19"/>
      <c r="DF152" s="274"/>
      <c r="DG152" s="173"/>
      <c r="DH152" s="374">
        <v>0</v>
      </c>
      <c r="DI152" s="475"/>
      <c r="DJ152" s="19"/>
      <c r="DK152" s="274"/>
      <c r="DL152" s="173"/>
      <c r="DM152" s="374">
        <v>0</v>
      </c>
      <c r="DN152" s="475"/>
      <c r="DO152" s="19"/>
      <c r="DP152" s="274"/>
      <c r="DQ152" s="173"/>
      <c r="DR152" s="374">
        <v>0</v>
      </c>
      <c r="DS152" s="475"/>
      <c r="DT152" s="19"/>
      <c r="DU152" s="274"/>
      <c r="DV152" s="173"/>
      <c r="DW152" s="374">
        <v>0</v>
      </c>
      <c r="DX152" s="475"/>
      <c r="DY152" s="19"/>
      <c r="DZ152" s="274"/>
      <c r="EA152" s="173"/>
      <c r="EB152" s="374">
        <v>0</v>
      </c>
      <c r="EC152" s="475"/>
      <c r="ED152" s="19"/>
      <c r="EE152" s="274"/>
      <c r="EF152" s="173"/>
      <c r="EG152" s="374">
        <v>0</v>
      </c>
      <c r="EH152" s="475"/>
      <c r="EI152" s="19"/>
      <c r="EJ152" s="274"/>
      <c r="EK152" s="173"/>
      <c r="EL152" s="374">
        <f>SUM(CD152:EG152)</f>
        <v>0</v>
      </c>
      <c r="EM152" s="475"/>
      <c r="EN152" s="19"/>
      <c r="EO152" s="244"/>
    </row>
    <row r="153" spans="4:148" ht="12.75" hidden="1" customHeight="1" x14ac:dyDescent="0.2">
      <c r="D153" s="244" t="s">
        <v>467</v>
      </c>
      <c r="E153" s="82"/>
      <c r="F153" s="276"/>
      <c r="G153" s="37">
        <v>0</v>
      </c>
      <c r="H153" s="36"/>
      <c r="I153" s="19"/>
      <c r="J153" s="274"/>
      <c r="K153" s="231"/>
      <c r="L153" s="37">
        <v>0</v>
      </c>
      <c r="M153" s="36"/>
      <c r="N153" s="19"/>
      <c r="O153" s="274"/>
      <c r="P153" s="231"/>
      <c r="Q153" s="37">
        <v>0</v>
      </c>
      <c r="R153" s="36"/>
      <c r="S153" s="19"/>
      <c r="T153" s="274"/>
      <c r="U153" s="231"/>
      <c r="V153" s="37">
        <v>0</v>
      </c>
      <c r="W153" s="36"/>
      <c r="X153" s="19"/>
      <c r="Y153" s="274"/>
      <c r="Z153" s="231"/>
      <c r="AA153" s="37">
        <v>0</v>
      </c>
      <c r="AB153" s="36"/>
      <c r="AC153" s="19"/>
      <c r="AD153" s="274"/>
      <c r="AE153" s="231"/>
      <c r="AF153" s="37">
        <v>0</v>
      </c>
      <c r="AG153" s="36"/>
      <c r="AH153" s="19"/>
      <c r="AI153" s="274"/>
      <c r="AJ153" s="231"/>
      <c r="AK153" s="37">
        <v>0</v>
      </c>
      <c r="AL153" s="36"/>
      <c r="AM153" s="19"/>
      <c r="AN153" s="274"/>
      <c r="AO153" s="231"/>
      <c r="AP153" s="37">
        <v>0</v>
      </c>
      <c r="AQ153" s="36"/>
      <c r="AR153" s="19"/>
      <c r="AS153" s="274"/>
      <c r="AT153" s="231"/>
      <c r="AU153" s="37">
        <v>0</v>
      </c>
      <c r="AV153" s="36"/>
      <c r="AW153" s="19"/>
      <c r="AX153" s="274"/>
      <c r="AY153" s="231"/>
      <c r="AZ153" s="37">
        <v>0</v>
      </c>
      <c r="BA153" s="36"/>
      <c r="BB153" s="19"/>
      <c r="BC153" s="274"/>
      <c r="BD153" s="231"/>
      <c r="BE153" s="37">
        <v>0</v>
      </c>
      <c r="BF153" s="36"/>
      <c r="BG153" s="19"/>
      <c r="BH153" s="274"/>
      <c r="BI153" s="231"/>
      <c r="BJ153" s="37">
        <v>0</v>
      </c>
      <c r="BK153" s="36"/>
      <c r="BL153" s="19"/>
      <c r="BM153" s="274"/>
      <c r="BN153" s="231"/>
      <c r="BO153" s="37">
        <v>0</v>
      </c>
      <c r="BP153" s="36"/>
      <c r="BQ153" s="19"/>
      <c r="BR153" s="274"/>
      <c r="BS153" s="231"/>
      <c r="BT153" s="37">
        <f>SUM(L153:BO153)</f>
        <v>0</v>
      </c>
      <c r="BU153" s="36"/>
      <c r="BV153" s="19"/>
      <c r="BW153" s="274"/>
      <c r="BX153" s="231"/>
      <c r="BY153" s="37">
        <v>0</v>
      </c>
      <c r="BZ153" s="36"/>
      <c r="CA153" s="19"/>
      <c r="CB153" s="274"/>
      <c r="CC153" s="231"/>
      <c r="CD153" s="37">
        <v>0</v>
      </c>
      <c r="CE153" s="36"/>
      <c r="CF153" s="19"/>
      <c r="CG153" s="274"/>
      <c r="CH153" s="231"/>
      <c r="CI153" s="37">
        <v>0</v>
      </c>
      <c r="CJ153" s="36"/>
      <c r="CK153" s="19"/>
      <c r="CL153" s="274"/>
      <c r="CM153" s="231"/>
      <c r="CN153" s="37">
        <v>0</v>
      </c>
      <c r="CO153" s="36"/>
      <c r="CP153" s="19"/>
      <c r="CQ153" s="274"/>
      <c r="CR153" s="231"/>
      <c r="CS153" s="37">
        <v>0</v>
      </c>
      <c r="CT153" s="36"/>
      <c r="CU153" s="19"/>
      <c r="CV153" s="274"/>
      <c r="CW153" s="231"/>
      <c r="CX153" s="37">
        <v>0</v>
      </c>
      <c r="CY153" s="36"/>
      <c r="CZ153" s="19"/>
      <c r="DA153" s="274"/>
      <c r="DB153" s="231"/>
      <c r="DC153" s="37">
        <v>0</v>
      </c>
      <c r="DD153" s="36"/>
      <c r="DE153" s="19"/>
      <c r="DF153" s="274"/>
      <c r="DG153" s="231"/>
      <c r="DH153" s="37">
        <v>0</v>
      </c>
      <c r="DI153" s="36"/>
      <c r="DJ153" s="19"/>
      <c r="DK153" s="274"/>
      <c r="DL153" s="231"/>
      <c r="DM153" s="37">
        <v>0</v>
      </c>
      <c r="DN153" s="36"/>
      <c r="DO153" s="19"/>
      <c r="DP153" s="274"/>
      <c r="DQ153" s="231"/>
      <c r="DR153" s="37">
        <v>0</v>
      </c>
      <c r="DS153" s="36"/>
      <c r="DT153" s="19"/>
      <c r="DU153" s="274"/>
      <c r="DV153" s="231"/>
      <c r="DW153" s="37">
        <v>0</v>
      </c>
      <c r="DX153" s="36"/>
      <c r="DY153" s="19"/>
      <c r="DZ153" s="274"/>
      <c r="EA153" s="231"/>
      <c r="EB153" s="37">
        <v>0</v>
      </c>
      <c r="EC153" s="36"/>
      <c r="ED153" s="19"/>
      <c r="EE153" s="274"/>
      <c r="EF153" s="231"/>
      <c r="EG153" s="37">
        <v>0</v>
      </c>
      <c r="EH153" s="36"/>
      <c r="EI153" s="19"/>
      <c r="EJ153" s="274"/>
      <c r="EK153" s="231"/>
      <c r="EL153" s="37">
        <f>SUM(CD153:EG153)</f>
        <v>0</v>
      </c>
      <c r="EM153" s="36"/>
      <c r="EN153" s="19"/>
      <c r="EO153" s="244"/>
    </row>
    <row r="154" spans="4:148" ht="12.75" hidden="1" customHeight="1" x14ac:dyDescent="0.2">
      <c r="D154" s="244"/>
      <c r="E154" s="82"/>
      <c r="G154" s="19"/>
      <c r="H154" s="19"/>
      <c r="I154" s="19"/>
      <c r="J154" s="274"/>
      <c r="K154" s="19"/>
      <c r="L154" s="19"/>
      <c r="M154" s="19"/>
      <c r="N154" s="19"/>
      <c r="O154" s="274"/>
      <c r="P154" s="19"/>
      <c r="Q154" s="19"/>
      <c r="R154" s="19"/>
      <c r="S154" s="19"/>
      <c r="T154" s="274"/>
      <c r="U154" s="19"/>
      <c r="V154" s="19"/>
      <c r="W154" s="19"/>
      <c r="X154" s="19"/>
      <c r="Y154" s="274"/>
      <c r="Z154" s="19"/>
      <c r="AA154" s="19"/>
      <c r="AB154" s="19"/>
      <c r="AC154" s="19"/>
      <c r="AD154" s="274"/>
      <c r="AE154" s="19"/>
      <c r="AF154" s="19"/>
      <c r="AG154" s="19"/>
      <c r="AH154" s="19"/>
      <c r="AI154" s="274"/>
      <c r="AJ154" s="19"/>
      <c r="AK154" s="19"/>
      <c r="AL154" s="19"/>
      <c r="AM154" s="19"/>
      <c r="AN154" s="274"/>
      <c r="AO154" s="19"/>
      <c r="AP154" s="19"/>
      <c r="AQ154" s="19"/>
      <c r="AR154" s="19"/>
      <c r="AS154" s="274"/>
      <c r="AT154" s="19"/>
      <c r="AU154" s="19"/>
      <c r="AV154" s="19"/>
      <c r="AW154" s="19"/>
      <c r="AX154" s="274"/>
      <c r="AY154" s="19"/>
      <c r="AZ154" s="19"/>
      <c r="BA154" s="19"/>
      <c r="BB154" s="19"/>
      <c r="BC154" s="274"/>
      <c r="BD154" s="19"/>
      <c r="BE154" s="19"/>
      <c r="BF154" s="19"/>
      <c r="BG154" s="19"/>
      <c r="BH154" s="274"/>
      <c r="BI154" s="19"/>
      <c r="BJ154" s="19"/>
      <c r="BK154" s="19"/>
      <c r="BL154" s="19"/>
      <c r="BM154" s="274"/>
      <c r="BN154" s="19"/>
      <c r="BO154" s="19"/>
      <c r="BP154" s="19"/>
      <c r="BQ154" s="19"/>
      <c r="BR154" s="274"/>
      <c r="BS154" s="19"/>
      <c r="BT154" s="19"/>
      <c r="BU154" s="19"/>
      <c r="BV154" s="19"/>
      <c r="BW154" s="274"/>
      <c r="BX154" s="19"/>
      <c r="BY154" s="19"/>
      <c r="BZ154" s="19"/>
      <c r="CA154" s="19"/>
      <c r="CB154" s="274"/>
      <c r="CC154" s="19"/>
      <c r="CD154" s="19"/>
      <c r="CE154" s="19"/>
      <c r="CF154" s="19"/>
      <c r="CG154" s="274"/>
      <c r="CH154" s="19"/>
      <c r="CI154" s="19"/>
      <c r="CJ154" s="19"/>
      <c r="CK154" s="19"/>
      <c r="CL154" s="274"/>
      <c r="CM154" s="19"/>
      <c r="CN154" s="19"/>
      <c r="CO154" s="19"/>
      <c r="CP154" s="19"/>
      <c r="CQ154" s="274"/>
      <c r="CR154" s="19"/>
      <c r="CS154" s="19"/>
      <c r="CT154" s="19"/>
      <c r="CU154" s="19"/>
      <c r="CV154" s="274"/>
      <c r="CW154" s="19"/>
      <c r="CX154" s="19"/>
      <c r="CY154" s="19"/>
      <c r="CZ154" s="19"/>
      <c r="DA154" s="274"/>
      <c r="DB154" s="19"/>
      <c r="DC154" s="19"/>
      <c r="DD154" s="19"/>
      <c r="DE154" s="19"/>
      <c r="DF154" s="274"/>
      <c r="DG154" s="19"/>
      <c r="DH154" s="19"/>
      <c r="DI154" s="19"/>
      <c r="DJ154" s="19"/>
      <c r="DK154" s="274"/>
      <c r="DL154" s="19"/>
      <c r="DM154" s="19"/>
      <c r="DN154" s="19"/>
      <c r="DO154" s="19"/>
      <c r="DP154" s="274"/>
      <c r="DQ154" s="19"/>
      <c r="DR154" s="19"/>
      <c r="DS154" s="19"/>
      <c r="DT154" s="19"/>
      <c r="DU154" s="274"/>
      <c r="DV154" s="19"/>
      <c r="DW154" s="19"/>
      <c r="DX154" s="19"/>
      <c r="DY154" s="19"/>
      <c r="DZ154" s="274"/>
      <c r="EA154" s="19"/>
      <c r="EB154" s="19"/>
      <c r="EC154" s="19"/>
      <c r="ED154" s="19"/>
      <c r="EE154" s="274"/>
      <c r="EF154" s="19"/>
      <c r="EG154" s="19"/>
      <c r="EH154" s="19"/>
      <c r="EI154" s="19"/>
      <c r="EJ154" s="274"/>
      <c r="EK154" s="19"/>
      <c r="EL154" s="19"/>
      <c r="EM154" s="19"/>
      <c r="EN154" s="19"/>
      <c r="EO154" s="244"/>
    </row>
    <row r="155" spans="4:148" s="451" customFormat="1" ht="12.75" hidden="1" customHeight="1" x14ac:dyDescent="0.2">
      <c r="D155" s="484" t="s">
        <v>479</v>
      </c>
      <c r="E155" s="138"/>
      <c r="G155" s="14">
        <f>SUM(G156:G157)</f>
        <v>0</v>
      </c>
      <c r="H155" s="14"/>
      <c r="I155" s="14"/>
      <c r="J155" s="422"/>
      <c r="K155" s="14"/>
      <c r="L155" s="14">
        <f>SUM(L156:L157)</f>
        <v>0</v>
      </c>
      <c r="M155" s="14"/>
      <c r="N155" s="14"/>
      <c r="O155" s="422"/>
      <c r="P155" s="14"/>
      <c r="Q155" s="14">
        <f>SUM(Q156:Q157)</f>
        <v>0</v>
      </c>
      <c r="R155" s="14"/>
      <c r="S155" s="14"/>
      <c r="T155" s="422"/>
      <c r="U155" s="14"/>
      <c r="V155" s="14">
        <f>SUM(V156:V157)</f>
        <v>0</v>
      </c>
      <c r="W155" s="14"/>
      <c r="X155" s="14"/>
      <c r="Y155" s="422"/>
      <c r="Z155" s="14"/>
      <c r="AA155" s="14">
        <f>SUM(AA156:AA157)</f>
        <v>0</v>
      </c>
      <c r="AB155" s="14"/>
      <c r="AC155" s="14"/>
      <c r="AD155" s="422"/>
      <c r="AE155" s="14"/>
      <c r="AF155" s="14">
        <f>SUM(AF156:AF157)</f>
        <v>0</v>
      </c>
      <c r="AG155" s="14"/>
      <c r="AH155" s="14"/>
      <c r="AI155" s="422"/>
      <c r="AJ155" s="14"/>
      <c r="AK155" s="14">
        <f>SUM(AK156:AK157)</f>
        <v>0</v>
      </c>
      <c r="AL155" s="14"/>
      <c r="AM155" s="14"/>
      <c r="AN155" s="422"/>
      <c r="AO155" s="14"/>
      <c r="AP155" s="14">
        <f>SUM(AP156:AP157)</f>
        <v>0</v>
      </c>
      <c r="AQ155" s="14"/>
      <c r="AR155" s="14"/>
      <c r="AS155" s="422"/>
      <c r="AT155" s="14"/>
      <c r="AU155" s="14">
        <f>SUM(AU156:AU157)</f>
        <v>0</v>
      </c>
      <c r="AV155" s="14"/>
      <c r="AW155" s="14"/>
      <c r="AX155" s="422"/>
      <c r="AY155" s="14"/>
      <c r="AZ155" s="14">
        <f>SUM(AZ156:AZ157)</f>
        <v>0</v>
      </c>
      <c r="BA155" s="14"/>
      <c r="BB155" s="14"/>
      <c r="BC155" s="422"/>
      <c r="BD155" s="14"/>
      <c r="BE155" s="14">
        <f>SUM(BE156:BE157)</f>
        <v>0</v>
      </c>
      <c r="BF155" s="14"/>
      <c r="BG155" s="14"/>
      <c r="BH155" s="422"/>
      <c r="BI155" s="14"/>
      <c r="BJ155" s="14">
        <f>SUM(BJ156:BJ157)</f>
        <v>0</v>
      </c>
      <c r="BK155" s="14"/>
      <c r="BL155" s="14"/>
      <c r="BM155" s="422"/>
      <c r="BN155" s="14"/>
      <c r="BO155" s="14">
        <f>SUM(BO156:BO157)</f>
        <v>0</v>
      </c>
      <c r="BP155" s="14"/>
      <c r="BQ155" s="14"/>
      <c r="BR155" s="422"/>
      <c r="BS155" s="14"/>
      <c r="BT155" s="14">
        <f>SUM(BT156:BT157)</f>
        <v>0</v>
      </c>
      <c r="BU155" s="14"/>
      <c r="BV155" s="14"/>
      <c r="BW155" s="422"/>
      <c r="BX155" s="14"/>
      <c r="BY155" s="14">
        <f>SUM(BY156:BY157)</f>
        <v>0</v>
      </c>
      <c r="BZ155" s="14"/>
      <c r="CA155" s="14"/>
      <c r="CB155" s="422"/>
      <c r="CC155" s="14"/>
      <c r="CD155" s="14">
        <f>SUM(CD156:CD157)</f>
        <v>0</v>
      </c>
      <c r="CE155" s="14"/>
      <c r="CF155" s="14"/>
      <c r="CG155" s="422"/>
      <c r="CH155" s="14"/>
      <c r="CI155" s="14">
        <f>SUM(CI156:CI157)</f>
        <v>0</v>
      </c>
      <c r="CJ155" s="14"/>
      <c r="CK155" s="14"/>
      <c r="CL155" s="422"/>
      <c r="CM155" s="14"/>
      <c r="CN155" s="14">
        <f>SUM(CN156:CN157)</f>
        <v>0</v>
      </c>
      <c r="CO155" s="14"/>
      <c r="CP155" s="14"/>
      <c r="CQ155" s="422"/>
      <c r="CR155" s="14"/>
      <c r="CS155" s="14">
        <f>SUM(CS156:CS157)</f>
        <v>0</v>
      </c>
      <c r="CT155" s="14"/>
      <c r="CU155" s="14"/>
      <c r="CV155" s="422"/>
      <c r="CW155" s="14"/>
      <c r="CX155" s="14">
        <f>SUM(CX156:CX157)</f>
        <v>0</v>
      </c>
      <c r="CY155" s="14"/>
      <c r="CZ155" s="14"/>
      <c r="DA155" s="422"/>
      <c r="DB155" s="14"/>
      <c r="DC155" s="14">
        <f>SUM(DC156:DC157)</f>
        <v>0</v>
      </c>
      <c r="DD155" s="14"/>
      <c r="DE155" s="14"/>
      <c r="DF155" s="422"/>
      <c r="DG155" s="14"/>
      <c r="DH155" s="14">
        <f>SUM(DH156:DH157)</f>
        <v>0</v>
      </c>
      <c r="DI155" s="14"/>
      <c r="DJ155" s="14"/>
      <c r="DK155" s="422"/>
      <c r="DL155" s="14"/>
      <c r="DM155" s="14">
        <f>SUM(DM156:DM157)</f>
        <v>0</v>
      </c>
      <c r="DN155" s="14"/>
      <c r="DO155" s="14"/>
      <c r="DP155" s="422"/>
      <c r="DQ155" s="14"/>
      <c r="DR155" s="14">
        <f>SUM(DR156:DR157)</f>
        <v>0</v>
      </c>
      <c r="DS155" s="14"/>
      <c r="DT155" s="14"/>
      <c r="DU155" s="422"/>
      <c r="DV155" s="14"/>
      <c r="DW155" s="14">
        <f>SUM(DW156:DW157)</f>
        <v>0</v>
      </c>
      <c r="DX155" s="14"/>
      <c r="DY155" s="14"/>
      <c r="DZ155" s="422"/>
      <c r="EA155" s="14"/>
      <c r="EB155" s="14">
        <f>SUM(EB156:EB157)</f>
        <v>0</v>
      </c>
      <c r="EC155" s="14"/>
      <c r="ED155" s="14"/>
      <c r="EE155" s="422"/>
      <c r="EF155" s="14"/>
      <c r="EG155" s="14">
        <f>SUM(EG156:EG157)</f>
        <v>0</v>
      </c>
      <c r="EH155" s="14"/>
      <c r="EI155" s="14"/>
      <c r="EJ155" s="422"/>
      <c r="EK155" s="14"/>
      <c r="EL155" s="14">
        <f>SUM(EL156:EL157)</f>
        <v>0</v>
      </c>
      <c r="EM155" s="14"/>
      <c r="EN155" s="14"/>
      <c r="EO155" s="484"/>
      <c r="EQ155" s="12"/>
      <c r="ER155" s="12"/>
    </row>
    <row r="156" spans="4:148" ht="12.75" hidden="1" customHeight="1" x14ac:dyDescent="0.2">
      <c r="D156" s="244" t="s">
        <v>466</v>
      </c>
      <c r="E156" s="82"/>
      <c r="F156" s="112"/>
      <c r="G156" s="374">
        <v>0</v>
      </c>
      <c r="H156" s="475"/>
      <c r="I156" s="19"/>
      <c r="J156" s="274"/>
      <c r="K156" s="173"/>
      <c r="L156" s="374">
        <f>L160+L164</f>
        <v>0</v>
      </c>
      <c r="M156" s="475"/>
      <c r="N156" s="19"/>
      <c r="O156" s="274"/>
      <c r="P156" s="173"/>
      <c r="Q156" s="374">
        <f>Q160+Q164</f>
        <v>0</v>
      </c>
      <c r="R156" s="475"/>
      <c r="S156" s="19"/>
      <c r="T156" s="274"/>
      <c r="U156" s="173"/>
      <c r="V156" s="374">
        <f>V160+V164</f>
        <v>0</v>
      </c>
      <c r="W156" s="475"/>
      <c r="X156" s="19"/>
      <c r="Y156" s="274"/>
      <c r="Z156" s="173"/>
      <c r="AA156" s="374">
        <f>AA160+AA164</f>
        <v>0</v>
      </c>
      <c r="AB156" s="475"/>
      <c r="AC156" s="19"/>
      <c r="AD156" s="274"/>
      <c r="AE156" s="173"/>
      <c r="AF156" s="374">
        <f>AF160+AF164</f>
        <v>0</v>
      </c>
      <c r="AG156" s="475"/>
      <c r="AH156" s="19"/>
      <c r="AI156" s="274"/>
      <c r="AJ156" s="173"/>
      <c r="AK156" s="374">
        <f>AK160+AK164</f>
        <v>0</v>
      </c>
      <c r="AL156" s="475"/>
      <c r="AM156" s="19"/>
      <c r="AN156" s="274"/>
      <c r="AO156" s="173"/>
      <c r="AP156" s="374">
        <v>0</v>
      </c>
      <c r="AQ156" s="475"/>
      <c r="AR156" s="19"/>
      <c r="AS156" s="274"/>
      <c r="AT156" s="173"/>
      <c r="AU156" s="374">
        <f>AU160+AU164</f>
        <v>0</v>
      </c>
      <c r="AV156" s="475"/>
      <c r="AW156" s="19"/>
      <c r="AX156" s="274"/>
      <c r="AY156" s="173"/>
      <c r="AZ156" s="374">
        <f>AZ160+AZ164</f>
        <v>0</v>
      </c>
      <c r="BA156" s="475"/>
      <c r="BB156" s="19"/>
      <c r="BC156" s="274"/>
      <c r="BD156" s="173"/>
      <c r="BE156" s="374">
        <f>BE160+BE164</f>
        <v>0</v>
      </c>
      <c r="BF156" s="475"/>
      <c r="BG156" s="19"/>
      <c r="BH156" s="274"/>
      <c r="BI156" s="173"/>
      <c r="BJ156" s="374">
        <f>BJ160+BJ164</f>
        <v>0</v>
      </c>
      <c r="BK156" s="475"/>
      <c r="BL156" s="19"/>
      <c r="BM156" s="274"/>
      <c r="BN156" s="173"/>
      <c r="BO156" s="374">
        <f>BO160+BO164</f>
        <v>0</v>
      </c>
      <c r="BP156" s="475"/>
      <c r="BQ156" s="19"/>
      <c r="BR156" s="274"/>
      <c r="BS156" s="173"/>
      <c r="BT156" s="374">
        <f>BT160+BT164</f>
        <v>0</v>
      </c>
      <c r="BU156" s="475"/>
      <c r="BV156" s="19"/>
      <c r="BW156" s="274"/>
      <c r="BX156" s="173"/>
      <c r="BY156" s="374">
        <v>0</v>
      </c>
      <c r="BZ156" s="475"/>
      <c r="CA156" s="19"/>
      <c r="CB156" s="274"/>
      <c r="CC156" s="173"/>
      <c r="CD156" s="374">
        <f>CD160+CD164</f>
        <v>0</v>
      </c>
      <c r="CE156" s="475"/>
      <c r="CF156" s="19"/>
      <c r="CG156" s="274"/>
      <c r="CH156" s="173"/>
      <c r="CI156" s="374">
        <f>CI160+CI164</f>
        <v>0</v>
      </c>
      <c r="CJ156" s="475"/>
      <c r="CK156" s="19"/>
      <c r="CL156" s="274"/>
      <c r="CM156" s="173"/>
      <c r="CN156" s="374">
        <f>CN160+CN164</f>
        <v>0</v>
      </c>
      <c r="CO156" s="475"/>
      <c r="CP156" s="19"/>
      <c r="CQ156" s="274"/>
      <c r="CR156" s="173"/>
      <c r="CS156" s="374">
        <f>CS160+CS164</f>
        <v>0</v>
      </c>
      <c r="CT156" s="475"/>
      <c r="CU156" s="19"/>
      <c r="CV156" s="274"/>
      <c r="CW156" s="173"/>
      <c r="CX156" s="374">
        <f>CX160+CX164</f>
        <v>0</v>
      </c>
      <c r="CY156" s="475"/>
      <c r="CZ156" s="19"/>
      <c r="DA156" s="274"/>
      <c r="DB156" s="173"/>
      <c r="DC156" s="374">
        <f>DC160+DC164</f>
        <v>0</v>
      </c>
      <c r="DD156" s="475"/>
      <c r="DE156" s="19"/>
      <c r="DF156" s="274"/>
      <c r="DG156" s="173"/>
      <c r="DH156" s="374">
        <v>0</v>
      </c>
      <c r="DI156" s="475"/>
      <c r="DJ156" s="19"/>
      <c r="DK156" s="274"/>
      <c r="DL156" s="173"/>
      <c r="DM156" s="374">
        <f>DM160+DM164</f>
        <v>0</v>
      </c>
      <c r="DN156" s="475"/>
      <c r="DO156" s="19"/>
      <c r="DP156" s="274"/>
      <c r="DQ156" s="173"/>
      <c r="DR156" s="374">
        <f>DR160+DR164</f>
        <v>0</v>
      </c>
      <c r="DS156" s="475"/>
      <c r="DT156" s="19"/>
      <c r="DU156" s="274"/>
      <c r="DV156" s="173"/>
      <c r="DW156" s="374">
        <f>DW160+DW164</f>
        <v>0</v>
      </c>
      <c r="DX156" s="475"/>
      <c r="DY156" s="19"/>
      <c r="DZ156" s="274"/>
      <c r="EA156" s="173"/>
      <c r="EB156" s="374">
        <f>EB160+EB164</f>
        <v>0</v>
      </c>
      <c r="EC156" s="475"/>
      <c r="ED156" s="19"/>
      <c r="EE156" s="274"/>
      <c r="EF156" s="173"/>
      <c r="EG156" s="374">
        <f>EG160+EG164</f>
        <v>0</v>
      </c>
      <c r="EH156" s="475"/>
      <c r="EI156" s="19"/>
      <c r="EJ156" s="274"/>
      <c r="EK156" s="173"/>
      <c r="EL156" s="374">
        <f>EL160+EL164</f>
        <v>0</v>
      </c>
      <c r="EM156" s="475"/>
      <c r="EN156" s="19"/>
      <c r="EO156" s="244"/>
    </row>
    <row r="157" spans="4:148" ht="12.75" hidden="1" customHeight="1" x14ac:dyDescent="0.2">
      <c r="D157" s="244" t="s">
        <v>467</v>
      </c>
      <c r="E157" s="82"/>
      <c r="F157" s="276"/>
      <c r="G157" s="37">
        <v>0</v>
      </c>
      <c r="H157" s="36"/>
      <c r="I157" s="19"/>
      <c r="J157" s="274"/>
      <c r="K157" s="231"/>
      <c r="L157" s="37">
        <f>L161+L165</f>
        <v>0</v>
      </c>
      <c r="M157" s="36"/>
      <c r="N157" s="19"/>
      <c r="O157" s="274"/>
      <c r="P157" s="231"/>
      <c r="Q157" s="37">
        <f>Q161+Q165</f>
        <v>0</v>
      </c>
      <c r="R157" s="36"/>
      <c r="S157" s="19"/>
      <c r="T157" s="274"/>
      <c r="U157" s="231"/>
      <c r="V157" s="37">
        <f>V161+V165</f>
        <v>0</v>
      </c>
      <c r="W157" s="36"/>
      <c r="X157" s="19"/>
      <c r="Y157" s="274"/>
      <c r="Z157" s="231"/>
      <c r="AA157" s="37">
        <f>AA161+AA165</f>
        <v>0</v>
      </c>
      <c r="AB157" s="36"/>
      <c r="AC157" s="19"/>
      <c r="AD157" s="274"/>
      <c r="AE157" s="231"/>
      <c r="AF157" s="37">
        <f>AF161+AF165</f>
        <v>0</v>
      </c>
      <c r="AG157" s="36"/>
      <c r="AH157" s="19"/>
      <c r="AI157" s="274"/>
      <c r="AJ157" s="231"/>
      <c r="AK157" s="37">
        <f>AK161+AK165</f>
        <v>0</v>
      </c>
      <c r="AL157" s="36"/>
      <c r="AM157" s="19"/>
      <c r="AN157" s="274"/>
      <c r="AO157" s="231"/>
      <c r="AP157" s="37">
        <v>0</v>
      </c>
      <c r="AQ157" s="36"/>
      <c r="AR157" s="19"/>
      <c r="AS157" s="274"/>
      <c r="AT157" s="231"/>
      <c r="AU157" s="37">
        <f>AU161+AU165</f>
        <v>0</v>
      </c>
      <c r="AV157" s="36"/>
      <c r="AW157" s="19"/>
      <c r="AX157" s="274"/>
      <c r="AY157" s="231"/>
      <c r="AZ157" s="37">
        <f>AZ161+AZ165</f>
        <v>0</v>
      </c>
      <c r="BA157" s="36"/>
      <c r="BB157" s="19"/>
      <c r="BC157" s="274"/>
      <c r="BD157" s="231"/>
      <c r="BE157" s="37">
        <f>BE161+BE165</f>
        <v>0</v>
      </c>
      <c r="BF157" s="36"/>
      <c r="BG157" s="19"/>
      <c r="BH157" s="274"/>
      <c r="BI157" s="231"/>
      <c r="BJ157" s="37">
        <f>BJ161+BJ165</f>
        <v>0</v>
      </c>
      <c r="BK157" s="36"/>
      <c r="BL157" s="19"/>
      <c r="BM157" s="274"/>
      <c r="BN157" s="231"/>
      <c r="BO157" s="37">
        <f>BO161+BO165</f>
        <v>0</v>
      </c>
      <c r="BP157" s="36"/>
      <c r="BQ157" s="19"/>
      <c r="BR157" s="274"/>
      <c r="BS157" s="231"/>
      <c r="BT157" s="37">
        <f>BT161+BT165</f>
        <v>0</v>
      </c>
      <c r="BU157" s="36"/>
      <c r="BV157" s="19"/>
      <c r="BW157" s="274"/>
      <c r="BX157" s="231"/>
      <c r="BY157" s="37">
        <v>0</v>
      </c>
      <c r="BZ157" s="36"/>
      <c r="CA157" s="19"/>
      <c r="CB157" s="274"/>
      <c r="CC157" s="231"/>
      <c r="CD157" s="37">
        <f>CD161+CD165</f>
        <v>0</v>
      </c>
      <c r="CE157" s="36"/>
      <c r="CF157" s="19"/>
      <c r="CG157" s="274"/>
      <c r="CH157" s="231"/>
      <c r="CI157" s="37">
        <f>CI161+CI165</f>
        <v>0</v>
      </c>
      <c r="CJ157" s="36"/>
      <c r="CK157" s="19"/>
      <c r="CL157" s="274"/>
      <c r="CM157" s="231"/>
      <c r="CN157" s="37">
        <f>CN161+CN165</f>
        <v>0</v>
      </c>
      <c r="CO157" s="36"/>
      <c r="CP157" s="19"/>
      <c r="CQ157" s="274"/>
      <c r="CR157" s="231"/>
      <c r="CS157" s="37">
        <f>CS161+CS165</f>
        <v>0</v>
      </c>
      <c r="CT157" s="36"/>
      <c r="CU157" s="19"/>
      <c r="CV157" s="274"/>
      <c r="CW157" s="231"/>
      <c r="CX157" s="37">
        <f>CX161+CX165</f>
        <v>0</v>
      </c>
      <c r="CY157" s="36"/>
      <c r="CZ157" s="19"/>
      <c r="DA157" s="274"/>
      <c r="DB157" s="231"/>
      <c r="DC157" s="37">
        <f>DC161+DC165</f>
        <v>0</v>
      </c>
      <c r="DD157" s="36"/>
      <c r="DE157" s="19"/>
      <c r="DF157" s="274"/>
      <c r="DG157" s="231"/>
      <c r="DH157" s="37">
        <v>0</v>
      </c>
      <c r="DI157" s="36"/>
      <c r="DJ157" s="19"/>
      <c r="DK157" s="274"/>
      <c r="DL157" s="231"/>
      <c r="DM157" s="37">
        <f>DM161+DM165</f>
        <v>0</v>
      </c>
      <c r="DN157" s="36"/>
      <c r="DO157" s="19"/>
      <c r="DP157" s="274"/>
      <c r="DQ157" s="231"/>
      <c r="DR157" s="37">
        <f>DR161+DR165</f>
        <v>0</v>
      </c>
      <c r="DS157" s="36"/>
      <c r="DT157" s="19"/>
      <c r="DU157" s="274"/>
      <c r="DV157" s="231"/>
      <c r="DW157" s="37">
        <f>DW161+DW165</f>
        <v>0</v>
      </c>
      <c r="DX157" s="36"/>
      <c r="DY157" s="19"/>
      <c r="DZ157" s="274"/>
      <c r="EA157" s="231"/>
      <c r="EB157" s="37">
        <f>EB161+EB165</f>
        <v>0</v>
      </c>
      <c r="EC157" s="36"/>
      <c r="ED157" s="19"/>
      <c r="EE157" s="274"/>
      <c r="EF157" s="231"/>
      <c r="EG157" s="37">
        <f>EG161+EG165</f>
        <v>0</v>
      </c>
      <c r="EH157" s="36"/>
      <c r="EI157" s="19"/>
      <c r="EJ157" s="274"/>
      <c r="EK157" s="231"/>
      <c r="EL157" s="37">
        <f>EL161+EL165</f>
        <v>0</v>
      </c>
      <c r="EM157" s="36"/>
      <c r="EN157" s="19"/>
      <c r="EO157" s="244"/>
    </row>
    <row r="158" spans="4:148" ht="12.75" hidden="1" customHeight="1" x14ac:dyDescent="0.2">
      <c r="D158" s="244"/>
      <c r="E158" s="82"/>
      <c r="G158" s="19"/>
      <c r="H158" s="19"/>
      <c r="I158" s="19"/>
      <c r="J158" s="274"/>
      <c r="K158" s="19"/>
      <c r="L158" s="19"/>
      <c r="M158" s="19"/>
      <c r="N158" s="19"/>
      <c r="O158" s="274"/>
      <c r="P158" s="19"/>
      <c r="Q158" s="19"/>
      <c r="R158" s="19"/>
      <c r="S158" s="19"/>
      <c r="T158" s="274"/>
      <c r="U158" s="19"/>
      <c r="V158" s="19"/>
      <c r="W158" s="19"/>
      <c r="X158" s="19"/>
      <c r="Y158" s="274"/>
      <c r="Z158" s="19"/>
      <c r="AA158" s="19"/>
      <c r="AB158" s="19"/>
      <c r="AC158" s="19"/>
      <c r="AD158" s="274"/>
      <c r="AE158" s="19"/>
      <c r="AF158" s="19"/>
      <c r="AG158" s="19"/>
      <c r="AH158" s="19"/>
      <c r="AI158" s="274"/>
      <c r="AJ158" s="19"/>
      <c r="AK158" s="19"/>
      <c r="AL158" s="19"/>
      <c r="AM158" s="19"/>
      <c r="AN158" s="274"/>
      <c r="AO158" s="19"/>
      <c r="AP158" s="19"/>
      <c r="AQ158" s="19"/>
      <c r="AR158" s="19"/>
      <c r="AS158" s="274"/>
      <c r="AT158" s="19"/>
      <c r="AU158" s="19"/>
      <c r="AV158" s="19"/>
      <c r="AW158" s="19"/>
      <c r="AX158" s="274"/>
      <c r="AY158" s="19"/>
      <c r="AZ158" s="19"/>
      <c r="BA158" s="19"/>
      <c r="BB158" s="19"/>
      <c r="BC158" s="274"/>
      <c r="BD158" s="19"/>
      <c r="BE158" s="19"/>
      <c r="BF158" s="19"/>
      <c r="BG158" s="19"/>
      <c r="BH158" s="274"/>
      <c r="BI158" s="19"/>
      <c r="BJ158" s="19"/>
      <c r="BK158" s="19"/>
      <c r="BL158" s="19"/>
      <c r="BM158" s="274"/>
      <c r="BN158" s="19"/>
      <c r="BO158" s="19"/>
      <c r="BP158" s="19"/>
      <c r="BQ158" s="19"/>
      <c r="BR158" s="274"/>
      <c r="BS158" s="19"/>
      <c r="BT158" s="19"/>
      <c r="BU158" s="19"/>
      <c r="BV158" s="19"/>
      <c r="BW158" s="274"/>
      <c r="BX158" s="19"/>
      <c r="BY158" s="19"/>
      <c r="BZ158" s="19"/>
      <c r="CA158" s="19"/>
      <c r="CB158" s="274"/>
      <c r="CC158" s="19"/>
      <c r="CD158" s="19"/>
      <c r="CE158" s="19"/>
      <c r="CF158" s="19"/>
      <c r="CG158" s="274"/>
      <c r="CH158" s="19"/>
      <c r="CI158" s="19"/>
      <c r="CJ158" s="19"/>
      <c r="CK158" s="19"/>
      <c r="CL158" s="274"/>
      <c r="CM158" s="19"/>
      <c r="CN158" s="19"/>
      <c r="CO158" s="19"/>
      <c r="CP158" s="19"/>
      <c r="CQ158" s="274"/>
      <c r="CR158" s="19"/>
      <c r="CS158" s="19"/>
      <c r="CT158" s="19"/>
      <c r="CU158" s="19"/>
      <c r="CV158" s="274"/>
      <c r="CW158" s="19"/>
      <c r="CX158" s="19"/>
      <c r="CY158" s="19"/>
      <c r="CZ158" s="19"/>
      <c r="DA158" s="274"/>
      <c r="DB158" s="19"/>
      <c r="DC158" s="19"/>
      <c r="DD158" s="19"/>
      <c r="DE158" s="19"/>
      <c r="DF158" s="274"/>
      <c r="DG158" s="19"/>
      <c r="DH158" s="19"/>
      <c r="DI158" s="19"/>
      <c r="DJ158" s="19"/>
      <c r="DK158" s="274"/>
      <c r="DL158" s="19"/>
      <c r="DM158" s="19"/>
      <c r="DN158" s="19"/>
      <c r="DO158" s="19"/>
      <c r="DP158" s="274"/>
      <c r="DQ158" s="19"/>
      <c r="DR158" s="19"/>
      <c r="DS158" s="19"/>
      <c r="DT158" s="19"/>
      <c r="DU158" s="274"/>
      <c r="DV158" s="19"/>
      <c r="DW158" s="19"/>
      <c r="DX158" s="19"/>
      <c r="DY158" s="19"/>
      <c r="DZ158" s="274"/>
      <c r="EA158" s="19"/>
      <c r="EB158" s="19"/>
      <c r="EC158" s="19"/>
      <c r="ED158" s="19"/>
      <c r="EE158" s="274"/>
      <c r="EF158" s="19"/>
      <c r="EG158" s="19"/>
      <c r="EH158" s="19"/>
      <c r="EI158" s="19"/>
      <c r="EJ158" s="274"/>
      <c r="EK158" s="19"/>
      <c r="EL158" s="19"/>
      <c r="EM158" s="19"/>
      <c r="EN158" s="19"/>
      <c r="EO158" s="244"/>
    </row>
    <row r="159" spans="4:148" ht="12.75" hidden="1" customHeight="1" x14ac:dyDescent="0.2">
      <c r="D159" s="244" t="s">
        <v>480</v>
      </c>
      <c r="E159" s="82"/>
      <c r="G159" s="19">
        <v>0</v>
      </c>
      <c r="H159" s="19"/>
      <c r="I159" s="19"/>
      <c r="J159" s="274"/>
      <c r="K159" s="19"/>
      <c r="L159" s="19">
        <f>SUM(L160:L161)</f>
        <v>0</v>
      </c>
      <c r="M159" s="19"/>
      <c r="N159" s="19"/>
      <c r="O159" s="274"/>
      <c r="P159" s="19"/>
      <c r="Q159" s="19">
        <f>SUM(Q160:Q161)</f>
        <v>0</v>
      </c>
      <c r="R159" s="19"/>
      <c r="S159" s="19"/>
      <c r="T159" s="274"/>
      <c r="U159" s="19"/>
      <c r="V159" s="19">
        <f>SUM(V160:V161)</f>
        <v>0</v>
      </c>
      <c r="W159" s="19"/>
      <c r="X159" s="19"/>
      <c r="Y159" s="274"/>
      <c r="Z159" s="19"/>
      <c r="AA159" s="19">
        <f>SUM(AA160:AA161)</f>
        <v>0</v>
      </c>
      <c r="AB159" s="19"/>
      <c r="AC159" s="19"/>
      <c r="AD159" s="274"/>
      <c r="AE159" s="19"/>
      <c r="AF159" s="19">
        <f>SUM(AF160:AF161)</f>
        <v>0</v>
      </c>
      <c r="AG159" s="19"/>
      <c r="AH159" s="19"/>
      <c r="AI159" s="274"/>
      <c r="AJ159" s="19"/>
      <c r="AK159" s="19">
        <f>SUM(AK160:AK161)</f>
        <v>0</v>
      </c>
      <c r="AL159" s="19"/>
      <c r="AM159" s="19"/>
      <c r="AN159" s="274"/>
      <c r="AO159" s="19"/>
      <c r="AP159" s="19">
        <f>SUM(AP160:AP161)</f>
        <v>0</v>
      </c>
      <c r="AQ159" s="19"/>
      <c r="AR159" s="19"/>
      <c r="AS159" s="274"/>
      <c r="AT159" s="19"/>
      <c r="AU159" s="19">
        <f>SUM(AU160:AU161)</f>
        <v>0</v>
      </c>
      <c r="AV159" s="19"/>
      <c r="AW159" s="19"/>
      <c r="AX159" s="274"/>
      <c r="AY159" s="19"/>
      <c r="AZ159" s="19">
        <f>SUM(AZ160:AZ161)</f>
        <v>0</v>
      </c>
      <c r="BA159" s="19"/>
      <c r="BB159" s="19"/>
      <c r="BC159" s="274"/>
      <c r="BD159" s="19"/>
      <c r="BE159" s="19">
        <f>SUM(BE160:BE161)</f>
        <v>0</v>
      </c>
      <c r="BF159" s="19"/>
      <c r="BG159" s="19"/>
      <c r="BH159" s="274"/>
      <c r="BI159" s="19"/>
      <c r="BJ159" s="19">
        <f>SUM(BJ160:BJ161)</f>
        <v>0</v>
      </c>
      <c r="BK159" s="19"/>
      <c r="BL159" s="19"/>
      <c r="BM159" s="274"/>
      <c r="BN159" s="19"/>
      <c r="BO159" s="19">
        <f>SUM(BO160:BO161)</f>
        <v>0</v>
      </c>
      <c r="BP159" s="19"/>
      <c r="BQ159" s="19"/>
      <c r="BR159" s="274"/>
      <c r="BS159" s="19"/>
      <c r="BT159" s="19">
        <f>SUM(BT160:BT161)</f>
        <v>0</v>
      </c>
      <c r="BU159" s="19"/>
      <c r="BV159" s="19"/>
      <c r="BW159" s="274"/>
      <c r="BX159" s="19"/>
      <c r="BY159" s="19">
        <f>SUM(BY160:BY161)</f>
        <v>0</v>
      </c>
      <c r="BZ159" s="19"/>
      <c r="CA159" s="19"/>
      <c r="CB159" s="274"/>
      <c r="CC159" s="19"/>
      <c r="CD159" s="19">
        <f>SUM(CD160:CD161)</f>
        <v>0</v>
      </c>
      <c r="CE159" s="19"/>
      <c r="CF159" s="19"/>
      <c r="CG159" s="274"/>
      <c r="CH159" s="19"/>
      <c r="CI159" s="19">
        <f>SUM(CI160:CI161)</f>
        <v>0</v>
      </c>
      <c r="CJ159" s="19"/>
      <c r="CK159" s="19"/>
      <c r="CL159" s="274"/>
      <c r="CM159" s="19"/>
      <c r="CN159" s="19">
        <f>SUM(CN160:CN161)</f>
        <v>0</v>
      </c>
      <c r="CO159" s="19"/>
      <c r="CP159" s="19"/>
      <c r="CQ159" s="274"/>
      <c r="CR159" s="19"/>
      <c r="CS159" s="19">
        <f>SUM(CS160:CS161)</f>
        <v>0</v>
      </c>
      <c r="CT159" s="19"/>
      <c r="CU159" s="19"/>
      <c r="CV159" s="274"/>
      <c r="CW159" s="19"/>
      <c r="CX159" s="19">
        <f>SUM(CX160:CX161)</f>
        <v>0</v>
      </c>
      <c r="CY159" s="19"/>
      <c r="CZ159" s="19"/>
      <c r="DA159" s="274"/>
      <c r="DB159" s="19"/>
      <c r="DC159" s="19">
        <f>SUM(DC160:DC161)</f>
        <v>0</v>
      </c>
      <c r="DD159" s="19"/>
      <c r="DE159" s="19"/>
      <c r="DF159" s="274"/>
      <c r="DG159" s="19"/>
      <c r="DH159" s="19">
        <f>SUM(DH160:DH161)</f>
        <v>0</v>
      </c>
      <c r="DI159" s="19"/>
      <c r="DJ159" s="19"/>
      <c r="DK159" s="274"/>
      <c r="DL159" s="19"/>
      <c r="DM159" s="19">
        <f>SUM(DM160:DM161)</f>
        <v>0</v>
      </c>
      <c r="DN159" s="19"/>
      <c r="DO159" s="19"/>
      <c r="DP159" s="274"/>
      <c r="DQ159" s="19"/>
      <c r="DR159" s="19">
        <f>SUM(DR160:DR161)</f>
        <v>0</v>
      </c>
      <c r="DS159" s="19"/>
      <c r="DT159" s="19"/>
      <c r="DU159" s="274"/>
      <c r="DV159" s="19"/>
      <c r="DW159" s="19">
        <f>SUM(DW160:DW161)</f>
        <v>0</v>
      </c>
      <c r="DX159" s="19"/>
      <c r="DY159" s="19"/>
      <c r="DZ159" s="274"/>
      <c r="EA159" s="19"/>
      <c r="EB159" s="19">
        <f>SUM(EB160:EB161)</f>
        <v>0</v>
      </c>
      <c r="EC159" s="19"/>
      <c r="ED159" s="19"/>
      <c r="EE159" s="274"/>
      <c r="EF159" s="19"/>
      <c r="EG159" s="19">
        <f>SUM(EG160:EG161)</f>
        <v>0</v>
      </c>
      <c r="EH159" s="19"/>
      <c r="EI159" s="19"/>
      <c r="EJ159" s="274"/>
      <c r="EK159" s="19"/>
      <c r="EL159" s="19">
        <f>SUM(EL160:EL161)</f>
        <v>0</v>
      </c>
      <c r="EM159" s="19"/>
      <c r="EN159" s="19"/>
      <c r="EO159" s="244"/>
    </row>
    <row r="160" spans="4:148" ht="12.75" hidden="1" customHeight="1" x14ac:dyDescent="0.2">
      <c r="D160" s="244" t="s">
        <v>466</v>
      </c>
      <c r="E160" s="82"/>
      <c r="F160" s="112"/>
      <c r="G160" s="374">
        <v>0</v>
      </c>
      <c r="H160" s="475"/>
      <c r="I160" s="19"/>
      <c r="J160" s="274"/>
      <c r="K160" s="173"/>
      <c r="L160" s="374">
        <v>0</v>
      </c>
      <c r="M160" s="475"/>
      <c r="N160" s="19"/>
      <c r="O160" s="274"/>
      <c r="P160" s="173"/>
      <c r="Q160" s="374">
        <v>0</v>
      </c>
      <c r="R160" s="475"/>
      <c r="S160" s="19"/>
      <c r="T160" s="274"/>
      <c r="U160" s="173"/>
      <c r="V160" s="374">
        <v>0</v>
      </c>
      <c r="W160" s="475"/>
      <c r="X160" s="19"/>
      <c r="Y160" s="274"/>
      <c r="Z160" s="173"/>
      <c r="AA160" s="374">
        <v>0</v>
      </c>
      <c r="AB160" s="475"/>
      <c r="AC160" s="19"/>
      <c r="AD160" s="274"/>
      <c r="AE160" s="173"/>
      <c r="AF160" s="374">
        <v>0</v>
      </c>
      <c r="AG160" s="475"/>
      <c r="AH160" s="19"/>
      <c r="AI160" s="274"/>
      <c r="AJ160" s="173"/>
      <c r="AK160" s="374">
        <v>0</v>
      </c>
      <c r="AL160" s="475"/>
      <c r="AM160" s="19"/>
      <c r="AN160" s="274"/>
      <c r="AO160" s="173"/>
      <c r="AP160" s="374">
        <v>0</v>
      </c>
      <c r="AQ160" s="475"/>
      <c r="AR160" s="19"/>
      <c r="AS160" s="274"/>
      <c r="AT160" s="173"/>
      <c r="AU160" s="374">
        <v>0</v>
      </c>
      <c r="AV160" s="475"/>
      <c r="AW160" s="19"/>
      <c r="AX160" s="274"/>
      <c r="AY160" s="173"/>
      <c r="AZ160" s="374">
        <v>0</v>
      </c>
      <c r="BA160" s="475"/>
      <c r="BB160" s="19"/>
      <c r="BC160" s="274"/>
      <c r="BD160" s="173"/>
      <c r="BE160" s="374">
        <v>0</v>
      </c>
      <c r="BF160" s="475"/>
      <c r="BG160" s="19"/>
      <c r="BH160" s="274"/>
      <c r="BI160" s="173"/>
      <c r="BJ160" s="374">
        <v>0</v>
      </c>
      <c r="BK160" s="475"/>
      <c r="BL160" s="19"/>
      <c r="BM160" s="274"/>
      <c r="BN160" s="173"/>
      <c r="BO160" s="374">
        <v>0</v>
      </c>
      <c r="BP160" s="475"/>
      <c r="BQ160" s="19"/>
      <c r="BR160" s="274"/>
      <c r="BS160" s="173"/>
      <c r="BT160" s="374">
        <f>SUM(L160:BO160)</f>
        <v>0</v>
      </c>
      <c r="BU160" s="475"/>
      <c r="BV160" s="19"/>
      <c r="BW160" s="274"/>
      <c r="BX160" s="173"/>
      <c r="BY160" s="374">
        <v>0</v>
      </c>
      <c r="BZ160" s="475"/>
      <c r="CA160" s="19"/>
      <c r="CB160" s="274"/>
      <c r="CC160" s="173"/>
      <c r="CD160" s="374">
        <v>0</v>
      </c>
      <c r="CE160" s="475"/>
      <c r="CF160" s="19"/>
      <c r="CG160" s="274"/>
      <c r="CH160" s="173"/>
      <c r="CI160" s="374">
        <v>0</v>
      </c>
      <c r="CJ160" s="475"/>
      <c r="CK160" s="19"/>
      <c r="CL160" s="274"/>
      <c r="CM160" s="173"/>
      <c r="CN160" s="374">
        <v>0</v>
      </c>
      <c r="CO160" s="475"/>
      <c r="CP160" s="19"/>
      <c r="CQ160" s="274"/>
      <c r="CR160" s="173"/>
      <c r="CS160" s="374">
        <v>0</v>
      </c>
      <c r="CT160" s="475"/>
      <c r="CU160" s="19"/>
      <c r="CV160" s="274"/>
      <c r="CW160" s="173"/>
      <c r="CX160" s="374">
        <v>0</v>
      </c>
      <c r="CY160" s="475"/>
      <c r="CZ160" s="19"/>
      <c r="DA160" s="274"/>
      <c r="DB160" s="173"/>
      <c r="DC160" s="374">
        <v>0</v>
      </c>
      <c r="DD160" s="475"/>
      <c r="DE160" s="19"/>
      <c r="DF160" s="274"/>
      <c r="DG160" s="173"/>
      <c r="DH160" s="374">
        <v>0</v>
      </c>
      <c r="DI160" s="475"/>
      <c r="DJ160" s="19"/>
      <c r="DK160" s="274"/>
      <c r="DL160" s="173"/>
      <c r="DM160" s="374">
        <v>0</v>
      </c>
      <c r="DN160" s="475"/>
      <c r="DO160" s="19"/>
      <c r="DP160" s="274"/>
      <c r="DQ160" s="173"/>
      <c r="DR160" s="374">
        <v>0</v>
      </c>
      <c r="DS160" s="475"/>
      <c r="DT160" s="19"/>
      <c r="DU160" s="274"/>
      <c r="DV160" s="173"/>
      <c r="DW160" s="374">
        <v>0</v>
      </c>
      <c r="DX160" s="475"/>
      <c r="DY160" s="19"/>
      <c r="DZ160" s="274"/>
      <c r="EA160" s="173"/>
      <c r="EB160" s="374">
        <v>0</v>
      </c>
      <c r="EC160" s="475"/>
      <c r="ED160" s="19"/>
      <c r="EE160" s="274"/>
      <c r="EF160" s="173"/>
      <c r="EG160" s="374">
        <v>0</v>
      </c>
      <c r="EH160" s="475"/>
      <c r="EI160" s="19"/>
      <c r="EJ160" s="274"/>
      <c r="EK160" s="173"/>
      <c r="EL160" s="374">
        <f>SUM(CD160:EG160)</f>
        <v>0</v>
      </c>
      <c r="EM160" s="475"/>
      <c r="EN160" s="19"/>
      <c r="EO160" s="244"/>
    </row>
    <row r="161" spans="4:148" ht="12.75" hidden="1" customHeight="1" x14ac:dyDescent="0.2">
      <c r="D161" s="244" t="s">
        <v>467</v>
      </c>
      <c r="E161" s="82"/>
      <c r="F161" s="276"/>
      <c r="G161" s="37">
        <v>0</v>
      </c>
      <c r="H161" s="36"/>
      <c r="I161" s="19"/>
      <c r="J161" s="274"/>
      <c r="K161" s="231"/>
      <c r="L161" s="37">
        <v>0</v>
      </c>
      <c r="M161" s="36"/>
      <c r="N161" s="19"/>
      <c r="O161" s="274"/>
      <c r="P161" s="231"/>
      <c r="Q161" s="37">
        <v>0</v>
      </c>
      <c r="R161" s="36"/>
      <c r="S161" s="19"/>
      <c r="T161" s="274"/>
      <c r="U161" s="231"/>
      <c r="V161" s="37">
        <v>0</v>
      </c>
      <c r="W161" s="36"/>
      <c r="X161" s="19"/>
      <c r="Y161" s="274"/>
      <c r="Z161" s="231"/>
      <c r="AA161" s="37">
        <v>0</v>
      </c>
      <c r="AB161" s="36"/>
      <c r="AC161" s="19"/>
      <c r="AD161" s="274"/>
      <c r="AE161" s="231"/>
      <c r="AF161" s="37">
        <v>0</v>
      </c>
      <c r="AG161" s="36"/>
      <c r="AH161" s="19"/>
      <c r="AI161" s="274"/>
      <c r="AJ161" s="231"/>
      <c r="AK161" s="37">
        <v>0</v>
      </c>
      <c r="AL161" s="36"/>
      <c r="AM161" s="19"/>
      <c r="AN161" s="274"/>
      <c r="AO161" s="231"/>
      <c r="AP161" s="37">
        <v>0</v>
      </c>
      <c r="AQ161" s="36"/>
      <c r="AR161" s="19"/>
      <c r="AS161" s="274"/>
      <c r="AT161" s="231"/>
      <c r="AU161" s="37">
        <v>0</v>
      </c>
      <c r="AV161" s="36"/>
      <c r="AW161" s="19"/>
      <c r="AX161" s="274"/>
      <c r="AY161" s="231"/>
      <c r="AZ161" s="37">
        <v>0</v>
      </c>
      <c r="BA161" s="36"/>
      <c r="BB161" s="19"/>
      <c r="BC161" s="274"/>
      <c r="BD161" s="231"/>
      <c r="BE161" s="37">
        <v>0</v>
      </c>
      <c r="BF161" s="36"/>
      <c r="BG161" s="19"/>
      <c r="BH161" s="274"/>
      <c r="BI161" s="231"/>
      <c r="BJ161" s="37">
        <v>0</v>
      </c>
      <c r="BK161" s="36"/>
      <c r="BL161" s="19"/>
      <c r="BM161" s="274"/>
      <c r="BN161" s="231"/>
      <c r="BO161" s="37">
        <v>0</v>
      </c>
      <c r="BP161" s="36"/>
      <c r="BQ161" s="19"/>
      <c r="BR161" s="274"/>
      <c r="BS161" s="231"/>
      <c r="BT161" s="37">
        <f>SUM(L161:BO161)</f>
        <v>0</v>
      </c>
      <c r="BU161" s="36"/>
      <c r="BV161" s="19"/>
      <c r="BW161" s="274"/>
      <c r="BX161" s="231"/>
      <c r="BY161" s="37">
        <v>0</v>
      </c>
      <c r="BZ161" s="36"/>
      <c r="CA161" s="19"/>
      <c r="CB161" s="274"/>
      <c r="CC161" s="231"/>
      <c r="CD161" s="37">
        <v>0</v>
      </c>
      <c r="CE161" s="36"/>
      <c r="CF161" s="19"/>
      <c r="CG161" s="274"/>
      <c r="CH161" s="231"/>
      <c r="CI161" s="37">
        <v>0</v>
      </c>
      <c r="CJ161" s="36"/>
      <c r="CK161" s="19"/>
      <c r="CL161" s="274"/>
      <c r="CM161" s="231"/>
      <c r="CN161" s="37">
        <v>0</v>
      </c>
      <c r="CO161" s="36"/>
      <c r="CP161" s="19"/>
      <c r="CQ161" s="274"/>
      <c r="CR161" s="231"/>
      <c r="CS161" s="37">
        <v>0</v>
      </c>
      <c r="CT161" s="36"/>
      <c r="CU161" s="19"/>
      <c r="CV161" s="274"/>
      <c r="CW161" s="231"/>
      <c r="CX161" s="37">
        <v>0</v>
      </c>
      <c r="CY161" s="36"/>
      <c r="CZ161" s="19"/>
      <c r="DA161" s="274"/>
      <c r="DB161" s="231"/>
      <c r="DC161" s="37">
        <v>0</v>
      </c>
      <c r="DD161" s="36"/>
      <c r="DE161" s="19"/>
      <c r="DF161" s="274"/>
      <c r="DG161" s="231"/>
      <c r="DH161" s="37">
        <v>0</v>
      </c>
      <c r="DI161" s="36"/>
      <c r="DJ161" s="19"/>
      <c r="DK161" s="274"/>
      <c r="DL161" s="231"/>
      <c r="DM161" s="37">
        <v>0</v>
      </c>
      <c r="DN161" s="36"/>
      <c r="DO161" s="19"/>
      <c r="DP161" s="274"/>
      <c r="DQ161" s="231"/>
      <c r="DR161" s="37">
        <v>0</v>
      </c>
      <c r="DS161" s="36"/>
      <c r="DT161" s="19"/>
      <c r="DU161" s="274"/>
      <c r="DV161" s="231"/>
      <c r="DW161" s="37">
        <v>0</v>
      </c>
      <c r="DX161" s="36"/>
      <c r="DY161" s="19"/>
      <c r="DZ161" s="274"/>
      <c r="EA161" s="231"/>
      <c r="EB161" s="37">
        <v>0</v>
      </c>
      <c r="EC161" s="36"/>
      <c r="ED161" s="19"/>
      <c r="EE161" s="274"/>
      <c r="EF161" s="231"/>
      <c r="EG161" s="37">
        <v>0</v>
      </c>
      <c r="EH161" s="36"/>
      <c r="EI161" s="19"/>
      <c r="EJ161" s="274"/>
      <c r="EK161" s="231"/>
      <c r="EL161" s="37">
        <f>SUM(CD161:EG161)</f>
        <v>0</v>
      </c>
      <c r="EM161" s="36"/>
      <c r="EN161" s="19"/>
      <c r="EO161" s="244"/>
    </row>
    <row r="162" spans="4:148" ht="12.75" hidden="1" customHeight="1" x14ac:dyDescent="0.2">
      <c r="D162" s="244"/>
      <c r="E162" s="82"/>
      <c r="G162" s="19"/>
      <c r="H162" s="19"/>
      <c r="I162" s="19"/>
      <c r="J162" s="274"/>
      <c r="K162" s="19"/>
      <c r="L162" s="19"/>
      <c r="M162" s="19"/>
      <c r="N162" s="19"/>
      <c r="O162" s="274"/>
      <c r="P162" s="19"/>
      <c r="Q162" s="19"/>
      <c r="R162" s="19"/>
      <c r="S162" s="19"/>
      <c r="T162" s="274"/>
      <c r="U162" s="19"/>
      <c r="V162" s="19"/>
      <c r="W162" s="19"/>
      <c r="X162" s="19"/>
      <c r="Y162" s="274"/>
      <c r="Z162" s="19"/>
      <c r="AA162" s="19"/>
      <c r="AB162" s="19"/>
      <c r="AC162" s="19"/>
      <c r="AD162" s="274"/>
      <c r="AE162" s="19"/>
      <c r="AF162" s="19"/>
      <c r="AG162" s="19"/>
      <c r="AH162" s="19"/>
      <c r="AI162" s="274"/>
      <c r="AJ162" s="19"/>
      <c r="AK162" s="19"/>
      <c r="AL162" s="19"/>
      <c r="AM162" s="19"/>
      <c r="AN162" s="274"/>
      <c r="AO162" s="19"/>
      <c r="AP162" s="19"/>
      <c r="AQ162" s="19"/>
      <c r="AR162" s="19"/>
      <c r="AS162" s="274"/>
      <c r="AT162" s="19"/>
      <c r="AU162" s="19"/>
      <c r="AV162" s="19"/>
      <c r="AW162" s="19"/>
      <c r="AX162" s="274"/>
      <c r="AY162" s="19"/>
      <c r="AZ162" s="19"/>
      <c r="BA162" s="19"/>
      <c r="BB162" s="19"/>
      <c r="BC162" s="274"/>
      <c r="BD162" s="19"/>
      <c r="BE162" s="19"/>
      <c r="BF162" s="19"/>
      <c r="BG162" s="19"/>
      <c r="BH162" s="274"/>
      <c r="BI162" s="19"/>
      <c r="BJ162" s="19"/>
      <c r="BK162" s="19"/>
      <c r="BL162" s="19"/>
      <c r="BM162" s="274"/>
      <c r="BN162" s="19"/>
      <c r="BO162" s="19"/>
      <c r="BP162" s="19"/>
      <c r="BQ162" s="19"/>
      <c r="BR162" s="274"/>
      <c r="BS162" s="19"/>
      <c r="BT162" s="19"/>
      <c r="BU162" s="19"/>
      <c r="BV162" s="19"/>
      <c r="BW162" s="274"/>
      <c r="BX162" s="19"/>
      <c r="BY162" s="19"/>
      <c r="BZ162" s="19"/>
      <c r="CA162" s="19"/>
      <c r="CB162" s="274"/>
      <c r="CC162" s="19"/>
      <c r="CD162" s="19"/>
      <c r="CE162" s="19"/>
      <c r="CF162" s="19"/>
      <c r="CG162" s="274"/>
      <c r="CH162" s="19"/>
      <c r="CI162" s="19"/>
      <c r="CJ162" s="19"/>
      <c r="CK162" s="19"/>
      <c r="CL162" s="274"/>
      <c r="CM162" s="19"/>
      <c r="CN162" s="19"/>
      <c r="CO162" s="19"/>
      <c r="CP162" s="19"/>
      <c r="CQ162" s="274"/>
      <c r="CR162" s="19"/>
      <c r="CS162" s="19"/>
      <c r="CT162" s="19"/>
      <c r="CU162" s="19"/>
      <c r="CV162" s="274"/>
      <c r="CW162" s="19"/>
      <c r="CX162" s="19"/>
      <c r="CY162" s="19"/>
      <c r="CZ162" s="19"/>
      <c r="DA162" s="274"/>
      <c r="DB162" s="19"/>
      <c r="DC162" s="19"/>
      <c r="DD162" s="19"/>
      <c r="DE162" s="19"/>
      <c r="DF162" s="274"/>
      <c r="DG162" s="19"/>
      <c r="DH162" s="19"/>
      <c r="DI162" s="19"/>
      <c r="DJ162" s="19"/>
      <c r="DK162" s="274"/>
      <c r="DL162" s="19"/>
      <c r="DM162" s="19"/>
      <c r="DN162" s="19"/>
      <c r="DO162" s="19"/>
      <c r="DP162" s="274"/>
      <c r="DQ162" s="19"/>
      <c r="DR162" s="19"/>
      <c r="DS162" s="19"/>
      <c r="DT162" s="19"/>
      <c r="DU162" s="274"/>
      <c r="DV162" s="19"/>
      <c r="DW162" s="19"/>
      <c r="DX162" s="19"/>
      <c r="DY162" s="19"/>
      <c r="DZ162" s="274"/>
      <c r="EA162" s="19"/>
      <c r="EB162" s="19"/>
      <c r="EC162" s="19"/>
      <c r="ED162" s="19"/>
      <c r="EE162" s="274"/>
      <c r="EF162" s="19"/>
      <c r="EG162" s="19"/>
      <c r="EH162" s="19"/>
      <c r="EI162" s="19"/>
      <c r="EJ162" s="274"/>
      <c r="EK162" s="19"/>
      <c r="EL162" s="19"/>
      <c r="EM162" s="19"/>
      <c r="EN162" s="19"/>
      <c r="EO162" s="244"/>
    </row>
    <row r="163" spans="4:148" ht="12.75" hidden="1" customHeight="1" x14ac:dyDescent="0.2">
      <c r="D163" s="244" t="s">
        <v>481</v>
      </c>
      <c r="E163" s="82"/>
      <c r="G163" s="19">
        <v>0</v>
      </c>
      <c r="H163" s="19"/>
      <c r="I163" s="19"/>
      <c r="J163" s="274"/>
      <c r="K163" s="19"/>
      <c r="L163" s="19">
        <f>SUM(L164:L165)</f>
        <v>0</v>
      </c>
      <c r="M163" s="19"/>
      <c r="N163" s="19"/>
      <c r="O163" s="274"/>
      <c r="P163" s="19"/>
      <c r="Q163" s="19">
        <f>SUM(Q164:Q165)</f>
        <v>0</v>
      </c>
      <c r="R163" s="19"/>
      <c r="S163" s="19"/>
      <c r="T163" s="274"/>
      <c r="U163" s="19"/>
      <c r="V163" s="19">
        <f>SUM(V164:V165)</f>
        <v>0</v>
      </c>
      <c r="W163" s="19"/>
      <c r="X163" s="19"/>
      <c r="Y163" s="274"/>
      <c r="Z163" s="19"/>
      <c r="AA163" s="19">
        <f>SUM(AA164:AA165)</f>
        <v>0</v>
      </c>
      <c r="AB163" s="19"/>
      <c r="AC163" s="19"/>
      <c r="AD163" s="274"/>
      <c r="AE163" s="19"/>
      <c r="AF163" s="19">
        <f>SUM(AF164:AF165)</f>
        <v>0</v>
      </c>
      <c r="AG163" s="19"/>
      <c r="AH163" s="19"/>
      <c r="AI163" s="274"/>
      <c r="AJ163" s="19"/>
      <c r="AK163" s="19">
        <f>SUM(AK164:AK165)</f>
        <v>0</v>
      </c>
      <c r="AL163" s="19"/>
      <c r="AM163" s="19"/>
      <c r="AN163" s="274"/>
      <c r="AO163" s="19"/>
      <c r="AP163" s="19">
        <f>SUM(AP164:AP165)</f>
        <v>0</v>
      </c>
      <c r="AQ163" s="19"/>
      <c r="AR163" s="19"/>
      <c r="AS163" s="274"/>
      <c r="AT163" s="19"/>
      <c r="AU163" s="19">
        <f>SUM(AU164:AU165)</f>
        <v>0</v>
      </c>
      <c r="AV163" s="19"/>
      <c r="AW163" s="19"/>
      <c r="AX163" s="274"/>
      <c r="AY163" s="19"/>
      <c r="AZ163" s="19">
        <f>SUM(AZ164:AZ165)</f>
        <v>0</v>
      </c>
      <c r="BA163" s="19"/>
      <c r="BB163" s="19"/>
      <c r="BC163" s="274"/>
      <c r="BD163" s="19"/>
      <c r="BE163" s="19">
        <f>SUM(BE164:BE165)</f>
        <v>0</v>
      </c>
      <c r="BF163" s="19"/>
      <c r="BG163" s="19"/>
      <c r="BH163" s="274"/>
      <c r="BI163" s="19"/>
      <c r="BJ163" s="19">
        <f>SUM(BJ164:BJ165)</f>
        <v>0</v>
      </c>
      <c r="BK163" s="19"/>
      <c r="BL163" s="19"/>
      <c r="BM163" s="274"/>
      <c r="BN163" s="19"/>
      <c r="BO163" s="19">
        <f>SUM(BO164:BO165)</f>
        <v>0</v>
      </c>
      <c r="BP163" s="19"/>
      <c r="BQ163" s="19"/>
      <c r="BR163" s="274"/>
      <c r="BS163" s="19"/>
      <c r="BT163" s="19">
        <f>SUM(BT164:BT165)</f>
        <v>0</v>
      </c>
      <c r="BU163" s="19"/>
      <c r="BV163" s="19"/>
      <c r="BW163" s="274"/>
      <c r="BX163" s="19"/>
      <c r="BY163" s="19">
        <f>SUM(BY164:BY165)</f>
        <v>0</v>
      </c>
      <c r="BZ163" s="19"/>
      <c r="CA163" s="19"/>
      <c r="CB163" s="274"/>
      <c r="CC163" s="19"/>
      <c r="CD163" s="19">
        <f>SUM(CD164:CD165)</f>
        <v>0</v>
      </c>
      <c r="CE163" s="19"/>
      <c r="CF163" s="19"/>
      <c r="CG163" s="274"/>
      <c r="CH163" s="19"/>
      <c r="CI163" s="19">
        <f>SUM(CI164:CI165)</f>
        <v>0</v>
      </c>
      <c r="CJ163" s="19"/>
      <c r="CK163" s="19"/>
      <c r="CL163" s="274"/>
      <c r="CM163" s="19"/>
      <c r="CN163" s="19">
        <f>SUM(CN164:CN165)</f>
        <v>0</v>
      </c>
      <c r="CO163" s="19"/>
      <c r="CP163" s="19"/>
      <c r="CQ163" s="274"/>
      <c r="CR163" s="19"/>
      <c r="CS163" s="19">
        <f>SUM(CS164:CS165)</f>
        <v>0</v>
      </c>
      <c r="CT163" s="19"/>
      <c r="CU163" s="19"/>
      <c r="CV163" s="274"/>
      <c r="CW163" s="19"/>
      <c r="CX163" s="19">
        <f>SUM(CX164:CX165)</f>
        <v>0</v>
      </c>
      <c r="CY163" s="19"/>
      <c r="CZ163" s="19"/>
      <c r="DA163" s="274"/>
      <c r="DB163" s="19"/>
      <c r="DC163" s="19">
        <f>SUM(DC164:DC165)</f>
        <v>0</v>
      </c>
      <c r="DD163" s="19"/>
      <c r="DE163" s="19"/>
      <c r="DF163" s="274"/>
      <c r="DG163" s="19"/>
      <c r="DH163" s="19">
        <f>SUM(DH164:DH165)</f>
        <v>0</v>
      </c>
      <c r="DI163" s="19"/>
      <c r="DJ163" s="19"/>
      <c r="DK163" s="274"/>
      <c r="DL163" s="19"/>
      <c r="DM163" s="19">
        <f>SUM(DM164:DM165)</f>
        <v>0</v>
      </c>
      <c r="DN163" s="19"/>
      <c r="DO163" s="19"/>
      <c r="DP163" s="274"/>
      <c r="DQ163" s="19"/>
      <c r="DR163" s="19">
        <f>SUM(DR164:DR165)</f>
        <v>0</v>
      </c>
      <c r="DS163" s="19"/>
      <c r="DT163" s="19"/>
      <c r="DU163" s="274"/>
      <c r="DV163" s="19"/>
      <c r="DW163" s="19">
        <f>SUM(DW164:DW165)</f>
        <v>0</v>
      </c>
      <c r="DX163" s="19"/>
      <c r="DY163" s="19"/>
      <c r="DZ163" s="274"/>
      <c r="EA163" s="19"/>
      <c r="EB163" s="19">
        <f>SUM(EB164:EB165)</f>
        <v>0</v>
      </c>
      <c r="EC163" s="19"/>
      <c r="ED163" s="19"/>
      <c r="EE163" s="274"/>
      <c r="EF163" s="19"/>
      <c r="EG163" s="19">
        <f>SUM(EG164:EG165)</f>
        <v>0</v>
      </c>
      <c r="EH163" s="19"/>
      <c r="EI163" s="19"/>
      <c r="EJ163" s="274"/>
      <c r="EK163" s="19"/>
      <c r="EL163" s="19">
        <f>SUM(EL164:EL165)</f>
        <v>0</v>
      </c>
      <c r="EM163" s="19"/>
      <c r="EN163" s="19"/>
      <c r="EO163" s="244"/>
    </row>
    <row r="164" spans="4:148" ht="12.75" hidden="1" customHeight="1" x14ac:dyDescent="0.2">
      <c r="D164" s="244" t="s">
        <v>466</v>
      </c>
      <c r="E164" s="82"/>
      <c r="F164" s="112"/>
      <c r="G164" s="374">
        <v>0</v>
      </c>
      <c r="H164" s="475"/>
      <c r="I164" s="19"/>
      <c r="J164" s="274"/>
      <c r="K164" s="173"/>
      <c r="L164" s="374">
        <v>0</v>
      </c>
      <c r="M164" s="475"/>
      <c r="N164" s="19"/>
      <c r="O164" s="274"/>
      <c r="P164" s="173"/>
      <c r="Q164" s="374">
        <v>0</v>
      </c>
      <c r="R164" s="475"/>
      <c r="S164" s="19"/>
      <c r="T164" s="274"/>
      <c r="U164" s="173"/>
      <c r="V164" s="374">
        <v>0</v>
      </c>
      <c r="W164" s="475"/>
      <c r="X164" s="19"/>
      <c r="Y164" s="274"/>
      <c r="Z164" s="173"/>
      <c r="AA164" s="374">
        <v>0</v>
      </c>
      <c r="AB164" s="475"/>
      <c r="AC164" s="19"/>
      <c r="AD164" s="274"/>
      <c r="AE164" s="173"/>
      <c r="AF164" s="374">
        <v>0</v>
      </c>
      <c r="AG164" s="475"/>
      <c r="AH164" s="19"/>
      <c r="AI164" s="274"/>
      <c r="AJ164" s="173"/>
      <c r="AK164" s="374">
        <v>0</v>
      </c>
      <c r="AL164" s="475"/>
      <c r="AM164" s="19"/>
      <c r="AN164" s="274"/>
      <c r="AO164" s="173"/>
      <c r="AP164" s="374">
        <v>0</v>
      </c>
      <c r="AQ164" s="475"/>
      <c r="AR164" s="19"/>
      <c r="AS164" s="274"/>
      <c r="AT164" s="173"/>
      <c r="AU164" s="374">
        <v>0</v>
      </c>
      <c r="AV164" s="475"/>
      <c r="AW164" s="19"/>
      <c r="AX164" s="274"/>
      <c r="AY164" s="173"/>
      <c r="AZ164" s="374">
        <v>0</v>
      </c>
      <c r="BA164" s="475"/>
      <c r="BB164" s="19"/>
      <c r="BC164" s="274"/>
      <c r="BD164" s="173"/>
      <c r="BE164" s="374">
        <v>0</v>
      </c>
      <c r="BF164" s="475"/>
      <c r="BG164" s="19"/>
      <c r="BH164" s="274"/>
      <c r="BI164" s="173"/>
      <c r="BJ164" s="374">
        <v>0</v>
      </c>
      <c r="BK164" s="475"/>
      <c r="BL164" s="19"/>
      <c r="BM164" s="274"/>
      <c r="BN164" s="173"/>
      <c r="BO164" s="374">
        <v>0</v>
      </c>
      <c r="BP164" s="475"/>
      <c r="BQ164" s="19"/>
      <c r="BR164" s="274"/>
      <c r="BS164" s="173"/>
      <c r="BT164" s="374">
        <f>SUM(L164:BO164)</f>
        <v>0</v>
      </c>
      <c r="BU164" s="475"/>
      <c r="BV164" s="19"/>
      <c r="BW164" s="274"/>
      <c r="BX164" s="173"/>
      <c r="BY164" s="374">
        <v>0</v>
      </c>
      <c r="BZ164" s="475"/>
      <c r="CA164" s="19"/>
      <c r="CB164" s="274"/>
      <c r="CC164" s="173"/>
      <c r="CD164" s="374">
        <v>0</v>
      </c>
      <c r="CE164" s="475"/>
      <c r="CF164" s="19"/>
      <c r="CG164" s="274"/>
      <c r="CH164" s="173"/>
      <c r="CI164" s="374">
        <v>0</v>
      </c>
      <c r="CJ164" s="475"/>
      <c r="CK164" s="19"/>
      <c r="CL164" s="274"/>
      <c r="CM164" s="173"/>
      <c r="CN164" s="374">
        <v>0</v>
      </c>
      <c r="CO164" s="475"/>
      <c r="CP164" s="19"/>
      <c r="CQ164" s="274"/>
      <c r="CR164" s="173"/>
      <c r="CS164" s="374">
        <v>0</v>
      </c>
      <c r="CT164" s="475"/>
      <c r="CU164" s="19"/>
      <c r="CV164" s="274"/>
      <c r="CW164" s="173"/>
      <c r="CX164" s="374">
        <v>0</v>
      </c>
      <c r="CY164" s="475"/>
      <c r="CZ164" s="19"/>
      <c r="DA164" s="274"/>
      <c r="DB164" s="173"/>
      <c r="DC164" s="374">
        <v>0</v>
      </c>
      <c r="DD164" s="475"/>
      <c r="DE164" s="19"/>
      <c r="DF164" s="274"/>
      <c r="DG164" s="173"/>
      <c r="DH164" s="374">
        <v>0</v>
      </c>
      <c r="DI164" s="475"/>
      <c r="DJ164" s="19"/>
      <c r="DK164" s="274"/>
      <c r="DL164" s="173"/>
      <c r="DM164" s="374">
        <v>0</v>
      </c>
      <c r="DN164" s="475"/>
      <c r="DO164" s="19"/>
      <c r="DP164" s="274"/>
      <c r="DQ164" s="173"/>
      <c r="DR164" s="374">
        <v>0</v>
      </c>
      <c r="DS164" s="475"/>
      <c r="DT164" s="19"/>
      <c r="DU164" s="274"/>
      <c r="DV164" s="173"/>
      <c r="DW164" s="374">
        <v>0</v>
      </c>
      <c r="DX164" s="475"/>
      <c r="DY164" s="19"/>
      <c r="DZ164" s="274"/>
      <c r="EA164" s="173"/>
      <c r="EB164" s="374">
        <v>0</v>
      </c>
      <c r="EC164" s="475"/>
      <c r="ED164" s="19"/>
      <c r="EE164" s="274"/>
      <c r="EF164" s="173"/>
      <c r="EG164" s="374">
        <v>0</v>
      </c>
      <c r="EH164" s="475"/>
      <c r="EI164" s="19"/>
      <c r="EJ164" s="274"/>
      <c r="EK164" s="173"/>
      <c r="EL164" s="374">
        <f>SUM(CD164:EG164)</f>
        <v>0</v>
      </c>
      <c r="EM164" s="475"/>
      <c r="EN164" s="19"/>
      <c r="EO164" s="244"/>
    </row>
    <row r="165" spans="4:148" ht="12.75" hidden="1" customHeight="1" x14ac:dyDescent="0.2">
      <c r="D165" s="244" t="s">
        <v>467</v>
      </c>
      <c r="E165" s="82"/>
      <c r="F165" s="276"/>
      <c r="G165" s="37">
        <v>0</v>
      </c>
      <c r="H165" s="36"/>
      <c r="I165" s="19"/>
      <c r="J165" s="274"/>
      <c r="K165" s="231"/>
      <c r="L165" s="37">
        <v>0</v>
      </c>
      <c r="M165" s="36"/>
      <c r="N165" s="19"/>
      <c r="O165" s="274"/>
      <c r="P165" s="231"/>
      <c r="Q165" s="37">
        <v>0</v>
      </c>
      <c r="R165" s="36"/>
      <c r="S165" s="19"/>
      <c r="T165" s="274"/>
      <c r="U165" s="231"/>
      <c r="V165" s="37">
        <v>0</v>
      </c>
      <c r="W165" s="36"/>
      <c r="X165" s="19"/>
      <c r="Y165" s="274"/>
      <c r="Z165" s="231"/>
      <c r="AA165" s="37">
        <v>0</v>
      </c>
      <c r="AB165" s="36"/>
      <c r="AC165" s="19"/>
      <c r="AD165" s="274"/>
      <c r="AE165" s="231"/>
      <c r="AF165" s="37">
        <v>0</v>
      </c>
      <c r="AG165" s="36"/>
      <c r="AH165" s="19"/>
      <c r="AI165" s="274"/>
      <c r="AJ165" s="231"/>
      <c r="AK165" s="37">
        <v>0</v>
      </c>
      <c r="AL165" s="36"/>
      <c r="AM165" s="19"/>
      <c r="AN165" s="274"/>
      <c r="AO165" s="231"/>
      <c r="AP165" s="37">
        <v>0</v>
      </c>
      <c r="AQ165" s="36"/>
      <c r="AR165" s="19"/>
      <c r="AS165" s="274"/>
      <c r="AT165" s="231"/>
      <c r="AU165" s="37">
        <v>0</v>
      </c>
      <c r="AV165" s="36"/>
      <c r="AW165" s="19"/>
      <c r="AX165" s="274"/>
      <c r="AY165" s="231"/>
      <c r="AZ165" s="37">
        <v>0</v>
      </c>
      <c r="BA165" s="36"/>
      <c r="BB165" s="19"/>
      <c r="BC165" s="274"/>
      <c r="BD165" s="231"/>
      <c r="BE165" s="37">
        <v>0</v>
      </c>
      <c r="BF165" s="36"/>
      <c r="BG165" s="19"/>
      <c r="BH165" s="274"/>
      <c r="BI165" s="231"/>
      <c r="BJ165" s="37">
        <v>0</v>
      </c>
      <c r="BK165" s="36"/>
      <c r="BL165" s="19"/>
      <c r="BM165" s="274"/>
      <c r="BN165" s="231"/>
      <c r="BO165" s="37">
        <v>0</v>
      </c>
      <c r="BP165" s="36"/>
      <c r="BQ165" s="19"/>
      <c r="BR165" s="274"/>
      <c r="BS165" s="231"/>
      <c r="BT165" s="37">
        <f>SUM(L165:BO165)</f>
        <v>0</v>
      </c>
      <c r="BU165" s="36"/>
      <c r="BV165" s="19"/>
      <c r="BW165" s="274"/>
      <c r="BX165" s="231"/>
      <c r="BY165" s="37">
        <v>0</v>
      </c>
      <c r="BZ165" s="36"/>
      <c r="CA165" s="19"/>
      <c r="CB165" s="274"/>
      <c r="CC165" s="231"/>
      <c r="CD165" s="37">
        <v>0</v>
      </c>
      <c r="CE165" s="36"/>
      <c r="CF165" s="19"/>
      <c r="CG165" s="274"/>
      <c r="CH165" s="231"/>
      <c r="CI165" s="37">
        <v>0</v>
      </c>
      <c r="CJ165" s="36"/>
      <c r="CK165" s="19"/>
      <c r="CL165" s="274"/>
      <c r="CM165" s="231"/>
      <c r="CN165" s="37">
        <v>0</v>
      </c>
      <c r="CO165" s="36"/>
      <c r="CP165" s="19"/>
      <c r="CQ165" s="274"/>
      <c r="CR165" s="231"/>
      <c r="CS165" s="37">
        <v>0</v>
      </c>
      <c r="CT165" s="36"/>
      <c r="CU165" s="19"/>
      <c r="CV165" s="274"/>
      <c r="CW165" s="231"/>
      <c r="CX165" s="37">
        <v>0</v>
      </c>
      <c r="CY165" s="36"/>
      <c r="CZ165" s="19"/>
      <c r="DA165" s="274"/>
      <c r="DB165" s="231"/>
      <c r="DC165" s="37">
        <v>0</v>
      </c>
      <c r="DD165" s="36"/>
      <c r="DE165" s="19"/>
      <c r="DF165" s="274"/>
      <c r="DG165" s="231"/>
      <c r="DH165" s="37">
        <v>0</v>
      </c>
      <c r="DI165" s="36"/>
      <c r="DJ165" s="19"/>
      <c r="DK165" s="274"/>
      <c r="DL165" s="231"/>
      <c r="DM165" s="37">
        <v>0</v>
      </c>
      <c r="DN165" s="36"/>
      <c r="DO165" s="19"/>
      <c r="DP165" s="274"/>
      <c r="DQ165" s="231"/>
      <c r="DR165" s="37">
        <v>0</v>
      </c>
      <c r="DS165" s="36"/>
      <c r="DT165" s="19"/>
      <c r="DU165" s="274"/>
      <c r="DV165" s="231"/>
      <c r="DW165" s="37">
        <v>0</v>
      </c>
      <c r="DX165" s="36"/>
      <c r="DY165" s="19"/>
      <c r="DZ165" s="274"/>
      <c r="EA165" s="231"/>
      <c r="EB165" s="37">
        <v>0</v>
      </c>
      <c r="EC165" s="36"/>
      <c r="ED165" s="19"/>
      <c r="EE165" s="274"/>
      <c r="EF165" s="231"/>
      <c r="EG165" s="37">
        <v>0</v>
      </c>
      <c r="EH165" s="36"/>
      <c r="EI165" s="19"/>
      <c r="EJ165" s="274"/>
      <c r="EK165" s="231"/>
      <c r="EL165" s="37">
        <f>SUM(CD165:EG165)</f>
        <v>0</v>
      </c>
      <c r="EM165" s="36"/>
      <c r="EN165" s="19"/>
      <c r="EO165" s="244"/>
    </row>
    <row r="166" spans="4:148" hidden="1" x14ac:dyDescent="0.2">
      <c r="D166" s="244"/>
      <c r="E166" s="82"/>
      <c r="G166" s="19"/>
      <c r="H166" s="19"/>
      <c r="I166" s="19"/>
      <c r="J166" s="274"/>
      <c r="K166" s="19"/>
      <c r="L166" s="19"/>
      <c r="M166" s="19"/>
      <c r="N166" s="19"/>
      <c r="O166" s="274"/>
      <c r="P166" s="19"/>
      <c r="Q166" s="19"/>
      <c r="R166" s="19"/>
      <c r="S166" s="19"/>
      <c r="T166" s="274"/>
      <c r="U166" s="19"/>
      <c r="V166" s="19"/>
      <c r="W166" s="19"/>
      <c r="X166" s="19"/>
      <c r="Y166" s="274"/>
      <c r="Z166" s="19"/>
      <c r="AA166" s="19"/>
      <c r="AB166" s="19"/>
      <c r="AC166" s="19"/>
      <c r="AD166" s="274"/>
      <c r="AE166" s="19"/>
      <c r="AF166" s="19"/>
      <c r="AG166" s="19"/>
      <c r="AH166" s="19"/>
      <c r="AI166" s="274"/>
      <c r="AJ166" s="19"/>
      <c r="AK166" s="19"/>
      <c r="AL166" s="19"/>
      <c r="AM166" s="19"/>
      <c r="AN166" s="274"/>
      <c r="AO166" s="19"/>
      <c r="AP166" s="19"/>
      <c r="AQ166" s="19"/>
      <c r="AR166" s="19"/>
      <c r="AS166" s="274"/>
      <c r="AT166" s="19"/>
      <c r="AU166" s="19"/>
      <c r="AV166" s="19"/>
      <c r="AW166" s="19"/>
      <c r="AX166" s="274"/>
      <c r="AY166" s="19"/>
      <c r="AZ166" s="19"/>
      <c r="BA166" s="19"/>
      <c r="BB166" s="19"/>
      <c r="BC166" s="274"/>
      <c r="BD166" s="19"/>
      <c r="BE166" s="19"/>
      <c r="BF166" s="19"/>
      <c r="BG166" s="19"/>
      <c r="BH166" s="274"/>
      <c r="BI166" s="19"/>
      <c r="BJ166" s="19"/>
      <c r="BK166" s="19"/>
      <c r="BL166" s="19"/>
      <c r="BM166" s="274"/>
      <c r="BN166" s="19"/>
      <c r="BO166" s="19"/>
      <c r="BP166" s="19"/>
      <c r="BQ166" s="19"/>
      <c r="BR166" s="274"/>
      <c r="BS166" s="19"/>
      <c r="BT166" s="19"/>
      <c r="BU166" s="19"/>
      <c r="BV166" s="19"/>
      <c r="BW166" s="274"/>
      <c r="BX166" s="19"/>
      <c r="BY166" s="19"/>
      <c r="BZ166" s="19"/>
      <c r="CA166" s="19"/>
      <c r="CB166" s="274"/>
      <c r="CC166" s="19"/>
      <c r="CD166" s="19"/>
      <c r="CE166" s="19"/>
      <c r="CF166" s="19"/>
      <c r="CG166" s="274"/>
      <c r="CH166" s="19"/>
      <c r="CI166" s="19"/>
      <c r="CJ166" s="19"/>
      <c r="CK166" s="19"/>
      <c r="CL166" s="274"/>
      <c r="CM166" s="19"/>
      <c r="CN166" s="19"/>
      <c r="CO166" s="19"/>
      <c r="CP166" s="19"/>
      <c r="CQ166" s="274"/>
      <c r="CR166" s="19"/>
      <c r="CS166" s="19"/>
      <c r="CT166" s="19"/>
      <c r="CU166" s="19"/>
      <c r="CV166" s="274"/>
      <c r="CW166" s="19"/>
      <c r="CX166" s="19"/>
      <c r="CY166" s="19"/>
      <c r="CZ166" s="19"/>
      <c r="DA166" s="274"/>
      <c r="DB166" s="19"/>
      <c r="DC166" s="19"/>
      <c r="DD166" s="19"/>
      <c r="DE166" s="19"/>
      <c r="DF166" s="274"/>
      <c r="DG166" s="19"/>
      <c r="DH166" s="19"/>
      <c r="DI166" s="19"/>
      <c r="DJ166" s="19"/>
      <c r="DK166" s="274"/>
      <c r="DL166" s="19"/>
      <c r="DM166" s="19"/>
      <c r="DN166" s="19"/>
      <c r="DO166" s="19"/>
      <c r="DP166" s="274"/>
      <c r="DQ166" s="19"/>
      <c r="DR166" s="19"/>
      <c r="DS166" s="19"/>
      <c r="DT166" s="19"/>
      <c r="DU166" s="274"/>
      <c r="DV166" s="19"/>
      <c r="DW166" s="19"/>
      <c r="DX166" s="19"/>
      <c r="DY166" s="19"/>
      <c r="DZ166" s="274"/>
      <c r="EA166" s="19"/>
      <c r="EB166" s="19"/>
      <c r="EC166" s="19"/>
      <c r="ED166" s="19"/>
      <c r="EE166" s="274"/>
      <c r="EF166" s="19"/>
      <c r="EG166" s="19"/>
      <c r="EH166" s="19"/>
      <c r="EI166" s="19"/>
      <c r="EJ166" s="274"/>
      <c r="EK166" s="19"/>
      <c r="EL166" s="19"/>
      <c r="EM166" s="19"/>
      <c r="EN166" s="19"/>
      <c r="EO166" s="244"/>
    </row>
    <row r="167" spans="4:148" s="451" customFormat="1" hidden="1" x14ac:dyDescent="0.2">
      <c r="D167" s="484" t="s">
        <v>482</v>
      </c>
      <c r="E167" s="138"/>
      <c r="G167" s="14">
        <v>0</v>
      </c>
      <c r="H167" s="14"/>
      <c r="I167" s="14"/>
      <c r="J167" s="422"/>
      <c r="K167" s="14"/>
      <c r="L167" s="14">
        <f>SUM(L168:L169)</f>
        <v>0</v>
      </c>
      <c r="M167" s="14"/>
      <c r="N167" s="14"/>
      <c r="O167" s="422"/>
      <c r="P167" s="14"/>
      <c r="Q167" s="14">
        <f>SUM(Q168:Q169)</f>
        <v>0</v>
      </c>
      <c r="R167" s="14"/>
      <c r="S167" s="14"/>
      <c r="T167" s="422"/>
      <c r="U167" s="14"/>
      <c r="V167" s="14">
        <f>SUM(V168:V169)</f>
        <v>0</v>
      </c>
      <c r="W167" s="14"/>
      <c r="X167" s="14"/>
      <c r="Y167" s="422"/>
      <c r="Z167" s="14"/>
      <c r="AA167" s="14">
        <f>SUM(AA168:AA169)</f>
        <v>0</v>
      </c>
      <c r="AB167" s="14"/>
      <c r="AC167" s="14"/>
      <c r="AD167" s="422"/>
      <c r="AE167" s="14"/>
      <c r="AF167" s="14">
        <f>SUM(AF168:AF169)</f>
        <v>0</v>
      </c>
      <c r="AG167" s="14"/>
      <c r="AH167" s="14"/>
      <c r="AI167" s="422"/>
      <c r="AJ167" s="14"/>
      <c r="AK167" s="14">
        <f>SUM(AK168:AK169)</f>
        <v>0</v>
      </c>
      <c r="AL167" s="14"/>
      <c r="AM167" s="14"/>
      <c r="AN167" s="422"/>
      <c r="AO167" s="14"/>
      <c r="AP167" s="14">
        <f>SUM(AP168:AP169)</f>
        <v>0</v>
      </c>
      <c r="AQ167" s="14"/>
      <c r="AR167" s="14"/>
      <c r="AS167" s="422"/>
      <c r="AT167" s="14"/>
      <c r="AU167" s="14">
        <f>SUM(AU168:AU169)</f>
        <v>0</v>
      </c>
      <c r="AV167" s="14"/>
      <c r="AW167" s="14"/>
      <c r="AX167" s="422"/>
      <c r="AY167" s="14"/>
      <c r="AZ167" s="14">
        <f>SUM(AZ168:AZ169)</f>
        <v>0</v>
      </c>
      <c r="BA167" s="14"/>
      <c r="BB167" s="14"/>
      <c r="BC167" s="422"/>
      <c r="BD167" s="14"/>
      <c r="BE167" s="14">
        <f>SUM(BE168:BE169)</f>
        <v>0</v>
      </c>
      <c r="BF167" s="14"/>
      <c r="BG167" s="14"/>
      <c r="BH167" s="422"/>
      <c r="BI167" s="14"/>
      <c r="BJ167" s="14">
        <f>SUM(BJ168:BJ169)</f>
        <v>0</v>
      </c>
      <c r="BK167" s="14"/>
      <c r="BL167" s="14"/>
      <c r="BM167" s="422"/>
      <c r="BN167" s="14"/>
      <c r="BO167" s="14">
        <f>SUM(BO168:BO169)</f>
        <v>0</v>
      </c>
      <c r="BP167" s="14"/>
      <c r="BQ167" s="14"/>
      <c r="BR167" s="422"/>
      <c r="BS167" s="14"/>
      <c r="BT167" s="14">
        <f>SUM(BT168:BT169)</f>
        <v>0</v>
      </c>
      <c r="BU167" s="14"/>
      <c r="BV167" s="14"/>
      <c r="BW167" s="422"/>
      <c r="BX167" s="14"/>
      <c r="BY167" s="14">
        <v>0</v>
      </c>
      <c r="BZ167" s="14"/>
      <c r="CA167" s="14"/>
      <c r="CB167" s="422"/>
      <c r="CC167" s="14"/>
      <c r="CD167" s="14">
        <f>SUM(CD168:CD169)</f>
        <v>0</v>
      </c>
      <c r="CE167" s="14"/>
      <c r="CF167" s="14"/>
      <c r="CG167" s="422"/>
      <c r="CH167" s="14"/>
      <c r="CI167" s="14">
        <f>SUM(CI168:CI169)</f>
        <v>0</v>
      </c>
      <c r="CJ167" s="14"/>
      <c r="CK167" s="14"/>
      <c r="CL167" s="422"/>
      <c r="CM167" s="14"/>
      <c r="CN167" s="14">
        <f>SUM(CN168:CN169)</f>
        <v>0</v>
      </c>
      <c r="CO167" s="14"/>
      <c r="CP167" s="14"/>
      <c r="CQ167" s="422"/>
      <c r="CR167" s="14"/>
      <c r="CS167" s="14">
        <f>SUM(CS168:CS169)</f>
        <v>0</v>
      </c>
      <c r="CT167" s="14"/>
      <c r="CU167" s="14"/>
      <c r="CV167" s="422"/>
      <c r="CW167" s="14"/>
      <c r="CX167" s="14">
        <f>SUM(CX168:CX169)</f>
        <v>0</v>
      </c>
      <c r="CY167" s="14"/>
      <c r="CZ167" s="14"/>
      <c r="DA167" s="422"/>
      <c r="DB167" s="14"/>
      <c r="DC167" s="14">
        <f>SUM(DC168:DC169)</f>
        <v>0</v>
      </c>
      <c r="DD167" s="14"/>
      <c r="DE167" s="14"/>
      <c r="DF167" s="422"/>
      <c r="DG167" s="14"/>
      <c r="DH167" s="14">
        <f>SUM(DH168:DH169)</f>
        <v>0</v>
      </c>
      <c r="DI167" s="14"/>
      <c r="DJ167" s="14"/>
      <c r="DK167" s="422"/>
      <c r="DL167" s="14"/>
      <c r="DM167" s="14">
        <f>SUM(DM168:DM169)</f>
        <v>0</v>
      </c>
      <c r="DN167" s="14"/>
      <c r="DO167" s="14"/>
      <c r="DP167" s="422"/>
      <c r="DQ167" s="14"/>
      <c r="DR167" s="14">
        <f>SUM(DR168:DR169)</f>
        <v>0</v>
      </c>
      <c r="DS167" s="14"/>
      <c r="DT167" s="14"/>
      <c r="DU167" s="422"/>
      <c r="DV167" s="14"/>
      <c r="DW167" s="14">
        <f>SUM(DW168:DW169)</f>
        <v>0</v>
      </c>
      <c r="DX167" s="14"/>
      <c r="DY167" s="14"/>
      <c r="DZ167" s="422"/>
      <c r="EA167" s="14"/>
      <c r="EB167" s="14">
        <f>SUM(EB168:EB169)</f>
        <v>0</v>
      </c>
      <c r="EC167" s="14"/>
      <c r="ED167" s="14"/>
      <c r="EE167" s="422"/>
      <c r="EF167" s="14"/>
      <c r="EG167" s="14">
        <f>SUM(EG168:EG169)</f>
        <v>0</v>
      </c>
      <c r="EH167" s="14"/>
      <c r="EI167" s="14"/>
      <c r="EJ167" s="422"/>
      <c r="EK167" s="14"/>
      <c r="EL167" s="14">
        <f>SUM(EL168:EL169)</f>
        <v>0</v>
      </c>
      <c r="EM167" s="14"/>
      <c r="EN167" s="14"/>
      <c r="EO167" s="484"/>
      <c r="EQ167" s="12"/>
      <c r="ER167" s="12"/>
    </row>
    <row r="168" spans="4:148" hidden="1" x14ac:dyDescent="0.2">
      <c r="D168" s="244" t="s">
        <v>466</v>
      </c>
      <c r="E168" s="82"/>
      <c r="F168" s="112"/>
      <c r="G168" s="374">
        <v>0</v>
      </c>
      <c r="H168" s="475"/>
      <c r="I168" s="19"/>
      <c r="J168" s="274"/>
      <c r="K168" s="173"/>
      <c r="L168" s="374">
        <f>L172+L176+L180+L184</f>
        <v>0</v>
      </c>
      <c r="M168" s="475"/>
      <c r="N168" s="19"/>
      <c r="O168" s="274"/>
      <c r="P168" s="173"/>
      <c r="Q168" s="374">
        <f>Q172+Q176+Q180+Q184</f>
        <v>0</v>
      </c>
      <c r="R168" s="475"/>
      <c r="S168" s="19"/>
      <c r="T168" s="274"/>
      <c r="U168" s="173"/>
      <c r="V168" s="374">
        <f>V172+V176+V180+V184</f>
        <v>0</v>
      </c>
      <c r="W168" s="475"/>
      <c r="X168" s="19"/>
      <c r="Y168" s="274"/>
      <c r="Z168" s="173"/>
      <c r="AA168" s="374">
        <f>AA172+AA176+AA180+AA184</f>
        <v>0</v>
      </c>
      <c r="AB168" s="475"/>
      <c r="AC168" s="19"/>
      <c r="AD168" s="274"/>
      <c r="AE168" s="173"/>
      <c r="AF168" s="374">
        <f>AF172+AF176+AF180+AF184</f>
        <v>0</v>
      </c>
      <c r="AG168" s="475"/>
      <c r="AH168" s="19"/>
      <c r="AI168" s="274"/>
      <c r="AJ168" s="173"/>
      <c r="AK168" s="374">
        <f>AK172+AK176+AK180+AK184</f>
        <v>0</v>
      </c>
      <c r="AL168" s="475"/>
      <c r="AM168" s="19"/>
      <c r="AN168" s="274"/>
      <c r="AO168" s="173"/>
      <c r="AP168" s="374">
        <f>AP172+AP176+AP180+AP184</f>
        <v>0</v>
      </c>
      <c r="AQ168" s="475"/>
      <c r="AR168" s="19"/>
      <c r="AS168" s="274"/>
      <c r="AT168" s="173"/>
      <c r="AU168" s="374">
        <f>AU172+AU176+AU180+AU184</f>
        <v>0</v>
      </c>
      <c r="AV168" s="475"/>
      <c r="AW168" s="19"/>
      <c r="AX168" s="274"/>
      <c r="AY168" s="173"/>
      <c r="AZ168" s="374">
        <f>AZ172+AZ176+AZ180+AZ184</f>
        <v>0</v>
      </c>
      <c r="BA168" s="475"/>
      <c r="BB168" s="19"/>
      <c r="BC168" s="274"/>
      <c r="BD168" s="173"/>
      <c r="BE168" s="374">
        <f>BE172+BE176+BE180+BE184</f>
        <v>0</v>
      </c>
      <c r="BF168" s="475"/>
      <c r="BG168" s="19"/>
      <c r="BH168" s="274"/>
      <c r="BI168" s="173"/>
      <c r="BJ168" s="374">
        <f>BJ172+BJ176+BJ180+BJ184</f>
        <v>0</v>
      </c>
      <c r="BK168" s="475"/>
      <c r="BL168" s="19"/>
      <c r="BM168" s="274"/>
      <c r="BN168" s="173"/>
      <c r="BO168" s="374">
        <f>BO172+BO176+BO180+BO184</f>
        <v>0</v>
      </c>
      <c r="BP168" s="475"/>
      <c r="BQ168" s="19"/>
      <c r="BR168" s="274"/>
      <c r="BS168" s="173"/>
      <c r="BT168" s="374">
        <f>BT172+BT176+BT180+BT184</f>
        <v>0</v>
      </c>
      <c r="BU168" s="475"/>
      <c r="BV168" s="19"/>
      <c r="BW168" s="274"/>
      <c r="BX168" s="173"/>
      <c r="BY168" s="374">
        <v>0</v>
      </c>
      <c r="BZ168" s="475"/>
      <c r="CA168" s="19"/>
      <c r="CB168" s="274"/>
      <c r="CC168" s="173"/>
      <c r="CD168" s="374">
        <f>CD172+CD176+CD180+CD184</f>
        <v>0</v>
      </c>
      <c r="CE168" s="475"/>
      <c r="CF168" s="19"/>
      <c r="CG168" s="274"/>
      <c r="CH168" s="173"/>
      <c r="CI168" s="374">
        <f>CI172+CI176+CI180+CI184</f>
        <v>0</v>
      </c>
      <c r="CJ168" s="475"/>
      <c r="CK168" s="19"/>
      <c r="CL168" s="274"/>
      <c r="CM168" s="173"/>
      <c r="CN168" s="374">
        <f>CN172+CN176+CN180+CN184</f>
        <v>0</v>
      </c>
      <c r="CO168" s="475"/>
      <c r="CP168" s="19"/>
      <c r="CQ168" s="274"/>
      <c r="CR168" s="173"/>
      <c r="CS168" s="374">
        <f>CS172+CS176+CS180+CS184</f>
        <v>0</v>
      </c>
      <c r="CT168" s="475"/>
      <c r="CU168" s="19"/>
      <c r="CV168" s="274"/>
      <c r="CW168" s="173"/>
      <c r="CX168" s="374">
        <f>CX172+CX176+CX180+CX184</f>
        <v>0</v>
      </c>
      <c r="CY168" s="475"/>
      <c r="CZ168" s="19"/>
      <c r="DA168" s="274"/>
      <c r="DB168" s="173"/>
      <c r="DC168" s="374">
        <f>DC172+DC176+DC180+DC184</f>
        <v>0</v>
      </c>
      <c r="DD168" s="475"/>
      <c r="DE168" s="19"/>
      <c r="DF168" s="274"/>
      <c r="DG168" s="173"/>
      <c r="DH168" s="374">
        <f>DH172+DH176+DH180+DH184</f>
        <v>0</v>
      </c>
      <c r="DI168" s="475"/>
      <c r="DJ168" s="19"/>
      <c r="DK168" s="274"/>
      <c r="DL168" s="173"/>
      <c r="DM168" s="374">
        <f>DM172+DM176+DM180+DM184</f>
        <v>0</v>
      </c>
      <c r="DN168" s="475"/>
      <c r="DO168" s="19"/>
      <c r="DP168" s="274"/>
      <c r="DQ168" s="173"/>
      <c r="DR168" s="374">
        <f>DR172+DR176+DR180+DR184</f>
        <v>0</v>
      </c>
      <c r="DS168" s="475"/>
      <c r="DT168" s="19"/>
      <c r="DU168" s="274"/>
      <c r="DV168" s="173"/>
      <c r="DW168" s="374">
        <f>DW172+DW176+DW180+DW184</f>
        <v>0</v>
      </c>
      <c r="DX168" s="475"/>
      <c r="DY168" s="19"/>
      <c r="DZ168" s="274"/>
      <c r="EA168" s="173"/>
      <c r="EB168" s="374">
        <f>EB172+EB176+EB180+EB184</f>
        <v>0</v>
      </c>
      <c r="EC168" s="475"/>
      <c r="ED168" s="19"/>
      <c r="EE168" s="274"/>
      <c r="EF168" s="173"/>
      <c r="EG168" s="374">
        <f>EG172+EG176+EG180+EG184</f>
        <v>0</v>
      </c>
      <c r="EH168" s="475"/>
      <c r="EI168" s="19"/>
      <c r="EJ168" s="274"/>
      <c r="EK168" s="173"/>
      <c r="EL168" s="374">
        <f>EL172+EL176+EL180+EL184</f>
        <v>0</v>
      </c>
      <c r="EM168" s="475"/>
      <c r="EN168" s="19"/>
      <c r="EO168" s="244"/>
    </row>
    <row r="169" spans="4:148" hidden="1" x14ac:dyDescent="0.2">
      <c r="D169" s="244" t="s">
        <v>467</v>
      </c>
      <c r="E169" s="82"/>
      <c r="F169" s="276"/>
      <c r="G169" s="37">
        <v>0</v>
      </c>
      <c r="H169" s="36"/>
      <c r="I169" s="19"/>
      <c r="J169" s="274"/>
      <c r="K169" s="231"/>
      <c r="L169" s="37">
        <f>L173+L177+L181+L185</f>
        <v>0</v>
      </c>
      <c r="M169" s="36"/>
      <c r="N169" s="19"/>
      <c r="O169" s="274"/>
      <c r="P169" s="231"/>
      <c r="Q169" s="37">
        <f>Q173+Q177+Q181+Q185</f>
        <v>0</v>
      </c>
      <c r="R169" s="36"/>
      <c r="S169" s="19"/>
      <c r="T169" s="274"/>
      <c r="U169" s="231"/>
      <c r="V169" s="37">
        <f>V173+V177+V181+V185</f>
        <v>0</v>
      </c>
      <c r="W169" s="36"/>
      <c r="X169" s="19"/>
      <c r="Y169" s="274"/>
      <c r="Z169" s="231"/>
      <c r="AA169" s="37">
        <f>AA173+AA177+AA181+AA185</f>
        <v>0</v>
      </c>
      <c r="AB169" s="36"/>
      <c r="AC169" s="19"/>
      <c r="AD169" s="274"/>
      <c r="AE169" s="231"/>
      <c r="AF169" s="37">
        <f>AF173+AF177+AF181+AF185</f>
        <v>0</v>
      </c>
      <c r="AG169" s="36"/>
      <c r="AH169" s="19"/>
      <c r="AI169" s="274"/>
      <c r="AJ169" s="231"/>
      <c r="AK169" s="37">
        <f>AK173+AK177+AK181+AK185</f>
        <v>0</v>
      </c>
      <c r="AL169" s="36"/>
      <c r="AM169" s="19"/>
      <c r="AN169" s="274"/>
      <c r="AO169" s="231"/>
      <c r="AP169" s="37">
        <f>AP173+AP177+AP181+AP185</f>
        <v>0</v>
      </c>
      <c r="AQ169" s="36"/>
      <c r="AR169" s="19"/>
      <c r="AS169" s="274"/>
      <c r="AT169" s="231"/>
      <c r="AU169" s="37">
        <f>AU173+AU177+AU181+AU185</f>
        <v>0</v>
      </c>
      <c r="AV169" s="36"/>
      <c r="AW169" s="19"/>
      <c r="AX169" s="274"/>
      <c r="AY169" s="231"/>
      <c r="AZ169" s="37">
        <f>AZ173+AZ177+AZ181+AZ185</f>
        <v>0</v>
      </c>
      <c r="BA169" s="36"/>
      <c r="BB169" s="19"/>
      <c r="BC169" s="274"/>
      <c r="BD169" s="231"/>
      <c r="BE169" s="37">
        <f>BE173+BE177+BE181+BE185</f>
        <v>0</v>
      </c>
      <c r="BF169" s="36"/>
      <c r="BG169" s="19"/>
      <c r="BH169" s="274"/>
      <c r="BI169" s="231"/>
      <c r="BJ169" s="37">
        <f>BJ173+BJ177+BJ181+BJ185</f>
        <v>0</v>
      </c>
      <c r="BK169" s="36"/>
      <c r="BL169" s="19"/>
      <c r="BM169" s="274"/>
      <c r="BN169" s="231"/>
      <c r="BO169" s="37">
        <f>BO173+BO177+BO181+BO185</f>
        <v>0</v>
      </c>
      <c r="BP169" s="36"/>
      <c r="BQ169" s="19"/>
      <c r="BR169" s="274"/>
      <c r="BS169" s="231"/>
      <c r="BT169" s="37">
        <f>BT173+BT177+BT181+BT185</f>
        <v>0</v>
      </c>
      <c r="BU169" s="36"/>
      <c r="BV169" s="19"/>
      <c r="BW169" s="274"/>
      <c r="BX169" s="231"/>
      <c r="BY169" s="37">
        <v>0</v>
      </c>
      <c r="BZ169" s="36"/>
      <c r="CA169" s="19"/>
      <c r="CB169" s="274"/>
      <c r="CC169" s="231"/>
      <c r="CD169" s="37">
        <f>CD173+CD177+CD181+CD185</f>
        <v>0</v>
      </c>
      <c r="CE169" s="36"/>
      <c r="CF169" s="19"/>
      <c r="CG169" s="274"/>
      <c r="CH169" s="231"/>
      <c r="CI169" s="37">
        <f>CI173+CI177+CI181+CI185</f>
        <v>0</v>
      </c>
      <c r="CJ169" s="36"/>
      <c r="CK169" s="19"/>
      <c r="CL169" s="274"/>
      <c r="CM169" s="231"/>
      <c r="CN169" s="37">
        <f>CN173+CN177+CN181+CN185</f>
        <v>0</v>
      </c>
      <c r="CO169" s="36"/>
      <c r="CP169" s="19"/>
      <c r="CQ169" s="274"/>
      <c r="CR169" s="231"/>
      <c r="CS169" s="37">
        <f>CS173+CS177+CS181+CS185</f>
        <v>0</v>
      </c>
      <c r="CT169" s="36"/>
      <c r="CU169" s="19"/>
      <c r="CV169" s="274"/>
      <c r="CW169" s="231"/>
      <c r="CX169" s="37">
        <f>CX173+CX177+CX181+CX185</f>
        <v>0</v>
      </c>
      <c r="CY169" s="36"/>
      <c r="CZ169" s="19"/>
      <c r="DA169" s="274"/>
      <c r="DB169" s="231"/>
      <c r="DC169" s="37">
        <f>DC173+DC177+DC181+DC185</f>
        <v>0</v>
      </c>
      <c r="DD169" s="36"/>
      <c r="DE169" s="19"/>
      <c r="DF169" s="274"/>
      <c r="DG169" s="231"/>
      <c r="DH169" s="37">
        <f>DH173+DH177+DH181+DH185</f>
        <v>0</v>
      </c>
      <c r="DI169" s="36"/>
      <c r="DJ169" s="19"/>
      <c r="DK169" s="274"/>
      <c r="DL169" s="231"/>
      <c r="DM169" s="37">
        <f>DM173+DM177+DM181+DM185</f>
        <v>0</v>
      </c>
      <c r="DN169" s="36"/>
      <c r="DO169" s="19"/>
      <c r="DP169" s="274"/>
      <c r="DQ169" s="231"/>
      <c r="DR169" s="37">
        <f>DR173+DR177+DR181+DR185</f>
        <v>0</v>
      </c>
      <c r="DS169" s="36"/>
      <c r="DT169" s="19"/>
      <c r="DU169" s="274"/>
      <c r="DV169" s="231"/>
      <c r="DW169" s="37">
        <f>DW173+DW177+DW181+DW185</f>
        <v>0</v>
      </c>
      <c r="DX169" s="36"/>
      <c r="DY169" s="19"/>
      <c r="DZ169" s="274"/>
      <c r="EA169" s="231"/>
      <c r="EB169" s="37">
        <f>EB173+EB177+EB181+EB185</f>
        <v>0</v>
      </c>
      <c r="EC169" s="36"/>
      <c r="ED169" s="19"/>
      <c r="EE169" s="274"/>
      <c r="EF169" s="231"/>
      <c r="EG169" s="37">
        <f>EG173+EG177+EG181+EG185</f>
        <v>0</v>
      </c>
      <c r="EH169" s="36"/>
      <c r="EI169" s="19"/>
      <c r="EJ169" s="274"/>
      <c r="EK169" s="231"/>
      <c r="EL169" s="37">
        <f>EL173+EL177+EL181+EL185</f>
        <v>0</v>
      </c>
      <c r="EM169" s="36"/>
      <c r="EN169" s="19"/>
      <c r="EO169" s="244"/>
    </row>
    <row r="170" spans="4:148" hidden="1" x14ac:dyDescent="0.2">
      <c r="D170" s="244"/>
      <c r="E170" s="82"/>
      <c r="G170" s="19"/>
      <c r="H170" s="19"/>
      <c r="I170" s="19"/>
      <c r="J170" s="274"/>
      <c r="K170" s="19"/>
      <c r="L170" s="19"/>
      <c r="M170" s="19"/>
      <c r="N170" s="19"/>
      <c r="O170" s="274"/>
      <c r="P170" s="19"/>
      <c r="Q170" s="19"/>
      <c r="R170" s="19"/>
      <c r="S170" s="19"/>
      <c r="T170" s="274"/>
      <c r="U170" s="19"/>
      <c r="V170" s="19"/>
      <c r="W170" s="19"/>
      <c r="X170" s="19"/>
      <c r="Y170" s="274"/>
      <c r="Z170" s="19"/>
      <c r="AA170" s="19"/>
      <c r="AB170" s="19"/>
      <c r="AC170" s="19"/>
      <c r="AD170" s="274"/>
      <c r="AE170" s="19"/>
      <c r="AF170" s="19"/>
      <c r="AG170" s="19"/>
      <c r="AH170" s="19"/>
      <c r="AI170" s="274"/>
      <c r="AJ170" s="19"/>
      <c r="AK170" s="19"/>
      <c r="AL170" s="19"/>
      <c r="AM170" s="19"/>
      <c r="AN170" s="274"/>
      <c r="AO170" s="19"/>
      <c r="AP170" s="19"/>
      <c r="AQ170" s="19"/>
      <c r="AR170" s="19"/>
      <c r="AS170" s="274"/>
      <c r="AT170" s="19"/>
      <c r="AU170" s="19"/>
      <c r="AV170" s="19"/>
      <c r="AW170" s="19"/>
      <c r="AX170" s="274"/>
      <c r="AY170" s="19"/>
      <c r="AZ170" s="19"/>
      <c r="BA170" s="19"/>
      <c r="BB170" s="19"/>
      <c r="BC170" s="274"/>
      <c r="BD170" s="19"/>
      <c r="BE170" s="19"/>
      <c r="BF170" s="19"/>
      <c r="BG170" s="19"/>
      <c r="BH170" s="274"/>
      <c r="BI170" s="19"/>
      <c r="BJ170" s="19"/>
      <c r="BK170" s="19"/>
      <c r="BL170" s="19"/>
      <c r="BM170" s="274"/>
      <c r="BN170" s="19"/>
      <c r="BO170" s="19"/>
      <c r="BP170" s="19"/>
      <c r="BQ170" s="19"/>
      <c r="BR170" s="274"/>
      <c r="BS170" s="19"/>
      <c r="BT170" s="19"/>
      <c r="BU170" s="19"/>
      <c r="BV170" s="19"/>
      <c r="BW170" s="274"/>
      <c r="BX170" s="19"/>
      <c r="BY170" s="19"/>
      <c r="BZ170" s="19"/>
      <c r="CA170" s="19"/>
      <c r="CB170" s="274"/>
      <c r="CC170" s="19"/>
      <c r="CD170" s="19"/>
      <c r="CE170" s="19"/>
      <c r="CF170" s="19"/>
      <c r="CG170" s="274"/>
      <c r="CH170" s="19"/>
      <c r="CI170" s="19"/>
      <c r="CJ170" s="19"/>
      <c r="CK170" s="19"/>
      <c r="CL170" s="274"/>
      <c r="CM170" s="19"/>
      <c r="CN170" s="19"/>
      <c r="CO170" s="19"/>
      <c r="CP170" s="19"/>
      <c r="CQ170" s="274"/>
      <c r="CR170" s="19"/>
      <c r="CS170" s="19"/>
      <c r="CT170" s="19"/>
      <c r="CU170" s="19"/>
      <c r="CV170" s="274"/>
      <c r="CW170" s="19"/>
      <c r="CX170" s="19"/>
      <c r="CY170" s="19"/>
      <c r="CZ170" s="19"/>
      <c r="DA170" s="274"/>
      <c r="DB170" s="19"/>
      <c r="DC170" s="19"/>
      <c r="DD170" s="19"/>
      <c r="DE170" s="19"/>
      <c r="DF170" s="274"/>
      <c r="DG170" s="19"/>
      <c r="DH170" s="19"/>
      <c r="DI170" s="19"/>
      <c r="DJ170" s="19"/>
      <c r="DK170" s="274"/>
      <c r="DL170" s="19"/>
      <c r="DM170" s="19"/>
      <c r="DN170" s="19"/>
      <c r="DO170" s="19"/>
      <c r="DP170" s="274"/>
      <c r="DQ170" s="19"/>
      <c r="DR170" s="19"/>
      <c r="DS170" s="19"/>
      <c r="DT170" s="19"/>
      <c r="DU170" s="274"/>
      <c r="DV170" s="19"/>
      <c r="DW170" s="19"/>
      <c r="DX170" s="19"/>
      <c r="DY170" s="19"/>
      <c r="DZ170" s="274"/>
      <c r="EA170" s="19"/>
      <c r="EB170" s="19"/>
      <c r="EC170" s="19"/>
      <c r="ED170" s="19"/>
      <c r="EE170" s="274"/>
      <c r="EF170" s="19"/>
      <c r="EG170" s="19"/>
      <c r="EH170" s="19"/>
      <c r="EI170" s="19"/>
      <c r="EJ170" s="274"/>
      <c r="EK170" s="19"/>
      <c r="EL170" s="19"/>
      <c r="EM170" s="19"/>
      <c r="EN170" s="19"/>
      <c r="EO170" s="244"/>
    </row>
    <row r="171" spans="4:148" hidden="1" x14ac:dyDescent="0.2">
      <c r="D171" s="244" t="s">
        <v>483</v>
      </c>
      <c r="E171" s="82"/>
      <c r="G171" s="19">
        <v>0</v>
      </c>
      <c r="H171" s="19"/>
      <c r="I171" s="19"/>
      <c r="J171" s="274"/>
      <c r="K171" s="19"/>
      <c r="L171" s="19">
        <f>SUM(L172:L173)</f>
        <v>0</v>
      </c>
      <c r="M171" s="19"/>
      <c r="N171" s="19"/>
      <c r="O171" s="274"/>
      <c r="P171" s="19"/>
      <c r="Q171" s="19">
        <f>SUM(Q172:Q173)</f>
        <v>0</v>
      </c>
      <c r="R171" s="19"/>
      <c r="S171" s="19"/>
      <c r="T171" s="274"/>
      <c r="U171" s="19"/>
      <c r="V171" s="19">
        <f>SUM(V172:V173)</f>
        <v>0</v>
      </c>
      <c r="W171" s="19"/>
      <c r="X171" s="19"/>
      <c r="Y171" s="274"/>
      <c r="Z171" s="19"/>
      <c r="AA171" s="19">
        <f>SUM(AA172:AA173)</f>
        <v>0</v>
      </c>
      <c r="AB171" s="19"/>
      <c r="AC171" s="19"/>
      <c r="AD171" s="274"/>
      <c r="AE171" s="19"/>
      <c r="AF171" s="19">
        <f>SUM(AF172:AF173)</f>
        <v>0</v>
      </c>
      <c r="AG171" s="19"/>
      <c r="AH171" s="19"/>
      <c r="AI171" s="274"/>
      <c r="AJ171" s="19"/>
      <c r="AK171" s="19">
        <f>SUM(AK172:AK173)</f>
        <v>0</v>
      </c>
      <c r="AL171" s="19"/>
      <c r="AM171" s="19"/>
      <c r="AN171" s="274"/>
      <c r="AO171" s="19"/>
      <c r="AP171" s="19">
        <f>SUM(AP172:AP173)</f>
        <v>0</v>
      </c>
      <c r="AQ171" s="19"/>
      <c r="AR171" s="19"/>
      <c r="AS171" s="274"/>
      <c r="AT171" s="19"/>
      <c r="AU171" s="19">
        <f>SUM(AU172:AU173)</f>
        <v>0</v>
      </c>
      <c r="AV171" s="19"/>
      <c r="AW171" s="19"/>
      <c r="AX171" s="274"/>
      <c r="AY171" s="19"/>
      <c r="AZ171" s="19">
        <f>SUM(AZ172:AZ173)</f>
        <v>0</v>
      </c>
      <c r="BA171" s="19"/>
      <c r="BB171" s="19"/>
      <c r="BC171" s="274"/>
      <c r="BD171" s="19"/>
      <c r="BE171" s="19">
        <f>SUM(BE172:BE173)</f>
        <v>0</v>
      </c>
      <c r="BF171" s="19"/>
      <c r="BG171" s="19"/>
      <c r="BH171" s="274"/>
      <c r="BI171" s="19"/>
      <c r="BJ171" s="19">
        <f>SUM(BJ172:BJ173)</f>
        <v>0</v>
      </c>
      <c r="BK171" s="19"/>
      <c r="BL171" s="19"/>
      <c r="BM171" s="274"/>
      <c r="BN171" s="19"/>
      <c r="BO171" s="19">
        <f>SUM(BO172:BO173)</f>
        <v>0</v>
      </c>
      <c r="BP171" s="19"/>
      <c r="BQ171" s="19"/>
      <c r="BR171" s="274"/>
      <c r="BS171" s="19"/>
      <c r="BT171" s="19">
        <f>SUM(BT172:BT173)</f>
        <v>0</v>
      </c>
      <c r="BU171" s="19"/>
      <c r="BV171" s="19"/>
      <c r="BW171" s="274"/>
      <c r="BX171" s="19"/>
      <c r="BY171" s="19">
        <v>0</v>
      </c>
      <c r="BZ171" s="19"/>
      <c r="CA171" s="19"/>
      <c r="CB171" s="274"/>
      <c r="CC171" s="19"/>
      <c r="CD171" s="19">
        <f>SUM(CD172:CD173)</f>
        <v>0</v>
      </c>
      <c r="CE171" s="19"/>
      <c r="CF171" s="19"/>
      <c r="CG171" s="274"/>
      <c r="CH171" s="19"/>
      <c r="CI171" s="19">
        <f>SUM(CI172:CI173)</f>
        <v>0</v>
      </c>
      <c r="CJ171" s="19"/>
      <c r="CK171" s="19"/>
      <c r="CL171" s="274"/>
      <c r="CM171" s="19"/>
      <c r="CN171" s="19">
        <f>SUM(CN172:CN173)</f>
        <v>0</v>
      </c>
      <c r="CO171" s="19"/>
      <c r="CP171" s="19"/>
      <c r="CQ171" s="274"/>
      <c r="CR171" s="19"/>
      <c r="CS171" s="19">
        <f>SUM(CS172:CS173)</f>
        <v>0</v>
      </c>
      <c r="CT171" s="19"/>
      <c r="CU171" s="19"/>
      <c r="CV171" s="274"/>
      <c r="CW171" s="19"/>
      <c r="CX171" s="19">
        <f>SUM(CX172:CX173)</f>
        <v>0</v>
      </c>
      <c r="CY171" s="19"/>
      <c r="CZ171" s="19"/>
      <c r="DA171" s="274"/>
      <c r="DB171" s="19"/>
      <c r="DC171" s="19">
        <f>SUM(DC172:DC173)</f>
        <v>0</v>
      </c>
      <c r="DD171" s="19"/>
      <c r="DE171" s="19"/>
      <c r="DF171" s="274"/>
      <c r="DG171" s="19"/>
      <c r="DH171" s="19">
        <f>SUM(DH172:DH173)</f>
        <v>0</v>
      </c>
      <c r="DI171" s="19"/>
      <c r="DJ171" s="19"/>
      <c r="DK171" s="274"/>
      <c r="DL171" s="19"/>
      <c r="DM171" s="19">
        <f>SUM(DM172:DM173)</f>
        <v>0</v>
      </c>
      <c r="DN171" s="19"/>
      <c r="DO171" s="19"/>
      <c r="DP171" s="274"/>
      <c r="DQ171" s="19"/>
      <c r="DR171" s="19">
        <f>SUM(DR172:DR173)</f>
        <v>0</v>
      </c>
      <c r="DS171" s="19"/>
      <c r="DT171" s="19"/>
      <c r="DU171" s="274"/>
      <c r="DV171" s="19"/>
      <c r="DW171" s="19">
        <f>SUM(DW172:DW173)</f>
        <v>0</v>
      </c>
      <c r="DX171" s="19"/>
      <c r="DY171" s="19"/>
      <c r="DZ171" s="274"/>
      <c r="EA171" s="19"/>
      <c r="EB171" s="19">
        <f>SUM(EB172:EB173)</f>
        <v>0</v>
      </c>
      <c r="EC171" s="19"/>
      <c r="ED171" s="19"/>
      <c r="EE171" s="274"/>
      <c r="EF171" s="19"/>
      <c r="EG171" s="19">
        <f>SUM(EG172:EG173)</f>
        <v>0</v>
      </c>
      <c r="EH171" s="19"/>
      <c r="EI171" s="19"/>
      <c r="EJ171" s="274"/>
      <c r="EK171" s="19"/>
      <c r="EL171" s="19">
        <f>SUM(EL172:EL173)</f>
        <v>0</v>
      </c>
      <c r="EM171" s="19"/>
      <c r="EN171" s="19"/>
      <c r="EO171" s="244"/>
    </row>
    <row r="172" spans="4:148" hidden="1" x14ac:dyDescent="0.2">
      <c r="D172" s="244" t="s">
        <v>466</v>
      </c>
      <c r="E172" s="82"/>
      <c r="F172" s="112"/>
      <c r="G172" s="374">
        <v>0</v>
      </c>
      <c r="H172" s="475"/>
      <c r="I172" s="19"/>
      <c r="J172" s="274"/>
      <c r="K172" s="173"/>
      <c r="L172" s="374">
        <v>0</v>
      </c>
      <c r="M172" s="475"/>
      <c r="N172" s="19"/>
      <c r="O172" s="274"/>
      <c r="P172" s="173"/>
      <c r="Q172" s="374">
        <v>0</v>
      </c>
      <c r="R172" s="475"/>
      <c r="S172" s="19"/>
      <c r="T172" s="274"/>
      <c r="U172" s="173"/>
      <c r="V172" s="374">
        <v>0</v>
      </c>
      <c r="W172" s="475"/>
      <c r="X172" s="19"/>
      <c r="Y172" s="274"/>
      <c r="Z172" s="173"/>
      <c r="AA172" s="374">
        <v>0</v>
      </c>
      <c r="AB172" s="475"/>
      <c r="AC172" s="19"/>
      <c r="AD172" s="274"/>
      <c r="AE172" s="173"/>
      <c r="AF172" s="374">
        <v>0</v>
      </c>
      <c r="AG172" s="475"/>
      <c r="AH172" s="19"/>
      <c r="AI172" s="274"/>
      <c r="AJ172" s="173"/>
      <c r="AK172" s="374">
        <v>0</v>
      </c>
      <c r="AL172" s="475"/>
      <c r="AM172" s="19"/>
      <c r="AN172" s="274"/>
      <c r="AO172" s="173"/>
      <c r="AP172" s="374">
        <v>0</v>
      </c>
      <c r="AQ172" s="475"/>
      <c r="AR172" s="19"/>
      <c r="AS172" s="274"/>
      <c r="AT172" s="173"/>
      <c r="AU172" s="374">
        <v>0</v>
      </c>
      <c r="AV172" s="475"/>
      <c r="AW172" s="19"/>
      <c r="AX172" s="274"/>
      <c r="AY172" s="173"/>
      <c r="AZ172" s="374">
        <v>0</v>
      </c>
      <c r="BA172" s="475"/>
      <c r="BB172" s="19"/>
      <c r="BC172" s="274"/>
      <c r="BD172" s="173"/>
      <c r="BE172" s="374">
        <v>0</v>
      </c>
      <c r="BF172" s="475"/>
      <c r="BG172" s="19"/>
      <c r="BH172" s="274"/>
      <c r="BI172" s="173"/>
      <c r="BJ172" s="374">
        <v>0</v>
      </c>
      <c r="BK172" s="475"/>
      <c r="BL172" s="19"/>
      <c r="BM172" s="274"/>
      <c r="BN172" s="173"/>
      <c r="BO172" s="374">
        <v>0</v>
      </c>
      <c r="BP172" s="475"/>
      <c r="BQ172" s="19"/>
      <c r="BR172" s="274"/>
      <c r="BS172" s="173"/>
      <c r="BT172" s="374">
        <f>SUM(L172:BO172)</f>
        <v>0</v>
      </c>
      <c r="BU172" s="475"/>
      <c r="BV172" s="19"/>
      <c r="BW172" s="274"/>
      <c r="BX172" s="173"/>
      <c r="BY172" s="374">
        <v>0</v>
      </c>
      <c r="BZ172" s="475"/>
      <c r="CA172" s="19"/>
      <c r="CB172" s="274"/>
      <c r="CC172" s="173"/>
      <c r="CD172" s="374">
        <v>0</v>
      </c>
      <c r="CE172" s="475"/>
      <c r="CF172" s="19"/>
      <c r="CG172" s="274"/>
      <c r="CH172" s="173"/>
      <c r="CI172" s="374">
        <v>0</v>
      </c>
      <c r="CJ172" s="475"/>
      <c r="CK172" s="19"/>
      <c r="CL172" s="274"/>
      <c r="CM172" s="173"/>
      <c r="CN172" s="374">
        <v>0</v>
      </c>
      <c r="CO172" s="475"/>
      <c r="CP172" s="19"/>
      <c r="CQ172" s="274"/>
      <c r="CR172" s="173"/>
      <c r="CS172" s="374">
        <v>0</v>
      </c>
      <c r="CT172" s="475"/>
      <c r="CU172" s="19"/>
      <c r="CV172" s="274"/>
      <c r="CW172" s="173"/>
      <c r="CX172" s="374">
        <v>0</v>
      </c>
      <c r="CY172" s="475"/>
      <c r="CZ172" s="19"/>
      <c r="DA172" s="274"/>
      <c r="DB172" s="173"/>
      <c r="DC172" s="374">
        <v>0</v>
      </c>
      <c r="DD172" s="475"/>
      <c r="DE172" s="19"/>
      <c r="DF172" s="274"/>
      <c r="DG172" s="173"/>
      <c r="DH172" s="374">
        <v>0</v>
      </c>
      <c r="DI172" s="475"/>
      <c r="DJ172" s="19"/>
      <c r="DK172" s="274"/>
      <c r="DL172" s="173"/>
      <c r="DM172" s="374">
        <v>0</v>
      </c>
      <c r="DN172" s="475"/>
      <c r="DO172" s="19"/>
      <c r="DP172" s="274"/>
      <c r="DQ172" s="173"/>
      <c r="DR172" s="374">
        <v>0</v>
      </c>
      <c r="DS172" s="475"/>
      <c r="DT172" s="19"/>
      <c r="DU172" s="274"/>
      <c r="DV172" s="173"/>
      <c r="DW172" s="374">
        <v>0</v>
      </c>
      <c r="DX172" s="475"/>
      <c r="DY172" s="19"/>
      <c r="DZ172" s="274"/>
      <c r="EA172" s="173"/>
      <c r="EB172" s="374">
        <v>0</v>
      </c>
      <c r="EC172" s="475"/>
      <c r="ED172" s="19"/>
      <c r="EE172" s="274"/>
      <c r="EF172" s="173"/>
      <c r="EG172" s="374">
        <v>0</v>
      </c>
      <c r="EH172" s="475"/>
      <c r="EI172" s="19"/>
      <c r="EJ172" s="274"/>
      <c r="EK172" s="173"/>
      <c r="EL172" s="374">
        <f>SUM(CD172:EG172)</f>
        <v>0</v>
      </c>
      <c r="EM172" s="475"/>
      <c r="EN172" s="19"/>
      <c r="EO172" s="244"/>
    </row>
    <row r="173" spans="4:148" hidden="1" x14ac:dyDescent="0.2">
      <c r="D173" s="244" t="s">
        <v>467</v>
      </c>
      <c r="E173" s="82"/>
      <c r="F173" s="276"/>
      <c r="G173" s="37">
        <v>0</v>
      </c>
      <c r="H173" s="36"/>
      <c r="I173" s="19"/>
      <c r="J173" s="274"/>
      <c r="K173" s="231"/>
      <c r="L173" s="37">
        <v>0</v>
      </c>
      <c r="M173" s="36"/>
      <c r="N173" s="19"/>
      <c r="O173" s="274"/>
      <c r="P173" s="231"/>
      <c r="Q173" s="37">
        <v>0</v>
      </c>
      <c r="R173" s="36"/>
      <c r="S173" s="19"/>
      <c r="T173" s="274"/>
      <c r="U173" s="231"/>
      <c r="V173" s="37">
        <v>0</v>
      </c>
      <c r="W173" s="36"/>
      <c r="X173" s="19"/>
      <c r="Y173" s="274"/>
      <c r="Z173" s="231"/>
      <c r="AA173" s="37">
        <v>0</v>
      </c>
      <c r="AB173" s="36"/>
      <c r="AC173" s="19"/>
      <c r="AD173" s="274"/>
      <c r="AE173" s="231"/>
      <c r="AF173" s="37">
        <v>0</v>
      </c>
      <c r="AG173" s="36"/>
      <c r="AH173" s="19"/>
      <c r="AI173" s="274"/>
      <c r="AJ173" s="231"/>
      <c r="AK173" s="37">
        <v>0</v>
      </c>
      <c r="AL173" s="36"/>
      <c r="AM173" s="19"/>
      <c r="AN173" s="274"/>
      <c r="AO173" s="231"/>
      <c r="AP173" s="37">
        <v>0</v>
      </c>
      <c r="AQ173" s="36"/>
      <c r="AR173" s="19"/>
      <c r="AS173" s="274"/>
      <c r="AT173" s="231"/>
      <c r="AU173" s="37">
        <v>0</v>
      </c>
      <c r="AV173" s="36"/>
      <c r="AW173" s="19"/>
      <c r="AX173" s="274"/>
      <c r="AY173" s="231"/>
      <c r="AZ173" s="37">
        <v>0</v>
      </c>
      <c r="BA173" s="36"/>
      <c r="BB173" s="19"/>
      <c r="BC173" s="274"/>
      <c r="BD173" s="231"/>
      <c r="BE173" s="37">
        <v>0</v>
      </c>
      <c r="BF173" s="36"/>
      <c r="BG173" s="19"/>
      <c r="BH173" s="274"/>
      <c r="BI173" s="231"/>
      <c r="BJ173" s="37">
        <v>0</v>
      </c>
      <c r="BK173" s="36"/>
      <c r="BL173" s="19"/>
      <c r="BM173" s="274"/>
      <c r="BN173" s="231"/>
      <c r="BO173" s="37">
        <v>0</v>
      </c>
      <c r="BP173" s="36"/>
      <c r="BQ173" s="19"/>
      <c r="BR173" s="274"/>
      <c r="BS173" s="231"/>
      <c r="BT173" s="37">
        <f>SUM(L173:BO173)</f>
        <v>0</v>
      </c>
      <c r="BU173" s="36"/>
      <c r="BV173" s="19"/>
      <c r="BW173" s="274"/>
      <c r="BX173" s="231"/>
      <c r="BY173" s="37">
        <v>0</v>
      </c>
      <c r="BZ173" s="36"/>
      <c r="CA173" s="19"/>
      <c r="CB173" s="274"/>
      <c r="CC173" s="231"/>
      <c r="CD173" s="37">
        <v>0</v>
      </c>
      <c r="CE173" s="36"/>
      <c r="CF173" s="19"/>
      <c r="CG173" s="274"/>
      <c r="CH173" s="231"/>
      <c r="CI173" s="37">
        <v>0</v>
      </c>
      <c r="CJ173" s="36"/>
      <c r="CK173" s="19"/>
      <c r="CL173" s="274"/>
      <c r="CM173" s="231"/>
      <c r="CN173" s="37">
        <v>0</v>
      </c>
      <c r="CO173" s="36"/>
      <c r="CP173" s="19"/>
      <c r="CQ173" s="274"/>
      <c r="CR173" s="231"/>
      <c r="CS173" s="37">
        <v>0</v>
      </c>
      <c r="CT173" s="36"/>
      <c r="CU173" s="19"/>
      <c r="CV173" s="274"/>
      <c r="CW173" s="231"/>
      <c r="CX173" s="37">
        <v>0</v>
      </c>
      <c r="CY173" s="36"/>
      <c r="CZ173" s="19"/>
      <c r="DA173" s="274"/>
      <c r="DB173" s="231"/>
      <c r="DC173" s="37">
        <v>0</v>
      </c>
      <c r="DD173" s="36"/>
      <c r="DE173" s="19"/>
      <c r="DF173" s="274"/>
      <c r="DG173" s="231"/>
      <c r="DH173" s="37">
        <v>0</v>
      </c>
      <c r="DI173" s="36"/>
      <c r="DJ173" s="19"/>
      <c r="DK173" s="274"/>
      <c r="DL173" s="231"/>
      <c r="DM173" s="37">
        <v>0</v>
      </c>
      <c r="DN173" s="36"/>
      <c r="DO173" s="19"/>
      <c r="DP173" s="274"/>
      <c r="DQ173" s="231"/>
      <c r="DR173" s="37">
        <v>0</v>
      </c>
      <c r="DS173" s="36"/>
      <c r="DT173" s="19"/>
      <c r="DU173" s="274"/>
      <c r="DV173" s="231"/>
      <c r="DW173" s="37">
        <v>0</v>
      </c>
      <c r="DX173" s="36"/>
      <c r="DY173" s="19"/>
      <c r="DZ173" s="274"/>
      <c r="EA173" s="231"/>
      <c r="EB173" s="37">
        <v>0</v>
      </c>
      <c r="EC173" s="36"/>
      <c r="ED173" s="19"/>
      <c r="EE173" s="274"/>
      <c r="EF173" s="231"/>
      <c r="EG173" s="37">
        <v>0</v>
      </c>
      <c r="EH173" s="36"/>
      <c r="EI173" s="19"/>
      <c r="EJ173" s="274"/>
      <c r="EK173" s="231"/>
      <c r="EL173" s="37">
        <f>SUM(CD173:EG173)</f>
        <v>0</v>
      </c>
      <c r="EM173" s="36"/>
      <c r="EN173" s="19"/>
      <c r="EO173" s="244"/>
    </row>
    <row r="174" spans="4:148" hidden="1" x14ac:dyDescent="0.2">
      <c r="D174" s="244"/>
      <c r="E174" s="82"/>
      <c r="G174" s="19"/>
      <c r="H174" s="19"/>
      <c r="I174" s="19"/>
      <c r="J174" s="274"/>
      <c r="K174" s="19"/>
      <c r="L174" s="19"/>
      <c r="M174" s="19"/>
      <c r="N174" s="19"/>
      <c r="O174" s="274"/>
      <c r="P174" s="19"/>
      <c r="Q174" s="19"/>
      <c r="R174" s="19"/>
      <c r="S174" s="19"/>
      <c r="T174" s="274"/>
      <c r="U174" s="19"/>
      <c r="V174" s="19"/>
      <c r="W174" s="19"/>
      <c r="X174" s="19"/>
      <c r="Y174" s="274"/>
      <c r="Z174" s="19"/>
      <c r="AA174" s="19"/>
      <c r="AB174" s="19"/>
      <c r="AC174" s="19"/>
      <c r="AD174" s="274"/>
      <c r="AE174" s="19"/>
      <c r="AF174" s="19"/>
      <c r="AG174" s="19"/>
      <c r="AH174" s="19"/>
      <c r="AI174" s="274"/>
      <c r="AJ174" s="19"/>
      <c r="AK174" s="19"/>
      <c r="AL174" s="19"/>
      <c r="AM174" s="19"/>
      <c r="AN174" s="274"/>
      <c r="AO174" s="19"/>
      <c r="AP174" s="19"/>
      <c r="AQ174" s="19"/>
      <c r="AR174" s="19"/>
      <c r="AS174" s="274"/>
      <c r="AT174" s="19"/>
      <c r="AU174" s="19"/>
      <c r="AV174" s="19"/>
      <c r="AW174" s="19"/>
      <c r="AX174" s="274"/>
      <c r="AY174" s="19"/>
      <c r="AZ174" s="19"/>
      <c r="BA174" s="19"/>
      <c r="BB174" s="19"/>
      <c r="BC174" s="274"/>
      <c r="BD174" s="19"/>
      <c r="BE174" s="19"/>
      <c r="BF174" s="19"/>
      <c r="BG174" s="19"/>
      <c r="BH174" s="274"/>
      <c r="BI174" s="19"/>
      <c r="BJ174" s="19"/>
      <c r="BK174" s="19"/>
      <c r="BL174" s="19"/>
      <c r="BM174" s="274"/>
      <c r="BN174" s="19"/>
      <c r="BO174" s="19"/>
      <c r="BP174" s="19"/>
      <c r="BQ174" s="19"/>
      <c r="BR174" s="274"/>
      <c r="BS174" s="19"/>
      <c r="BT174" s="19"/>
      <c r="BU174" s="19"/>
      <c r="BV174" s="19"/>
      <c r="BW174" s="274"/>
      <c r="BX174" s="19"/>
      <c r="BY174" s="19"/>
      <c r="BZ174" s="19"/>
      <c r="CA174" s="19"/>
      <c r="CB174" s="274"/>
      <c r="CC174" s="19"/>
      <c r="CD174" s="19"/>
      <c r="CE174" s="19"/>
      <c r="CF174" s="19"/>
      <c r="CG174" s="274"/>
      <c r="CH174" s="19"/>
      <c r="CI174" s="19"/>
      <c r="CJ174" s="19"/>
      <c r="CK174" s="19"/>
      <c r="CL174" s="274"/>
      <c r="CM174" s="19"/>
      <c r="CN174" s="19"/>
      <c r="CO174" s="19"/>
      <c r="CP174" s="19"/>
      <c r="CQ174" s="274"/>
      <c r="CR174" s="19"/>
      <c r="CS174" s="19"/>
      <c r="CT174" s="19"/>
      <c r="CU174" s="19"/>
      <c r="CV174" s="274"/>
      <c r="CW174" s="19"/>
      <c r="CX174" s="19"/>
      <c r="CY174" s="19"/>
      <c r="CZ174" s="19"/>
      <c r="DA174" s="274"/>
      <c r="DB174" s="19"/>
      <c r="DC174" s="19"/>
      <c r="DD174" s="19"/>
      <c r="DE174" s="19"/>
      <c r="DF174" s="274"/>
      <c r="DG174" s="19"/>
      <c r="DH174" s="19"/>
      <c r="DI174" s="19"/>
      <c r="DJ174" s="19"/>
      <c r="DK174" s="274"/>
      <c r="DL174" s="19"/>
      <c r="DM174" s="19"/>
      <c r="DN174" s="19"/>
      <c r="DO174" s="19"/>
      <c r="DP174" s="274"/>
      <c r="DQ174" s="19"/>
      <c r="DR174" s="19"/>
      <c r="DS174" s="19"/>
      <c r="DT174" s="19"/>
      <c r="DU174" s="274"/>
      <c r="DV174" s="19"/>
      <c r="DW174" s="19"/>
      <c r="DX174" s="19"/>
      <c r="DY174" s="19"/>
      <c r="DZ174" s="274"/>
      <c r="EA174" s="19"/>
      <c r="EB174" s="19"/>
      <c r="EC174" s="19"/>
      <c r="ED174" s="19"/>
      <c r="EE174" s="274"/>
      <c r="EF174" s="19"/>
      <c r="EG174" s="19"/>
      <c r="EH174" s="19"/>
      <c r="EI174" s="19"/>
      <c r="EJ174" s="274"/>
      <c r="EK174" s="19"/>
      <c r="EL174" s="19"/>
      <c r="EM174" s="19"/>
      <c r="EN174" s="19"/>
      <c r="EO174" s="244"/>
    </row>
    <row r="175" spans="4:148" hidden="1" x14ac:dyDescent="0.2">
      <c r="D175" s="244" t="s">
        <v>484</v>
      </c>
      <c r="E175" s="82"/>
      <c r="G175" s="19">
        <f>SUM(G176:G177)</f>
        <v>0</v>
      </c>
      <c r="H175" s="19"/>
      <c r="I175" s="19"/>
      <c r="J175" s="274"/>
      <c r="K175" s="19"/>
      <c r="L175" s="19">
        <f>SUM(L176:L177)</f>
        <v>0</v>
      </c>
      <c r="M175" s="19"/>
      <c r="N175" s="19"/>
      <c r="O175" s="274"/>
      <c r="P175" s="19"/>
      <c r="Q175" s="19">
        <f>SUM(Q176:Q177)</f>
        <v>0</v>
      </c>
      <c r="R175" s="19"/>
      <c r="S175" s="19"/>
      <c r="T175" s="274"/>
      <c r="U175" s="19"/>
      <c r="V175" s="19">
        <f>SUM(V176:V177)</f>
        <v>0</v>
      </c>
      <c r="W175" s="19"/>
      <c r="X175" s="19"/>
      <c r="Y175" s="274"/>
      <c r="Z175" s="19"/>
      <c r="AA175" s="19">
        <f>SUM(AA176:AA177)</f>
        <v>0</v>
      </c>
      <c r="AB175" s="19"/>
      <c r="AC175" s="19"/>
      <c r="AD175" s="274"/>
      <c r="AE175" s="19"/>
      <c r="AF175" s="19">
        <f>SUM(AF176:AF177)</f>
        <v>0</v>
      </c>
      <c r="AG175" s="19"/>
      <c r="AH175" s="19"/>
      <c r="AI175" s="274"/>
      <c r="AJ175" s="19"/>
      <c r="AK175" s="19">
        <f>SUM(AK176:AK177)</f>
        <v>0</v>
      </c>
      <c r="AL175" s="19"/>
      <c r="AM175" s="19"/>
      <c r="AN175" s="274"/>
      <c r="AO175" s="19"/>
      <c r="AP175" s="19">
        <f>SUM(AP176:AP177)</f>
        <v>0</v>
      </c>
      <c r="AQ175" s="19"/>
      <c r="AR175" s="19"/>
      <c r="AS175" s="274"/>
      <c r="AT175" s="19"/>
      <c r="AU175" s="19">
        <f>SUM(AU176:AU177)</f>
        <v>0</v>
      </c>
      <c r="AV175" s="19"/>
      <c r="AW175" s="19"/>
      <c r="AX175" s="274"/>
      <c r="AY175" s="19"/>
      <c r="AZ175" s="19">
        <f>SUM(AZ176:AZ177)</f>
        <v>0</v>
      </c>
      <c r="BA175" s="19"/>
      <c r="BB175" s="19"/>
      <c r="BC175" s="274"/>
      <c r="BD175" s="19"/>
      <c r="BE175" s="19">
        <f>SUM(BE176:BE177)</f>
        <v>0</v>
      </c>
      <c r="BF175" s="19"/>
      <c r="BG175" s="19"/>
      <c r="BH175" s="274"/>
      <c r="BI175" s="19"/>
      <c r="BJ175" s="19">
        <f>SUM(BJ176:BJ177)</f>
        <v>0</v>
      </c>
      <c r="BK175" s="19"/>
      <c r="BL175" s="19"/>
      <c r="BM175" s="274"/>
      <c r="BN175" s="19"/>
      <c r="BO175" s="19">
        <f>SUM(BO176:BO177)</f>
        <v>0</v>
      </c>
      <c r="BP175" s="19"/>
      <c r="BQ175" s="19"/>
      <c r="BR175" s="274"/>
      <c r="BS175" s="19"/>
      <c r="BT175" s="19">
        <f>SUM(BT176:BT177)</f>
        <v>0</v>
      </c>
      <c r="BU175" s="19"/>
      <c r="BV175" s="19"/>
      <c r="BW175" s="274"/>
      <c r="BX175" s="19"/>
      <c r="BY175" s="19">
        <f>SUM(BY176:BY177)</f>
        <v>0</v>
      </c>
      <c r="BZ175" s="19"/>
      <c r="CA175" s="19"/>
      <c r="CB175" s="274"/>
      <c r="CC175" s="19"/>
      <c r="CD175" s="19">
        <f>SUM(CD176:CD177)</f>
        <v>0</v>
      </c>
      <c r="CE175" s="19"/>
      <c r="CF175" s="19"/>
      <c r="CG175" s="274"/>
      <c r="CH175" s="19"/>
      <c r="CI175" s="19">
        <f>SUM(CI176:CI177)</f>
        <v>0</v>
      </c>
      <c r="CJ175" s="19"/>
      <c r="CK175" s="19"/>
      <c r="CL175" s="274"/>
      <c r="CM175" s="19"/>
      <c r="CN175" s="19">
        <f>SUM(CN176:CN177)</f>
        <v>0</v>
      </c>
      <c r="CO175" s="19"/>
      <c r="CP175" s="19"/>
      <c r="CQ175" s="274"/>
      <c r="CR175" s="19"/>
      <c r="CS175" s="19">
        <f>SUM(CS176:CS177)</f>
        <v>0</v>
      </c>
      <c r="CT175" s="19"/>
      <c r="CU175" s="19"/>
      <c r="CV175" s="274"/>
      <c r="CW175" s="19"/>
      <c r="CX175" s="19">
        <f>SUM(CX176:CX177)</f>
        <v>0</v>
      </c>
      <c r="CY175" s="19"/>
      <c r="CZ175" s="19"/>
      <c r="DA175" s="274"/>
      <c r="DB175" s="19"/>
      <c r="DC175" s="19">
        <f>SUM(DC176:DC177)</f>
        <v>0</v>
      </c>
      <c r="DD175" s="19"/>
      <c r="DE175" s="19"/>
      <c r="DF175" s="274"/>
      <c r="DG175" s="19"/>
      <c r="DH175" s="19">
        <f>SUM(DH176:DH177)</f>
        <v>0</v>
      </c>
      <c r="DI175" s="19"/>
      <c r="DJ175" s="19"/>
      <c r="DK175" s="274"/>
      <c r="DL175" s="19"/>
      <c r="DM175" s="19">
        <f>SUM(DM176:DM177)</f>
        <v>0</v>
      </c>
      <c r="DN175" s="19"/>
      <c r="DO175" s="19"/>
      <c r="DP175" s="274"/>
      <c r="DQ175" s="19"/>
      <c r="DR175" s="19">
        <f>SUM(DR176:DR177)</f>
        <v>0</v>
      </c>
      <c r="DS175" s="19"/>
      <c r="DT175" s="19"/>
      <c r="DU175" s="274"/>
      <c r="DV175" s="19"/>
      <c r="DW175" s="19">
        <f>SUM(DW176:DW177)</f>
        <v>0</v>
      </c>
      <c r="DX175" s="19"/>
      <c r="DY175" s="19"/>
      <c r="DZ175" s="274"/>
      <c r="EA175" s="19"/>
      <c r="EB175" s="19">
        <f>SUM(EB176:EB177)</f>
        <v>0</v>
      </c>
      <c r="EC175" s="19"/>
      <c r="ED175" s="19"/>
      <c r="EE175" s="274"/>
      <c r="EF175" s="19"/>
      <c r="EG175" s="19">
        <f>SUM(EG176:EG177)</f>
        <v>0</v>
      </c>
      <c r="EH175" s="19"/>
      <c r="EI175" s="19"/>
      <c r="EJ175" s="274"/>
      <c r="EK175" s="19"/>
      <c r="EL175" s="19">
        <f>SUM(EL176:EL177)</f>
        <v>0</v>
      </c>
      <c r="EM175" s="19"/>
      <c r="EN175" s="19"/>
      <c r="EO175" s="244"/>
    </row>
    <row r="176" spans="4:148" hidden="1" x14ac:dyDescent="0.2">
      <c r="D176" s="244" t="s">
        <v>466</v>
      </c>
      <c r="E176" s="82"/>
      <c r="F176" s="112"/>
      <c r="G176" s="374">
        <v>0</v>
      </c>
      <c r="H176" s="475"/>
      <c r="I176" s="19"/>
      <c r="J176" s="274"/>
      <c r="K176" s="173"/>
      <c r="L176" s="374">
        <v>0</v>
      </c>
      <c r="M176" s="475"/>
      <c r="N176" s="19"/>
      <c r="O176" s="274"/>
      <c r="P176" s="173"/>
      <c r="Q176" s="374">
        <v>0</v>
      </c>
      <c r="R176" s="475"/>
      <c r="S176" s="19"/>
      <c r="T176" s="274"/>
      <c r="U176" s="173"/>
      <c r="V176" s="374">
        <v>0</v>
      </c>
      <c r="W176" s="475"/>
      <c r="X176" s="19"/>
      <c r="Y176" s="274"/>
      <c r="Z176" s="173"/>
      <c r="AA176" s="374">
        <v>0</v>
      </c>
      <c r="AB176" s="475"/>
      <c r="AC176" s="19"/>
      <c r="AD176" s="274"/>
      <c r="AE176" s="173"/>
      <c r="AF176" s="374">
        <v>0</v>
      </c>
      <c r="AG176" s="475"/>
      <c r="AH176" s="19"/>
      <c r="AI176" s="274"/>
      <c r="AJ176" s="173"/>
      <c r="AK176" s="374">
        <v>0</v>
      </c>
      <c r="AL176" s="475"/>
      <c r="AM176" s="19"/>
      <c r="AN176" s="274"/>
      <c r="AO176" s="173"/>
      <c r="AP176" s="374">
        <v>0</v>
      </c>
      <c r="AQ176" s="475"/>
      <c r="AR176" s="19"/>
      <c r="AS176" s="274"/>
      <c r="AT176" s="173"/>
      <c r="AU176" s="374">
        <v>0</v>
      </c>
      <c r="AV176" s="475"/>
      <c r="AW176" s="19"/>
      <c r="AX176" s="274"/>
      <c r="AY176" s="173"/>
      <c r="AZ176" s="374">
        <v>0</v>
      </c>
      <c r="BA176" s="475"/>
      <c r="BB176" s="19"/>
      <c r="BC176" s="274"/>
      <c r="BD176" s="173"/>
      <c r="BE176" s="374">
        <v>0</v>
      </c>
      <c r="BF176" s="475"/>
      <c r="BG176" s="19"/>
      <c r="BH176" s="274"/>
      <c r="BI176" s="173"/>
      <c r="BJ176" s="374">
        <v>0</v>
      </c>
      <c r="BK176" s="475"/>
      <c r="BL176" s="19"/>
      <c r="BM176" s="274"/>
      <c r="BN176" s="173"/>
      <c r="BO176" s="374">
        <v>0</v>
      </c>
      <c r="BP176" s="475"/>
      <c r="BQ176" s="19"/>
      <c r="BR176" s="274"/>
      <c r="BS176" s="173"/>
      <c r="BT176" s="374">
        <f>SUM(L176:BO176)</f>
        <v>0</v>
      </c>
      <c r="BU176" s="475"/>
      <c r="BV176" s="19"/>
      <c r="BW176" s="274"/>
      <c r="BX176" s="173"/>
      <c r="BY176" s="374">
        <v>0</v>
      </c>
      <c r="BZ176" s="475"/>
      <c r="CA176" s="19"/>
      <c r="CB176" s="274"/>
      <c r="CC176" s="173"/>
      <c r="CD176" s="374">
        <v>0</v>
      </c>
      <c r="CE176" s="475"/>
      <c r="CF176" s="19"/>
      <c r="CG176" s="274"/>
      <c r="CH176" s="173"/>
      <c r="CI176" s="374">
        <v>0</v>
      </c>
      <c r="CJ176" s="475"/>
      <c r="CK176" s="19"/>
      <c r="CL176" s="274"/>
      <c r="CM176" s="173"/>
      <c r="CN176" s="374">
        <v>0</v>
      </c>
      <c r="CO176" s="475"/>
      <c r="CP176" s="19"/>
      <c r="CQ176" s="274"/>
      <c r="CR176" s="173"/>
      <c r="CS176" s="374">
        <v>0</v>
      </c>
      <c r="CT176" s="475"/>
      <c r="CU176" s="19"/>
      <c r="CV176" s="274"/>
      <c r="CW176" s="173"/>
      <c r="CX176" s="374">
        <v>0</v>
      </c>
      <c r="CY176" s="475"/>
      <c r="CZ176" s="19"/>
      <c r="DA176" s="274"/>
      <c r="DB176" s="173"/>
      <c r="DC176" s="374">
        <v>0</v>
      </c>
      <c r="DD176" s="475"/>
      <c r="DE176" s="19"/>
      <c r="DF176" s="274"/>
      <c r="DG176" s="173"/>
      <c r="DH176" s="374">
        <v>0</v>
      </c>
      <c r="DI176" s="475"/>
      <c r="DJ176" s="19"/>
      <c r="DK176" s="274"/>
      <c r="DL176" s="173"/>
      <c r="DM176" s="374">
        <v>0</v>
      </c>
      <c r="DN176" s="475"/>
      <c r="DO176" s="19"/>
      <c r="DP176" s="274"/>
      <c r="DQ176" s="173"/>
      <c r="DR176" s="374">
        <v>0</v>
      </c>
      <c r="DS176" s="475"/>
      <c r="DT176" s="19"/>
      <c r="DU176" s="274"/>
      <c r="DV176" s="173"/>
      <c r="DW176" s="374">
        <v>0</v>
      </c>
      <c r="DX176" s="475"/>
      <c r="DY176" s="19"/>
      <c r="DZ176" s="274"/>
      <c r="EA176" s="173"/>
      <c r="EB176" s="374">
        <v>0</v>
      </c>
      <c r="EC176" s="475"/>
      <c r="ED176" s="19"/>
      <c r="EE176" s="274"/>
      <c r="EF176" s="173"/>
      <c r="EG176" s="374">
        <v>0</v>
      </c>
      <c r="EH176" s="475"/>
      <c r="EI176" s="19"/>
      <c r="EJ176" s="274"/>
      <c r="EK176" s="173"/>
      <c r="EL176" s="374">
        <f>SUM(CD176:EG176)</f>
        <v>0</v>
      </c>
      <c r="EM176" s="475"/>
      <c r="EN176" s="19"/>
      <c r="EO176" s="244"/>
    </row>
    <row r="177" spans="4:145" hidden="1" x14ac:dyDescent="0.2">
      <c r="D177" s="244" t="s">
        <v>467</v>
      </c>
      <c r="E177" s="82"/>
      <c r="F177" s="276"/>
      <c r="G177" s="37">
        <v>0</v>
      </c>
      <c r="H177" s="36"/>
      <c r="I177" s="19"/>
      <c r="J177" s="274"/>
      <c r="K177" s="231"/>
      <c r="L177" s="37">
        <v>0</v>
      </c>
      <c r="M177" s="36"/>
      <c r="N177" s="19"/>
      <c r="O177" s="274"/>
      <c r="P177" s="231"/>
      <c r="Q177" s="37">
        <v>0</v>
      </c>
      <c r="R177" s="36"/>
      <c r="S177" s="19"/>
      <c r="T177" s="274"/>
      <c r="U177" s="231"/>
      <c r="V177" s="37">
        <v>0</v>
      </c>
      <c r="W177" s="36"/>
      <c r="X177" s="19"/>
      <c r="Y177" s="274"/>
      <c r="Z177" s="231"/>
      <c r="AA177" s="37">
        <v>0</v>
      </c>
      <c r="AB177" s="36"/>
      <c r="AC177" s="19"/>
      <c r="AD177" s="274"/>
      <c r="AE177" s="231"/>
      <c r="AF177" s="37">
        <v>0</v>
      </c>
      <c r="AG177" s="36"/>
      <c r="AH177" s="19"/>
      <c r="AI177" s="274"/>
      <c r="AJ177" s="231"/>
      <c r="AK177" s="37">
        <v>0</v>
      </c>
      <c r="AL177" s="36"/>
      <c r="AM177" s="19"/>
      <c r="AN177" s="274"/>
      <c r="AO177" s="231"/>
      <c r="AP177" s="37">
        <v>0</v>
      </c>
      <c r="AQ177" s="36"/>
      <c r="AR177" s="19"/>
      <c r="AS177" s="274"/>
      <c r="AT177" s="231"/>
      <c r="AU177" s="37">
        <v>0</v>
      </c>
      <c r="AV177" s="36"/>
      <c r="AW177" s="19"/>
      <c r="AX177" s="274"/>
      <c r="AY177" s="231"/>
      <c r="AZ177" s="37">
        <v>0</v>
      </c>
      <c r="BA177" s="36"/>
      <c r="BB177" s="19"/>
      <c r="BC177" s="274"/>
      <c r="BD177" s="231"/>
      <c r="BE177" s="37">
        <v>0</v>
      </c>
      <c r="BF177" s="36"/>
      <c r="BG177" s="19"/>
      <c r="BH177" s="274"/>
      <c r="BI177" s="231"/>
      <c r="BJ177" s="37">
        <v>0</v>
      </c>
      <c r="BK177" s="36"/>
      <c r="BL177" s="19"/>
      <c r="BM177" s="274"/>
      <c r="BN177" s="231"/>
      <c r="BO177" s="37">
        <v>0</v>
      </c>
      <c r="BP177" s="36"/>
      <c r="BQ177" s="19"/>
      <c r="BR177" s="274"/>
      <c r="BS177" s="231"/>
      <c r="BT177" s="37">
        <f>SUM(L177:BO177)</f>
        <v>0</v>
      </c>
      <c r="BU177" s="36"/>
      <c r="BV177" s="19"/>
      <c r="BW177" s="274"/>
      <c r="BX177" s="231"/>
      <c r="BY177" s="37">
        <v>0</v>
      </c>
      <c r="BZ177" s="36"/>
      <c r="CA177" s="19"/>
      <c r="CB177" s="274"/>
      <c r="CC177" s="231"/>
      <c r="CD177" s="37">
        <v>0</v>
      </c>
      <c r="CE177" s="36"/>
      <c r="CF177" s="19"/>
      <c r="CG177" s="274"/>
      <c r="CH177" s="231"/>
      <c r="CI177" s="37">
        <v>0</v>
      </c>
      <c r="CJ177" s="36"/>
      <c r="CK177" s="19"/>
      <c r="CL177" s="274"/>
      <c r="CM177" s="231"/>
      <c r="CN177" s="37">
        <v>0</v>
      </c>
      <c r="CO177" s="36"/>
      <c r="CP177" s="19"/>
      <c r="CQ177" s="274"/>
      <c r="CR177" s="231"/>
      <c r="CS177" s="37">
        <v>0</v>
      </c>
      <c r="CT177" s="36"/>
      <c r="CU177" s="19"/>
      <c r="CV177" s="274"/>
      <c r="CW177" s="231"/>
      <c r="CX177" s="37">
        <v>0</v>
      </c>
      <c r="CY177" s="36"/>
      <c r="CZ177" s="19"/>
      <c r="DA177" s="274"/>
      <c r="DB177" s="231"/>
      <c r="DC177" s="37">
        <v>0</v>
      </c>
      <c r="DD177" s="36"/>
      <c r="DE177" s="19"/>
      <c r="DF177" s="274"/>
      <c r="DG177" s="231"/>
      <c r="DH177" s="37">
        <v>0</v>
      </c>
      <c r="DI177" s="36"/>
      <c r="DJ177" s="19"/>
      <c r="DK177" s="274"/>
      <c r="DL177" s="231"/>
      <c r="DM177" s="37">
        <v>0</v>
      </c>
      <c r="DN177" s="36"/>
      <c r="DO177" s="19"/>
      <c r="DP177" s="274"/>
      <c r="DQ177" s="231"/>
      <c r="DR177" s="37">
        <v>0</v>
      </c>
      <c r="DS177" s="36"/>
      <c r="DT177" s="19"/>
      <c r="DU177" s="274"/>
      <c r="DV177" s="231"/>
      <c r="DW177" s="37">
        <v>0</v>
      </c>
      <c r="DX177" s="36"/>
      <c r="DY177" s="19"/>
      <c r="DZ177" s="274"/>
      <c r="EA177" s="231"/>
      <c r="EB177" s="37">
        <v>0</v>
      </c>
      <c r="EC177" s="36"/>
      <c r="ED177" s="19"/>
      <c r="EE177" s="274"/>
      <c r="EF177" s="231"/>
      <c r="EG177" s="37">
        <v>0</v>
      </c>
      <c r="EH177" s="36"/>
      <c r="EI177" s="19"/>
      <c r="EJ177" s="274"/>
      <c r="EK177" s="231"/>
      <c r="EL177" s="37">
        <f>SUM(CD177:EG177)</f>
        <v>0</v>
      </c>
      <c r="EM177" s="36"/>
      <c r="EN177" s="19"/>
      <c r="EO177" s="244"/>
    </row>
    <row r="178" spans="4:145" hidden="1" x14ac:dyDescent="0.2">
      <c r="D178" s="244"/>
      <c r="E178" s="82"/>
      <c r="G178" s="19"/>
      <c r="H178" s="19"/>
      <c r="I178" s="19"/>
      <c r="J178" s="274"/>
      <c r="K178" s="19"/>
      <c r="L178" s="19"/>
      <c r="M178" s="19"/>
      <c r="N178" s="19"/>
      <c r="O178" s="274"/>
      <c r="P178" s="19"/>
      <c r="Q178" s="19"/>
      <c r="R178" s="19"/>
      <c r="S178" s="19"/>
      <c r="T178" s="274"/>
      <c r="U178" s="19"/>
      <c r="V178" s="19"/>
      <c r="W178" s="19"/>
      <c r="X178" s="19"/>
      <c r="Y178" s="274"/>
      <c r="Z178" s="19"/>
      <c r="AA178" s="19"/>
      <c r="AB178" s="19"/>
      <c r="AC178" s="19"/>
      <c r="AD178" s="274"/>
      <c r="AE178" s="19"/>
      <c r="AF178" s="19"/>
      <c r="AG178" s="19"/>
      <c r="AH178" s="19"/>
      <c r="AI178" s="274"/>
      <c r="AJ178" s="19"/>
      <c r="AK178" s="19"/>
      <c r="AL178" s="19"/>
      <c r="AM178" s="19"/>
      <c r="AN178" s="274"/>
      <c r="AO178" s="19"/>
      <c r="AP178" s="19"/>
      <c r="AQ178" s="19"/>
      <c r="AR178" s="19"/>
      <c r="AS178" s="274"/>
      <c r="AT178" s="19"/>
      <c r="AU178" s="19"/>
      <c r="AV178" s="19"/>
      <c r="AW178" s="19"/>
      <c r="AX178" s="274"/>
      <c r="AY178" s="19"/>
      <c r="AZ178" s="19"/>
      <c r="BA178" s="19"/>
      <c r="BB178" s="19"/>
      <c r="BC178" s="274"/>
      <c r="BD178" s="19"/>
      <c r="BE178" s="19"/>
      <c r="BF178" s="19"/>
      <c r="BG178" s="19"/>
      <c r="BH178" s="274"/>
      <c r="BI178" s="19"/>
      <c r="BJ178" s="19"/>
      <c r="BK178" s="19"/>
      <c r="BL178" s="19"/>
      <c r="BM178" s="274"/>
      <c r="BN178" s="19"/>
      <c r="BO178" s="19"/>
      <c r="BP178" s="19"/>
      <c r="BQ178" s="19"/>
      <c r="BR178" s="274"/>
      <c r="BS178" s="19"/>
      <c r="BT178" s="19"/>
      <c r="BU178" s="19"/>
      <c r="BV178" s="19"/>
      <c r="BW178" s="274"/>
      <c r="BX178" s="19"/>
      <c r="BY178" s="19"/>
      <c r="BZ178" s="19"/>
      <c r="CA178" s="19"/>
      <c r="CB178" s="274"/>
      <c r="CC178" s="19"/>
      <c r="CD178" s="19"/>
      <c r="CE178" s="19"/>
      <c r="CF178" s="19"/>
      <c r="CG178" s="274"/>
      <c r="CH178" s="19"/>
      <c r="CI178" s="19"/>
      <c r="CJ178" s="19"/>
      <c r="CK178" s="19"/>
      <c r="CL178" s="274"/>
      <c r="CM178" s="19"/>
      <c r="CN178" s="19"/>
      <c r="CO178" s="19"/>
      <c r="CP178" s="19"/>
      <c r="CQ178" s="274"/>
      <c r="CR178" s="19"/>
      <c r="CS178" s="19"/>
      <c r="CT178" s="19"/>
      <c r="CU178" s="19"/>
      <c r="CV178" s="274"/>
      <c r="CW178" s="19"/>
      <c r="CX178" s="19"/>
      <c r="CY178" s="19"/>
      <c r="CZ178" s="19"/>
      <c r="DA178" s="274"/>
      <c r="DB178" s="19"/>
      <c r="DC178" s="19"/>
      <c r="DD178" s="19"/>
      <c r="DE178" s="19"/>
      <c r="DF178" s="274"/>
      <c r="DG178" s="19"/>
      <c r="DH178" s="19"/>
      <c r="DI178" s="19"/>
      <c r="DJ178" s="19"/>
      <c r="DK178" s="274"/>
      <c r="DL178" s="19"/>
      <c r="DM178" s="19"/>
      <c r="DN178" s="19"/>
      <c r="DO178" s="19"/>
      <c r="DP178" s="274"/>
      <c r="DQ178" s="19"/>
      <c r="DR178" s="19"/>
      <c r="DS178" s="19"/>
      <c r="DT178" s="19"/>
      <c r="DU178" s="274"/>
      <c r="DV178" s="19"/>
      <c r="DW178" s="19"/>
      <c r="DX178" s="19"/>
      <c r="DY178" s="19"/>
      <c r="DZ178" s="274"/>
      <c r="EA178" s="19"/>
      <c r="EB178" s="19"/>
      <c r="EC178" s="19"/>
      <c r="ED178" s="19"/>
      <c r="EE178" s="274"/>
      <c r="EF178" s="19"/>
      <c r="EG178" s="19"/>
      <c r="EH178" s="19"/>
      <c r="EI178" s="19"/>
      <c r="EJ178" s="274"/>
      <c r="EK178" s="19"/>
      <c r="EL178" s="19"/>
      <c r="EM178" s="19"/>
      <c r="EN178" s="19"/>
      <c r="EO178" s="244"/>
    </row>
    <row r="179" spans="4:145" hidden="1" x14ac:dyDescent="0.2">
      <c r="D179" s="244" t="s">
        <v>485</v>
      </c>
      <c r="E179" s="82"/>
      <c r="G179" s="19">
        <f>SUM(G180:G181)</f>
        <v>0</v>
      </c>
      <c r="H179" s="19"/>
      <c r="I179" s="19"/>
      <c r="J179" s="274"/>
      <c r="K179" s="19"/>
      <c r="L179" s="19">
        <f>SUM(L180:L181)</f>
        <v>0</v>
      </c>
      <c r="M179" s="19"/>
      <c r="N179" s="19"/>
      <c r="O179" s="274"/>
      <c r="P179" s="19"/>
      <c r="Q179" s="19">
        <f>SUM(Q180:Q181)</f>
        <v>0</v>
      </c>
      <c r="R179" s="19"/>
      <c r="S179" s="19"/>
      <c r="T179" s="274"/>
      <c r="U179" s="19"/>
      <c r="V179" s="19">
        <f>SUM(V180:V181)</f>
        <v>0</v>
      </c>
      <c r="W179" s="19"/>
      <c r="X179" s="19"/>
      <c r="Y179" s="274"/>
      <c r="Z179" s="19"/>
      <c r="AA179" s="19">
        <f>SUM(AA180:AA181)</f>
        <v>0</v>
      </c>
      <c r="AB179" s="19"/>
      <c r="AC179" s="19"/>
      <c r="AD179" s="274"/>
      <c r="AE179" s="19"/>
      <c r="AF179" s="19">
        <f>SUM(AF180:AF181)</f>
        <v>0</v>
      </c>
      <c r="AG179" s="19"/>
      <c r="AH179" s="19"/>
      <c r="AI179" s="274"/>
      <c r="AJ179" s="19"/>
      <c r="AK179" s="19">
        <f>SUM(AK180:AK181)</f>
        <v>0</v>
      </c>
      <c r="AL179" s="19"/>
      <c r="AM179" s="19"/>
      <c r="AN179" s="274"/>
      <c r="AO179" s="19"/>
      <c r="AP179" s="19">
        <f>SUM(AP180:AP181)</f>
        <v>0</v>
      </c>
      <c r="AQ179" s="19"/>
      <c r="AR179" s="19"/>
      <c r="AS179" s="274"/>
      <c r="AT179" s="19"/>
      <c r="AU179" s="19">
        <f>SUM(AU180:AU181)</f>
        <v>0</v>
      </c>
      <c r="AV179" s="19"/>
      <c r="AW179" s="19"/>
      <c r="AX179" s="274"/>
      <c r="AY179" s="19"/>
      <c r="AZ179" s="19">
        <f>SUM(AZ180:AZ181)</f>
        <v>0</v>
      </c>
      <c r="BA179" s="19"/>
      <c r="BB179" s="19"/>
      <c r="BC179" s="274"/>
      <c r="BD179" s="19"/>
      <c r="BE179" s="19">
        <f>SUM(BE180:BE181)</f>
        <v>0</v>
      </c>
      <c r="BF179" s="19"/>
      <c r="BG179" s="19"/>
      <c r="BH179" s="274"/>
      <c r="BI179" s="19"/>
      <c r="BJ179" s="19">
        <f>SUM(BJ180:BJ181)</f>
        <v>0</v>
      </c>
      <c r="BK179" s="19"/>
      <c r="BL179" s="19"/>
      <c r="BM179" s="274"/>
      <c r="BN179" s="19"/>
      <c r="BO179" s="19">
        <f>SUM(BO180:BO181)</f>
        <v>0</v>
      </c>
      <c r="BP179" s="19"/>
      <c r="BQ179" s="19"/>
      <c r="BR179" s="274"/>
      <c r="BS179" s="19"/>
      <c r="BT179" s="19">
        <f>SUM(BT180:BT181)</f>
        <v>0</v>
      </c>
      <c r="BU179" s="19"/>
      <c r="BV179" s="19"/>
      <c r="BW179" s="274"/>
      <c r="BX179" s="19"/>
      <c r="BY179" s="19">
        <f>SUM(BY180:BY181)</f>
        <v>0</v>
      </c>
      <c r="BZ179" s="19"/>
      <c r="CA179" s="19"/>
      <c r="CB179" s="274"/>
      <c r="CC179" s="19"/>
      <c r="CD179" s="19">
        <f>SUM(CD180:CD181)</f>
        <v>0</v>
      </c>
      <c r="CE179" s="19"/>
      <c r="CF179" s="19"/>
      <c r="CG179" s="274"/>
      <c r="CH179" s="19"/>
      <c r="CI179" s="19">
        <f>SUM(CI180:CI181)</f>
        <v>0</v>
      </c>
      <c r="CJ179" s="19"/>
      <c r="CK179" s="19"/>
      <c r="CL179" s="274"/>
      <c r="CM179" s="19"/>
      <c r="CN179" s="19">
        <f>SUM(CN180:CN181)</f>
        <v>0</v>
      </c>
      <c r="CO179" s="19"/>
      <c r="CP179" s="19"/>
      <c r="CQ179" s="274"/>
      <c r="CR179" s="19"/>
      <c r="CS179" s="19">
        <f>SUM(CS180:CS181)</f>
        <v>0</v>
      </c>
      <c r="CT179" s="19"/>
      <c r="CU179" s="19"/>
      <c r="CV179" s="274"/>
      <c r="CW179" s="19"/>
      <c r="CX179" s="19">
        <f>SUM(CX180:CX181)</f>
        <v>0</v>
      </c>
      <c r="CY179" s="19"/>
      <c r="CZ179" s="19"/>
      <c r="DA179" s="274"/>
      <c r="DB179" s="19"/>
      <c r="DC179" s="19">
        <f>SUM(DC180:DC181)</f>
        <v>0</v>
      </c>
      <c r="DD179" s="19"/>
      <c r="DE179" s="19"/>
      <c r="DF179" s="274"/>
      <c r="DG179" s="19"/>
      <c r="DH179" s="19">
        <f>SUM(DH180:DH181)</f>
        <v>0</v>
      </c>
      <c r="DI179" s="19"/>
      <c r="DJ179" s="19"/>
      <c r="DK179" s="274"/>
      <c r="DL179" s="19"/>
      <c r="DM179" s="19">
        <f>SUM(DM180:DM181)</f>
        <v>0</v>
      </c>
      <c r="DN179" s="19"/>
      <c r="DO179" s="19"/>
      <c r="DP179" s="274"/>
      <c r="DQ179" s="19"/>
      <c r="DR179" s="19">
        <f>SUM(DR180:DR181)</f>
        <v>0</v>
      </c>
      <c r="DS179" s="19"/>
      <c r="DT179" s="19"/>
      <c r="DU179" s="274"/>
      <c r="DV179" s="19"/>
      <c r="DW179" s="19">
        <f>SUM(DW180:DW181)</f>
        <v>0</v>
      </c>
      <c r="DX179" s="19"/>
      <c r="DY179" s="19"/>
      <c r="DZ179" s="274"/>
      <c r="EA179" s="19"/>
      <c r="EB179" s="19">
        <f>SUM(EB180:EB181)</f>
        <v>0</v>
      </c>
      <c r="EC179" s="19"/>
      <c r="ED179" s="19"/>
      <c r="EE179" s="274"/>
      <c r="EF179" s="19"/>
      <c r="EG179" s="19">
        <f>SUM(EG180:EG181)</f>
        <v>0</v>
      </c>
      <c r="EH179" s="19"/>
      <c r="EI179" s="19"/>
      <c r="EJ179" s="274"/>
      <c r="EK179" s="19"/>
      <c r="EL179" s="19">
        <f>SUM(EL180:EL181)</f>
        <v>0</v>
      </c>
      <c r="EM179" s="19"/>
      <c r="EN179" s="19"/>
      <c r="EO179" s="244"/>
    </row>
    <row r="180" spans="4:145" hidden="1" x14ac:dyDescent="0.2">
      <c r="D180" s="244" t="s">
        <v>466</v>
      </c>
      <c r="E180" s="82"/>
      <c r="F180" s="112"/>
      <c r="G180" s="374">
        <v>0</v>
      </c>
      <c r="H180" s="475"/>
      <c r="I180" s="19"/>
      <c r="J180" s="274"/>
      <c r="K180" s="173"/>
      <c r="L180" s="374">
        <v>0</v>
      </c>
      <c r="M180" s="475"/>
      <c r="N180" s="19"/>
      <c r="O180" s="274"/>
      <c r="P180" s="173"/>
      <c r="Q180" s="374">
        <v>0</v>
      </c>
      <c r="R180" s="475"/>
      <c r="S180" s="19"/>
      <c r="T180" s="274"/>
      <c r="U180" s="173"/>
      <c r="V180" s="374">
        <v>0</v>
      </c>
      <c r="W180" s="475"/>
      <c r="X180" s="19"/>
      <c r="Y180" s="274"/>
      <c r="Z180" s="173"/>
      <c r="AA180" s="374">
        <v>0</v>
      </c>
      <c r="AB180" s="475"/>
      <c r="AC180" s="19"/>
      <c r="AD180" s="274"/>
      <c r="AE180" s="173"/>
      <c r="AF180" s="374">
        <v>0</v>
      </c>
      <c r="AG180" s="475"/>
      <c r="AH180" s="19"/>
      <c r="AI180" s="274"/>
      <c r="AJ180" s="173"/>
      <c r="AK180" s="374">
        <v>0</v>
      </c>
      <c r="AL180" s="475"/>
      <c r="AM180" s="19"/>
      <c r="AN180" s="274"/>
      <c r="AO180" s="173"/>
      <c r="AP180" s="374">
        <v>0</v>
      </c>
      <c r="AQ180" s="475"/>
      <c r="AR180" s="19"/>
      <c r="AS180" s="274"/>
      <c r="AT180" s="173"/>
      <c r="AU180" s="374">
        <v>0</v>
      </c>
      <c r="AV180" s="475"/>
      <c r="AW180" s="19"/>
      <c r="AX180" s="274"/>
      <c r="AY180" s="173"/>
      <c r="AZ180" s="374">
        <v>0</v>
      </c>
      <c r="BA180" s="475"/>
      <c r="BB180" s="19"/>
      <c r="BC180" s="274"/>
      <c r="BD180" s="173"/>
      <c r="BE180" s="374">
        <v>0</v>
      </c>
      <c r="BF180" s="475"/>
      <c r="BG180" s="19"/>
      <c r="BH180" s="274"/>
      <c r="BI180" s="173"/>
      <c r="BJ180" s="374">
        <v>0</v>
      </c>
      <c r="BK180" s="475"/>
      <c r="BL180" s="19"/>
      <c r="BM180" s="274"/>
      <c r="BN180" s="173"/>
      <c r="BO180" s="374">
        <v>0</v>
      </c>
      <c r="BP180" s="475"/>
      <c r="BQ180" s="19"/>
      <c r="BR180" s="274"/>
      <c r="BS180" s="173"/>
      <c r="BT180" s="374">
        <f>SUM(L180:BO180)</f>
        <v>0</v>
      </c>
      <c r="BU180" s="475"/>
      <c r="BV180" s="19"/>
      <c r="BW180" s="274"/>
      <c r="BX180" s="173"/>
      <c r="BY180" s="374">
        <v>0</v>
      </c>
      <c r="BZ180" s="475"/>
      <c r="CA180" s="19"/>
      <c r="CB180" s="274"/>
      <c r="CC180" s="173"/>
      <c r="CD180" s="374">
        <v>0</v>
      </c>
      <c r="CE180" s="475"/>
      <c r="CF180" s="19"/>
      <c r="CG180" s="274"/>
      <c r="CH180" s="173"/>
      <c r="CI180" s="374">
        <v>0</v>
      </c>
      <c r="CJ180" s="475"/>
      <c r="CK180" s="19"/>
      <c r="CL180" s="274"/>
      <c r="CM180" s="173"/>
      <c r="CN180" s="374">
        <v>0</v>
      </c>
      <c r="CO180" s="475"/>
      <c r="CP180" s="19"/>
      <c r="CQ180" s="274"/>
      <c r="CR180" s="173"/>
      <c r="CS180" s="374">
        <v>0</v>
      </c>
      <c r="CT180" s="475"/>
      <c r="CU180" s="19"/>
      <c r="CV180" s="274"/>
      <c r="CW180" s="173"/>
      <c r="CX180" s="374">
        <v>0</v>
      </c>
      <c r="CY180" s="475"/>
      <c r="CZ180" s="19"/>
      <c r="DA180" s="274"/>
      <c r="DB180" s="173"/>
      <c r="DC180" s="374">
        <v>0</v>
      </c>
      <c r="DD180" s="475"/>
      <c r="DE180" s="19"/>
      <c r="DF180" s="274"/>
      <c r="DG180" s="173"/>
      <c r="DH180" s="374">
        <v>0</v>
      </c>
      <c r="DI180" s="475"/>
      <c r="DJ180" s="19"/>
      <c r="DK180" s="274"/>
      <c r="DL180" s="173"/>
      <c r="DM180" s="374">
        <v>0</v>
      </c>
      <c r="DN180" s="475"/>
      <c r="DO180" s="19"/>
      <c r="DP180" s="274"/>
      <c r="DQ180" s="173"/>
      <c r="DR180" s="374">
        <v>0</v>
      </c>
      <c r="DS180" s="475"/>
      <c r="DT180" s="19"/>
      <c r="DU180" s="274"/>
      <c r="DV180" s="173"/>
      <c r="DW180" s="374">
        <v>0</v>
      </c>
      <c r="DX180" s="475"/>
      <c r="DY180" s="19"/>
      <c r="DZ180" s="274"/>
      <c r="EA180" s="173"/>
      <c r="EB180" s="374">
        <v>0</v>
      </c>
      <c r="EC180" s="475"/>
      <c r="ED180" s="19"/>
      <c r="EE180" s="274"/>
      <c r="EF180" s="173"/>
      <c r="EG180" s="374">
        <v>0</v>
      </c>
      <c r="EH180" s="475"/>
      <c r="EI180" s="19"/>
      <c r="EJ180" s="274"/>
      <c r="EK180" s="173"/>
      <c r="EL180" s="374">
        <f>SUM(CD180:EG180)</f>
        <v>0</v>
      </c>
      <c r="EM180" s="475"/>
      <c r="EN180" s="19"/>
      <c r="EO180" s="244"/>
    </row>
    <row r="181" spans="4:145" hidden="1" x14ac:dyDescent="0.2">
      <c r="D181" s="244" t="s">
        <v>467</v>
      </c>
      <c r="E181" s="82"/>
      <c r="F181" s="276"/>
      <c r="G181" s="37">
        <v>0</v>
      </c>
      <c r="H181" s="36"/>
      <c r="I181" s="19"/>
      <c r="J181" s="274"/>
      <c r="K181" s="231"/>
      <c r="L181" s="37">
        <v>0</v>
      </c>
      <c r="M181" s="36"/>
      <c r="N181" s="19"/>
      <c r="O181" s="274"/>
      <c r="P181" s="231"/>
      <c r="Q181" s="37">
        <v>0</v>
      </c>
      <c r="R181" s="36"/>
      <c r="S181" s="19"/>
      <c r="T181" s="274"/>
      <c r="U181" s="231"/>
      <c r="V181" s="37">
        <v>0</v>
      </c>
      <c r="W181" s="36"/>
      <c r="X181" s="19"/>
      <c r="Y181" s="274"/>
      <c r="Z181" s="231"/>
      <c r="AA181" s="37">
        <v>0</v>
      </c>
      <c r="AB181" s="36"/>
      <c r="AC181" s="19"/>
      <c r="AD181" s="274"/>
      <c r="AE181" s="231"/>
      <c r="AF181" s="37">
        <v>0</v>
      </c>
      <c r="AG181" s="36"/>
      <c r="AH181" s="19"/>
      <c r="AI181" s="274"/>
      <c r="AJ181" s="231"/>
      <c r="AK181" s="37">
        <v>0</v>
      </c>
      <c r="AL181" s="36"/>
      <c r="AM181" s="19"/>
      <c r="AN181" s="274"/>
      <c r="AO181" s="231"/>
      <c r="AP181" s="37">
        <v>0</v>
      </c>
      <c r="AQ181" s="36"/>
      <c r="AR181" s="19"/>
      <c r="AS181" s="274"/>
      <c r="AT181" s="231"/>
      <c r="AU181" s="37">
        <v>0</v>
      </c>
      <c r="AV181" s="36"/>
      <c r="AW181" s="19"/>
      <c r="AX181" s="274"/>
      <c r="AY181" s="231"/>
      <c r="AZ181" s="37">
        <v>0</v>
      </c>
      <c r="BA181" s="36"/>
      <c r="BB181" s="19"/>
      <c r="BC181" s="274"/>
      <c r="BD181" s="231"/>
      <c r="BE181" s="37">
        <v>0</v>
      </c>
      <c r="BF181" s="36"/>
      <c r="BG181" s="19"/>
      <c r="BH181" s="274"/>
      <c r="BI181" s="231"/>
      <c r="BJ181" s="37">
        <v>0</v>
      </c>
      <c r="BK181" s="36"/>
      <c r="BL181" s="19"/>
      <c r="BM181" s="274"/>
      <c r="BN181" s="231"/>
      <c r="BO181" s="37">
        <v>0</v>
      </c>
      <c r="BP181" s="36"/>
      <c r="BQ181" s="19"/>
      <c r="BR181" s="274"/>
      <c r="BS181" s="231"/>
      <c r="BT181" s="37">
        <f>SUM(L181:BO181)</f>
        <v>0</v>
      </c>
      <c r="BU181" s="36"/>
      <c r="BV181" s="19"/>
      <c r="BW181" s="274"/>
      <c r="BX181" s="231"/>
      <c r="BY181" s="37">
        <v>0</v>
      </c>
      <c r="BZ181" s="36"/>
      <c r="CA181" s="19"/>
      <c r="CB181" s="274"/>
      <c r="CC181" s="231"/>
      <c r="CD181" s="37">
        <v>0</v>
      </c>
      <c r="CE181" s="36"/>
      <c r="CF181" s="19"/>
      <c r="CG181" s="274"/>
      <c r="CH181" s="231"/>
      <c r="CI181" s="37">
        <v>0</v>
      </c>
      <c r="CJ181" s="36"/>
      <c r="CK181" s="19"/>
      <c r="CL181" s="274"/>
      <c r="CM181" s="231"/>
      <c r="CN181" s="37">
        <v>0</v>
      </c>
      <c r="CO181" s="36"/>
      <c r="CP181" s="19"/>
      <c r="CQ181" s="274"/>
      <c r="CR181" s="231"/>
      <c r="CS181" s="37">
        <v>0</v>
      </c>
      <c r="CT181" s="36"/>
      <c r="CU181" s="19"/>
      <c r="CV181" s="274"/>
      <c r="CW181" s="231"/>
      <c r="CX181" s="37">
        <v>0</v>
      </c>
      <c r="CY181" s="36"/>
      <c r="CZ181" s="19"/>
      <c r="DA181" s="274"/>
      <c r="DB181" s="231"/>
      <c r="DC181" s="37">
        <v>0</v>
      </c>
      <c r="DD181" s="36"/>
      <c r="DE181" s="19"/>
      <c r="DF181" s="274"/>
      <c r="DG181" s="231"/>
      <c r="DH181" s="37">
        <v>0</v>
      </c>
      <c r="DI181" s="36"/>
      <c r="DJ181" s="19"/>
      <c r="DK181" s="274"/>
      <c r="DL181" s="231"/>
      <c r="DM181" s="37">
        <v>0</v>
      </c>
      <c r="DN181" s="36"/>
      <c r="DO181" s="19"/>
      <c r="DP181" s="274"/>
      <c r="DQ181" s="231"/>
      <c r="DR181" s="37">
        <v>0</v>
      </c>
      <c r="DS181" s="36"/>
      <c r="DT181" s="19"/>
      <c r="DU181" s="274"/>
      <c r="DV181" s="231"/>
      <c r="DW181" s="37">
        <v>0</v>
      </c>
      <c r="DX181" s="36"/>
      <c r="DY181" s="19"/>
      <c r="DZ181" s="274"/>
      <c r="EA181" s="231"/>
      <c r="EB181" s="37">
        <v>0</v>
      </c>
      <c r="EC181" s="36"/>
      <c r="ED181" s="19"/>
      <c r="EE181" s="274"/>
      <c r="EF181" s="231"/>
      <c r="EG181" s="37">
        <v>0</v>
      </c>
      <c r="EH181" s="36"/>
      <c r="EI181" s="19"/>
      <c r="EJ181" s="274"/>
      <c r="EK181" s="231"/>
      <c r="EL181" s="37">
        <f>SUM(CD181:EG181)</f>
        <v>0</v>
      </c>
      <c r="EM181" s="36"/>
      <c r="EN181" s="19"/>
      <c r="EO181" s="244"/>
    </row>
    <row r="182" spans="4:145" hidden="1" x14ac:dyDescent="0.2">
      <c r="D182" s="244"/>
      <c r="E182" s="82"/>
      <c r="G182" s="19"/>
      <c r="H182" s="19"/>
      <c r="I182" s="19"/>
      <c r="J182" s="274"/>
      <c r="K182" s="19"/>
      <c r="L182" s="19"/>
      <c r="M182" s="19"/>
      <c r="N182" s="19"/>
      <c r="O182" s="274"/>
      <c r="P182" s="19"/>
      <c r="Q182" s="19"/>
      <c r="R182" s="19"/>
      <c r="S182" s="19"/>
      <c r="T182" s="274"/>
      <c r="U182" s="19"/>
      <c r="V182" s="19"/>
      <c r="W182" s="19"/>
      <c r="X182" s="19"/>
      <c r="Y182" s="274"/>
      <c r="Z182" s="19"/>
      <c r="AA182" s="19"/>
      <c r="AB182" s="19"/>
      <c r="AC182" s="19"/>
      <c r="AD182" s="274"/>
      <c r="AE182" s="19"/>
      <c r="AF182" s="19"/>
      <c r="AG182" s="19"/>
      <c r="AH182" s="19"/>
      <c r="AI182" s="274"/>
      <c r="AJ182" s="19"/>
      <c r="AK182" s="19"/>
      <c r="AL182" s="19"/>
      <c r="AM182" s="19"/>
      <c r="AN182" s="274"/>
      <c r="AO182" s="19"/>
      <c r="AP182" s="19"/>
      <c r="AQ182" s="19"/>
      <c r="AR182" s="19"/>
      <c r="AS182" s="274"/>
      <c r="AT182" s="19"/>
      <c r="AU182" s="19"/>
      <c r="AV182" s="19"/>
      <c r="AW182" s="19"/>
      <c r="AX182" s="274"/>
      <c r="AY182" s="19"/>
      <c r="AZ182" s="19"/>
      <c r="BA182" s="19"/>
      <c r="BB182" s="19"/>
      <c r="BC182" s="274"/>
      <c r="BD182" s="19"/>
      <c r="BE182" s="19"/>
      <c r="BF182" s="19"/>
      <c r="BG182" s="19"/>
      <c r="BH182" s="274"/>
      <c r="BI182" s="19"/>
      <c r="BJ182" s="19"/>
      <c r="BK182" s="19"/>
      <c r="BL182" s="19"/>
      <c r="BM182" s="274"/>
      <c r="BN182" s="19"/>
      <c r="BO182" s="19"/>
      <c r="BP182" s="19"/>
      <c r="BQ182" s="19"/>
      <c r="BR182" s="274"/>
      <c r="BS182" s="19"/>
      <c r="BT182" s="19"/>
      <c r="BU182" s="19"/>
      <c r="BV182" s="19"/>
      <c r="BW182" s="274"/>
      <c r="BX182" s="19"/>
      <c r="BY182" s="19"/>
      <c r="BZ182" s="19"/>
      <c r="CA182" s="19"/>
      <c r="CB182" s="274"/>
      <c r="CC182" s="19"/>
      <c r="CD182" s="19"/>
      <c r="CE182" s="19"/>
      <c r="CF182" s="19"/>
      <c r="CG182" s="274"/>
      <c r="CH182" s="19"/>
      <c r="CI182" s="19"/>
      <c r="CJ182" s="19"/>
      <c r="CK182" s="19"/>
      <c r="CL182" s="274"/>
      <c r="CM182" s="19"/>
      <c r="CN182" s="19"/>
      <c r="CO182" s="19"/>
      <c r="CP182" s="19"/>
      <c r="CQ182" s="274"/>
      <c r="CR182" s="19"/>
      <c r="CS182" s="19"/>
      <c r="CT182" s="19"/>
      <c r="CU182" s="19"/>
      <c r="CV182" s="274"/>
      <c r="CW182" s="19"/>
      <c r="CX182" s="19"/>
      <c r="CY182" s="19"/>
      <c r="CZ182" s="19"/>
      <c r="DA182" s="274"/>
      <c r="DB182" s="19"/>
      <c r="DC182" s="19"/>
      <c r="DD182" s="19"/>
      <c r="DE182" s="19"/>
      <c r="DF182" s="274"/>
      <c r="DG182" s="19"/>
      <c r="DH182" s="19"/>
      <c r="DI182" s="19"/>
      <c r="DJ182" s="19"/>
      <c r="DK182" s="274"/>
      <c r="DL182" s="19"/>
      <c r="DM182" s="19"/>
      <c r="DN182" s="19"/>
      <c r="DO182" s="19"/>
      <c r="DP182" s="274"/>
      <c r="DQ182" s="19"/>
      <c r="DR182" s="19"/>
      <c r="DS182" s="19"/>
      <c r="DT182" s="19"/>
      <c r="DU182" s="274"/>
      <c r="DV182" s="19"/>
      <c r="DW182" s="19"/>
      <c r="DX182" s="19"/>
      <c r="DY182" s="19"/>
      <c r="DZ182" s="274"/>
      <c r="EA182" s="19"/>
      <c r="EB182" s="19"/>
      <c r="EC182" s="19"/>
      <c r="ED182" s="19"/>
      <c r="EE182" s="274"/>
      <c r="EF182" s="19"/>
      <c r="EG182" s="19"/>
      <c r="EH182" s="19"/>
      <c r="EI182" s="19"/>
      <c r="EJ182" s="274"/>
      <c r="EK182" s="19"/>
      <c r="EL182" s="19"/>
      <c r="EM182" s="19"/>
      <c r="EN182" s="19"/>
      <c r="EO182" s="244"/>
    </row>
    <row r="183" spans="4:145" hidden="1" x14ac:dyDescent="0.2">
      <c r="D183" s="244" t="s">
        <v>486</v>
      </c>
      <c r="E183" s="82"/>
      <c r="G183" s="19">
        <f>SUM(G184:G185)</f>
        <v>0</v>
      </c>
      <c r="H183" s="19"/>
      <c r="I183" s="19"/>
      <c r="J183" s="274"/>
      <c r="K183" s="19"/>
      <c r="L183" s="19">
        <f>SUM(L184:L185)</f>
        <v>0</v>
      </c>
      <c r="M183" s="19"/>
      <c r="N183" s="19"/>
      <c r="O183" s="274"/>
      <c r="P183" s="19"/>
      <c r="Q183" s="19">
        <f>SUM(Q184:Q185)</f>
        <v>0</v>
      </c>
      <c r="R183" s="19"/>
      <c r="S183" s="19"/>
      <c r="T183" s="274"/>
      <c r="U183" s="19"/>
      <c r="V183" s="19">
        <f>SUM(V184:V185)</f>
        <v>0</v>
      </c>
      <c r="W183" s="19"/>
      <c r="X183" s="19"/>
      <c r="Y183" s="274"/>
      <c r="Z183" s="19"/>
      <c r="AA183" s="19">
        <f>SUM(AA184:AA185)</f>
        <v>0</v>
      </c>
      <c r="AB183" s="19"/>
      <c r="AC183" s="19"/>
      <c r="AD183" s="274"/>
      <c r="AE183" s="19"/>
      <c r="AF183" s="19">
        <f>SUM(AF184:AF185)</f>
        <v>0</v>
      </c>
      <c r="AG183" s="19"/>
      <c r="AH183" s="19"/>
      <c r="AI183" s="274"/>
      <c r="AJ183" s="19"/>
      <c r="AK183" s="19">
        <f>SUM(AK184:AK185)</f>
        <v>0</v>
      </c>
      <c r="AL183" s="19"/>
      <c r="AM183" s="19"/>
      <c r="AN183" s="274"/>
      <c r="AO183" s="19"/>
      <c r="AP183" s="19">
        <f>SUM(AP184:AP185)</f>
        <v>0</v>
      </c>
      <c r="AQ183" s="19"/>
      <c r="AR183" s="19"/>
      <c r="AS183" s="274"/>
      <c r="AT183" s="19"/>
      <c r="AU183" s="19">
        <f>SUM(AU184:AU185)</f>
        <v>0</v>
      </c>
      <c r="AV183" s="19"/>
      <c r="AW183" s="19"/>
      <c r="AX183" s="274"/>
      <c r="AY183" s="19"/>
      <c r="AZ183" s="19">
        <f>SUM(AZ184:AZ185)</f>
        <v>0</v>
      </c>
      <c r="BA183" s="19"/>
      <c r="BB183" s="19"/>
      <c r="BC183" s="274"/>
      <c r="BD183" s="19"/>
      <c r="BE183" s="19">
        <f>SUM(BE184:BE185)</f>
        <v>0</v>
      </c>
      <c r="BF183" s="19"/>
      <c r="BG183" s="19"/>
      <c r="BH183" s="274"/>
      <c r="BI183" s="19"/>
      <c r="BJ183" s="19">
        <f>SUM(BJ184:BJ185)</f>
        <v>0</v>
      </c>
      <c r="BK183" s="19"/>
      <c r="BL183" s="19"/>
      <c r="BM183" s="274"/>
      <c r="BN183" s="19"/>
      <c r="BO183" s="19">
        <f>SUM(BO184:BO185)</f>
        <v>0</v>
      </c>
      <c r="BP183" s="19"/>
      <c r="BQ183" s="19"/>
      <c r="BR183" s="274"/>
      <c r="BS183" s="19"/>
      <c r="BT183" s="19">
        <f>SUM(BT184:BT185)</f>
        <v>0</v>
      </c>
      <c r="BU183" s="19"/>
      <c r="BV183" s="19"/>
      <c r="BW183" s="274"/>
      <c r="BX183" s="19"/>
      <c r="BY183" s="19">
        <f>SUM(BY184:BY185)</f>
        <v>0</v>
      </c>
      <c r="BZ183" s="19"/>
      <c r="CA183" s="19"/>
      <c r="CB183" s="274"/>
      <c r="CC183" s="19"/>
      <c r="CD183" s="19">
        <f>SUM(CD184:CD185)</f>
        <v>0</v>
      </c>
      <c r="CE183" s="19"/>
      <c r="CF183" s="19"/>
      <c r="CG183" s="274"/>
      <c r="CH183" s="19"/>
      <c r="CI183" s="19">
        <f>SUM(CI184:CI185)</f>
        <v>0</v>
      </c>
      <c r="CJ183" s="19"/>
      <c r="CK183" s="19"/>
      <c r="CL183" s="274"/>
      <c r="CM183" s="19"/>
      <c r="CN183" s="19">
        <f>SUM(CN184:CN185)</f>
        <v>0</v>
      </c>
      <c r="CO183" s="19"/>
      <c r="CP183" s="19"/>
      <c r="CQ183" s="274"/>
      <c r="CR183" s="19"/>
      <c r="CS183" s="19">
        <f>SUM(CS184:CS185)</f>
        <v>0</v>
      </c>
      <c r="CT183" s="19"/>
      <c r="CU183" s="19"/>
      <c r="CV183" s="274"/>
      <c r="CW183" s="19"/>
      <c r="CX183" s="19">
        <f>SUM(CX184:CX185)</f>
        <v>0</v>
      </c>
      <c r="CY183" s="19"/>
      <c r="CZ183" s="19"/>
      <c r="DA183" s="274"/>
      <c r="DB183" s="19"/>
      <c r="DC183" s="19">
        <f>SUM(DC184:DC185)</f>
        <v>0</v>
      </c>
      <c r="DD183" s="19"/>
      <c r="DE183" s="19"/>
      <c r="DF183" s="274"/>
      <c r="DG183" s="19"/>
      <c r="DH183" s="19">
        <f>SUM(DH184:DH185)</f>
        <v>0</v>
      </c>
      <c r="DI183" s="19"/>
      <c r="DJ183" s="19"/>
      <c r="DK183" s="274"/>
      <c r="DL183" s="19"/>
      <c r="DM183" s="19">
        <f>SUM(DM184:DM185)</f>
        <v>0</v>
      </c>
      <c r="DN183" s="19"/>
      <c r="DO183" s="19"/>
      <c r="DP183" s="274"/>
      <c r="DQ183" s="19"/>
      <c r="DR183" s="19">
        <f>SUM(DR184:DR185)</f>
        <v>0</v>
      </c>
      <c r="DS183" s="19"/>
      <c r="DT183" s="19"/>
      <c r="DU183" s="274"/>
      <c r="DV183" s="19"/>
      <c r="DW183" s="19">
        <f>SUM(DW184:DW185)</f>
        <v>0</v>
      </c>
      <c r="DX183" s="19"/>
      <c r="DY183" s="19"/>
      <c r="DZ183" s="274"/>
      <c r="EA183" s="19"/>
      <c r="EB183" s="19">
        <f>SUM(EB184:EB185)</f>
        <v>0</v>
      </c>
      <c r="EC183" s="19"/>
      <c r="ED183" s="19"/>
      <c r="EE183" s="274"/>
      <c r="EF183" s="19"/>
      <c r="EG183" s="19">
        <f>SUM(EG184:EG185)</f>
        <v>0</v>
      </c>
      <c r="EH183" s="19"/>
      <c r="EI183" s="19"/>
      <c r="EJ183" s="274"/>
      <c r="EK183" s="19"/>
      <c r="EL183" s="19">
        <f>SUM(EL184:EL185)</f>
        <v>0</v>
      </c>
      <c r="EM183" s="19"/>
      <c r="EN183" s="19"/>
      <c r="EO183" s="244"/>
    </row>
    <row r="184" spans="4:145" hidden="1" x14ac:dyDescent="0.2">
      <c r="D184" s="244" t="s">
        <v>466</v>
      </c>
      <c r="E184" s="82"/>
      <c r="F184" s="112"/>
      <c r="G184" s="374">
        <v>0</v>
      </c>
      <c r="H184" s="475"/>
      <c r="I184" s="19"/>
      <c r="J184" s="274"/>
      <c r="K184" s="173"/>
      <c r="L184" s="374">
        <v>0</v>
      </c>
      <c r="M184" s="475"/>
      <c r="N184" s="19"/>
      <c r="O184" s="274"/>
      <c r="P184" s="173"/>
      <c r="Q184" s="374">
        <v>0</v>
      </c>
      <c r="R184" s="475"/>
      <c r="S184" s="19"/>
      <c r="T184" s="274"/>
      <c r="U184" s="173"/>
      <c r="V184" s="374">
        <v>0</v>
      </c>
      <c r="W184" s="475"/>
      <c r="X184" s="19"/>
      <c r="Y184" s="274"/>
      <c r="Z184" s="173"/>
      <c r="AA184" s="374">
        <v>0</v>
      </c>
      <c r="AB184" s="475"/>
      <c r="AC184" s="19"/>
      <c r="AD184" s="274"/>
      <c r="AE184" s="173"/>
      <c r="AF184" s="374">
        <v>0</v>
      </c>
      <c r="AG184" s="475"/>
      <c r="AH184" s="19"/>
      <c r="AI184" s="274"/>
      <c r="AJ184" s="173"/>
      <c r="AK184" s="374">
        <v>0</v>
      </c>
      <c r="AL184" s="475"/>
      <c r="AM184" s="19"/>
      <c r="AN184" s="274"/>
      <c r="AO184" s="173"/>
      <c r="AP184" s="374">
        <v>0</v>
      </c>
      <c r="AQ184" s="475"/>
      <c r="AR184" s="19"/>
      <c r="AS184" s="274"/>
      <c r="AT184" s="173"/>
      <c r="AU184" s="374">
        <v>0</v>
      </c>
      <c r="AV184" s="475"/>
      <c r="AW184" s="19"/>
      <c r="AX184" s="274"/>
      <c r="AY184" s="173"/>
      <c r="AZ184" s="374">
        <v>0</v>
      </c>
      <c r="BA184" s="475"/>
      <c r="BB184" s="19"/>
      <c r="BC184" s="274"/>
      <c r="BD184" s="173"/>
      <c r="BE184" s="374">
        <v>0</v>
      </c>
      <c r="BF184" s="475"/>
      <c r="BG184" s="19"/>
      <c r="BH184" s="274"/>
      <c r="BI184" s="173"/>
      <c r="BJ184" s="374">
        <v>0</v>
      </c>
      <c r="BK184" s="475"/>
      <c r="BL184" s="19"/>
      <c r="BM184" s="274"/>
      <c r="BN184" s="173"/>
      <c r="BO184" s="374">
        <v>0</v>
      </c>
      <c r="BP184" s="475"/>
      <c r="BQ184" s="19"/>
      <c r="BR184" s="274"/>
      <c r="BS184" s="173"/>
      <c r="BT184" s="374">
        <f>SUM(L184:BO184)</f>
        <v>0</v>
      </c>
      <c r="BU184" s="475"/>
      <c r="BV184" s="19"/>
      <c r="BW184" s="274"/>
      <c r="BX184" s="173"/>
      <c r="BY184" s="374">
        <v>0</v>
      </c>
      <c r="BZ184" s="475"/>
      <c r="CA184" s="19"/>
      <c r="CB184" s="274"/>
      <c r="CC184" s="173"/>
      <c r="CD184" s="374">
        <v>0</v>
      </c>
      <c r="CE184" s="475"/>
      <c r="CF184" s="19"/>
      <c r="CG184" s="274"/>
      <c r="CH184" s="173"/>
      <c r="CI184" s="374">
        <v>0</v>
      </c>
      <c r="CJ184" s="475"/>
      <c r="CK184" s="19"/>
      <c r="CL184" s="274"/>
      <c r="CM184" s="173"/>
      <c r="CN184" s="374">
        <v>0</v>
      </c>
      <c r="CO184" s="475"/>
      <c r="CP184" s="19"/>
      <c r="CQ184" s="274"/>
      <c r="CR184" s="173"/>
      <c r="CS184" s="374">
        <v>0</v>
      </c>
      <c r="CT184" s="475"/>
      <c r="CU184" s="19"/>
      <c r="CV184" s="274"/>
      <c r="CW184" s="173"/>
      <c r="CX184" s="374">
        <v>0</v>
      </c>
      <c r="CY184" s="475"/>
      <c r="CZ184" s="19"/>
      <c r="DA184" s="274"/>
      <c r="DB184" s="173"/>
      <c r="DC184" s="374">
        <v>0</v>
      </c>
      <c r="DD184" s="475"/>
      <c r="DE184" s="19"/>
      <c r="DF184" s="274"/>
      <c r="DG184" s="173"/>
      <c r="DH184" s="374">
        <v>0</v>
      </c>
      <c r="DI184" s="475"/>
      <c r="DJ184" s="19"/>
      <c r="DK184" s="274"/>
      <c r="DL184" s="173"/>
      <c r="DM184" s="374">
        <v>0</v>
      </c>
      <c r="DN184" s="475"/>
      <c r="DO184" s="19"/>
      <c r="DP184" s="274"/>
      <c r="DQ184" s="173"/>
      <c r="DR184" s="374">
        <v>0</v>
      </c>
      <c r="DS184" s="475"/>
      <c r="DT184" s="19"/>
      <c r="DU184" s="274"/>
      <c r="DV184" s="173"/>
      <c r="DW184" s="374">
        <v>0</v>
      </c>
      <c r="DX184" s="475"/>
      <c r="DY184" s="19"/>
      <c r="DZ184" s="274"/>
      <c r="EA184" s="173"/>
      <c r="EB184" s="374">
        <v>0</v>
      </c>
      <c r="EC184" s="475"/>
      <c r="ED184" s="19"/>
      <c r="EE184" s="274"/>
      <c r="EF184" s="173"/>
      <c r="EG184" s="374">
        <v>0</v>
      </c>
      <c r="EH184" s="475"/>
      <c r="EI184" s="19"/>
      <c r="EJ184" s="274"/>
      <c r="EK184" s="173"/>
      <c r="EL184" s="374">
        <f>SUM(CD184:EG184)</f>
        <v>0</v>
      </c>
      <c r="EM184" s="475"/>
      <c r="EN184" s="19"/>
      <c r="EO184" s="244"/>
    </row>
    <row r="185" spans="4:145" hidden="1" x14ac:dyDescent="0.2">
      <c r="D185" s="244" t="s">
        <v>467</v>
      </c>
      <c r="E185" s="82"/>
      <c r="F185" s="276"/>
      <c r="G185" s="37">
        <v>0</v>
      </c>
      <c r="H185" s="36"/>
      <c r="I185" s="19"/>
      <c r="J185" s="274"/>
      <c r="K185" s="231"/>
      <c r="L185" s="37">
        <v>0</v>
      </c>
      <c r="M185" s="36"/>
      <c r="N185" s="19"/>
      <c r="O185" s="274"/>
      <c r="P185" s="231"/>
      <c r="Q185" s="37">
        <v>0</v>
      </c>
      <c r="R185" s="36"/>
      <c r="S185" s="19"/>
      <c r="T185" s="274"/>
      <c r="U185" s="231"/>
      <c r="V185" s="37">
        <v>0</v>
      </c>
      <c r="W185" s="36"/>
      <c r="X185" s="19"/>
      <c r="Y185" s="274"/>
      <c r="Z185" s="231"/>
      <c r="AA185" s="37">
        <v>0</v>
      </c>
      <c r="AB185" s="36"/>
      <c r="AC185" s="19"/>
      <c r="AD185" s="274"/>
      <c r="AE185" s="231"/>
      <c r="AF185" s="37">
        <v>0</v>
      </c>
      <c r="AG185" s="36"/>
      <c r="AH185" s="19"/>
      <c r="AI185" s="274"/>
      <c r="AJ185" s="231"/>
      <c r="AK185" s="37">
        <v>0</v>
      </c>
      <c r="AL185" s="36"/>
      <c r="AM185" s="19"/>
      <c r="AN185" s="274"/>
      <c r="AO185" s="231"/>
      <c r="AP185" s="37">
        <v>0</v>
      </c>
      <c r="AQ185" s="36"/>
      <c r="AR185" s="19"/>
      <c r="AS185" s="274"/>
      <c r="AT185" s="231"/>
      <c r="AU185" s="37">
        <v>0</v>
      </c>
      <c r="AV185" s="36"/>
      <c r="AW185" s="19"/>
      <c r="AX185" s="274"/>
      <c r="AY185" s="231"/>
      <c r="AZ185" s="37">
        <v>0</v>
      </c>
      <c r="BA185" s="36"/>
      <c r="BB185" s="19"/>
      <c r="BC185" s="274"/>
      <c r="BD185" s="231"/>
      <c r="BE185" s="37">
        <v>0</v>
      </c>
      <c r="BF185" s="36"/>
      <c r="BG185" s="19"/>
      <c r="BH185" s="274"/>
      <c r="BI185" s="231"/>
      <c r="BJ185" s="37">
        <v>0</v>
      </c>
      <c r="BK185" s="36"/>
      <c r="BL185" s="19"/>
      <c r="BM185" s="274"/>
      <c r="BN185" s="231"/>
      <c r="BO185" s="37">
        <v>0</v>
      </c>
      <c r="BP185" s="36"/>
      <c r="BQ185" s="19"/>
      <c r="BR185" s="274"/>
      <c r="BS185" s="231"/>
      <c r="BT185" s="37">
        <f>SUM(L185:BO185)</f>
        <v>0</v>
      </c>
      <c r="BU185" s="36"/>
      <c r="BV185" s="19"/>
      <c r="BW185" s="274"/>
      <c r="BX185" s="231"/>
      <c r="BY185" s="37">
        <v>0</v>
      </c>
      <c r="BZ185" s="36"/>
      <c r="CA185" s="19"/>
      <c r="CB185" s="274"/>
      <c r="CC185" s="231"/>
      <c r="CD185" s="37">
        <v>0</v>
      </c>
      <c r="CE185" s="36"/>
      <c r="CF185" s="19"/>
      <c r="CG185" s="274"/>
      <c r="CH185" s="231"/>
      <c r="CI185" s="37">
        <v>0</v>
      </c>
      <c r="CJ185" s="36"/>
      <c r="CK185" s="19"/>
      <c r="CL185" s="274"/>
      <c r="CM185" s="231"/>
      <c r="CN185" s="37">
        <v>0</v>
      </c>
      <c r="CO185" s="36"/>
      <c r="CP185" s="19"/>
      <c r="CQ185" s="274"/>
      <c r="CR185" s="231"/>
      <c r="CS185" s="37">
        <v>0</v>
      </c>
      <c r="CT185" s="36"/>
      <c r="CU185" s="19"/>
      <c r="CV185" s="274"/>
      <c r="CW185" s="231"/>
      <c r="CX185" s="37">
        <v>0</v>
      </c>
      <c r="CY185" s="36"/>
      <c r="CZ185" s="19"/>
      <c r="DA185" s="274"/>
      <c r="DB185" s="231"/>
      <c r="DC185" s="37">
        <v>0</v>
      </c>
      <c r="DD185" s="36"/>
      <c r="DE185" s="19"/>
      <c r="DF185" s="274"/>
      <c r="DG185" s="231"/>
      <c r="DH185" s="37">
        <v>0</v>
      </c>
      <c r="DI185" s="36"/>
      <c r="DJ185" s="19"/>
      <c r="DK185" s="274"/>
      <c r="DL185" s="231"/>
      <c r="DM185" s="37">
        <v>0</v>
      </c>
      <c r="DN185" s="36"/>
      <c r="DO185" s="19"/>
      <c r="DP185" s="274"/>
      <c r="DQ185" s="231"/>
      <c r="DR185" s="37">
        <v>0</v>
      </c>
      <c r="DS185" s="36"/>
      <c r="DT185" s="19"/>
      <c r="DU185" s="274"/>
      <c r="DV185" s="231"/>
      <c r="DW185" s="37">
        <v>0</v>
      </c>
      <c r="DX185" s="36"/>
      <c r="DY185" s="19"/>
      <c r="DZ185" s="274"/>
      <c r="EA185" s="231"/>
      <c r="EB185" s="37">
        <v>0</v>
      </c>
      <c r="EC185" s="36"/>
      <c r="ED185" s="19"/>
      <c r="EE185" s="274"/>
      <c r="EF185" s="231"/>
      <c r="EG185" s="37">
        <v>0</v>
      </c>
      <c r="EH185" s="36"/>
      <c r="EI185" s="19"/>
      <c r="EJ185" s="274"/>
      <c r="EK185" s="231"/>
      <c r="EL185" s="37">
        <f>SUM(CD185:EG185)</f>
        <v>0</v>
      </c>
      <c r="EM185" s="36"/>
      <c r="EN185" s="19"/>
      <c r="EO185" s="244"/>
    </row>
    <row r="186" spans="4:145" hidden="1" x14ac:dyDescent="0.2">
      <c r="D186" s="244"/>
      <c r="E186" s="82"/>
      <c r="G186" s="19"/>
      <c r="H186" s="19"/>
      <c r="I186" s="19"/>
      <c r="J186" s="274"/>
      <c r="K186" s="19"/>
      <c r="L186" s="19"/>
      <c r="M186" s="19"/>
      <c r="N186" s="19"/>
      <c r="O186" s="274"/>
      <c r="P186" s="19"/>
      <c r="Q186" s="19"/>
      <c r="R186" s="19"/>
      <c r="S186" s="19"/>
      <c r="T186" s="274"/>
      <c r="U186" s="19"/>
      <c r="V186" s="19"/>
      <c r="W186" s="19"/>
      <c r="X186" s="19"/>
      <c r="Y186" s="274"/>
      <c r="Z186" s="19"/>
      <c r="AA186" s="19"/>
      <c r="AB186" s="19"/>
      <c r="AC186" s="19"/>
      <c r="AD186" s="274"/>
      <c r="AE186" s="19"/>
      <c r="AF186" s="19"/>
      <c r="AG186" s="19"/>
      <c r="AH186" s="19"/>
      <c r="AI186" s="274"/>
      <c r="AJ186" s="19"/>
      <c r="AK186" s="19"/>
      <c r="AL186" s="19"/>
      <c r="AM186" s="19"/>
      <c r="AN186" s="274"/>
      <c r="AO186" s="19"/>
      <c r="AP186" s="19"/>
      <c r="AQ186" s="19"/>
      <c r="AR186" s="19"/>
      <c r="AS186" s="274"/>
      <c r="AT186" s="19"/>
      <c r="AU186" s="19"/>
      <c r="AV186" s="19"/>
      <c r="AW186" s="19"/>
      <c r="AX186" s="274"/>
      <c r="AY186" s="19"/>
      <c r="AZ186" s="19"/>
      <c r="BA186" s="19"/>
      <c r="BB186" s="19"/>
      <c r="BC186" s="274"/>
      <c r="BD186" s="19"/>
      <c r="BE186" s="19"/>
      <c r="BF186" s="19"/>
      <c r="BG186" s="19"/>
      <c r="BH186" s="274"/>
      <c r="BI186" s="19"/>
      <c r="BJ186" s="19"/>
      <c r="BK186" s="19"/>
      <c r="BL186" s="19"/>
      <c r="BM186" s="274"/>
      <c r="BN186" s="19"/>
      <c r="BO186" s="19"/>
      <c r="BP186" s="19"/>
      <c r="BQ186" s="19"/>
      <c r="BR186" s="274"/>
      <c r="BS186" s="19"/>
      <c r="BT186" s="19"/>
      <c r="BU186" s="19"/>
      <c r="BV186" s="19"/>
      <c r="BW186" s="274"/>
      <c r="BX186" s="19"/>
      <c r="BY186" s="19"/>
      <c r="BZ186" s="19"/>
      <c r="CA186" s="19"/>
      <c r="CB186" s="274"/>
      <c r="CC186" s="19"/>
      <c r="CD186" s="19"/>
      <c r="CE186" s="19"/>
      <c r="CF186" s="19"/>
      <c r="CG186" s="274"/>
      <c r="CH186" s="19"/>
      <c r="CI186" s="19"/>
      <c r="CJ186" s="19"/>
      <c r="CK186" s="19"/>
      <c r="CL186" s="274"/>
      <c r="CM186" s="19"/>
      <c r="CN186" s="19"/>
      <c r="CO186" s="19"/>
      <c r="CP186" s="19"/>
      <c r="CQ186" s="274"/>
      <c r="CR186" s="19"/>
      <c r="CS186" s="19"/>
      <c r="CT186" s="19"/>
      <c r="CU186" s="19"/>
      <c r="CV186" s="274"/>
      <c r="CW186" s="19"/>
      <c r="CX186" s="19"/>
      <c r="CY186" s="19"/>
      <c r="CZ186" s="19"/>
      <c r="DA186" s="274"/>
      <c r="DB186" s="19"/>
      <c r="DC186" s="19"/>
      <c r="DD186" s="19"/>
      <c r="DE186" s="19"/>
      <c r="DF186" s="274"/>
      <c r="DG186" s="19"/>
      <c r="DH186" s="19"/>
      <c r="DI186" s="19"/>
      <c r="DJ186" s="19"/>
      <c r="DK186" s="274"/>
      <c r="DL186" s="19"/>
      <c r="DM186" s="19"/>
      <c r="DN186" s="19"/>
      <c r="DO186" s="19"/>
      <c r="DP186" s="274"/>
      <c r="DQ186" s="19"/>
      <c r="DR186" s="19"/>
      <c r="DS186" s="19"/>
      <c r="DT186" s="19"/>
      <c r="DU186" s="274"/>
      <c r="DV186" s="19"/>
      <c r="DW186" s="19"/>
      <c r="DX186" s="19"/>
      <c r="DY186" s="19"/>
      <c r="DZ186" s="274"/>
      <c r="EA186" s="19"/>
      <c r="EB186" s="19"/>
      <c r="EC186" s="19"/>
      <c r="ED186" s="19"/>
      <c r="EE186" s="274"/>
      <c r="EF186" s="19"/>
      <c r="EG186" s="19"/>
      <c r="EH186" s="19"/>
      <c r="EI186" s="19"/>
      <c r="EJ186" s="274"/>
      <c r="EK186" s="19"/>
      <c r="EL186" s="19"/>
      <c r="EM186" s="19"/>
      <c r="EN186" s="19"/>
      <c r="EO186" s="244"/>
    </row>
    <row r="187" spans="4:145" x14ac:dyDescent="0.2">
      <c r="D187" s="77"/>
      <c r="E187" s="361"/>
      <c r="F187" s="90"/>
      <c r="G187" s="40"/>
      <c r="H187" s="40"/>
      <c r="I187" s="40"/>
      <c r="J187" s="461"/>
      <c r="K187" s="40"/>
      <c r="L187" s="40"/>
      <c r="M187" s="40"/>
      <c r="N187" s="40"/>
      <c r="O187" s="461"/>
      <c r="P187" s="40"/>
      <c r="Q187" s="40"/>
      <c r="R187" s="40"/>
      <c r="S187" s="40"/>
      <c r="T187" s="461"/>
      <c r="U187" s="40"/>
      <c r="V187" s="40"/>
      <c r="W187" s="40"/>
      <c r="X187" s="40"/>
      <c r="Y187" s="461"/>
      <c r="Z187" s="40"/>
      <c r="AA187" s="40"/>
      <c r="AB187" s="40"/>
      <c r="AC187" s="40"/>
      <c r="AD187" s="461"/>
      <c r="AE187" s="40"/>
      <c r="AF187" s="40"/>
      <c r="AG187" s="40"/>
      <c r="AH187" s="40"/>
      <c r="AI187" s="461"/>
      <c r="AJ187" s="40"/>
      <c r="AK187" s="40"/>
      <c r="AL187" s="40"/>
      <c r="AM187" s="40"/>
      <c r="AN187" s="461"/>
      <c r="AO187" s="40"/>
      <c r="AP187" s="40"/>
      <c r="AQ187" s="40"/>
      <c r="AR187" s="40"/>
      <c r="AS187" s="461"/>
      <c r="AT187" s="40"/>
      <c r="AU187" s="40"/>
      <c r="AV187" s="40"/>
      <c r="AW187" s="40"/>
      <c r="AX187" s="461"/>
      <c r="AY187" s="40"/>
      <c r="AZ187" s="40"/>
      <c r="BA187" s="40"/>
      <c r="BB187" s="40"/>
      <c r="BC187" s="461"/>
      <c r="BD187" s="40"/>
      <c r="BE187" s="40"/>
      <c r="BF187" s="40"/>
      <c r="BG187" s="40"/>
      <c r="BH187" s="461"/>
      <c r="BI187" s="40"/>
      <c r="BJ187" s="40"/>
      <c r="BK187" s="40"/>
      <c r="BL187" s="40"/>
      <c r="BM187" s="461"/>
      <c r="BN187" s="40"/>
      <c r="BO187" s="40"/>
      <c r="BP187" s="40"/>
      <c r="BQ187" s="40"/>
      <c r="BR187" s="461"/>
      <c r="BS187" s="40"/>
      <c r="BT187" s="40"/>
      <c r="BU187" s="40"/>
      <c r="BV187" s="40"/>
      <c r="BW187" s="461"/>
      <c r="BX187" s="40"/>
      <c r="BY187" s="40"/>
      <c r="BZ187" s="40"/>
      <c r="CA187" s="40"/>
      <c r="CB187" s="461"/>
      <c r="CC187" s="40"/>
      <c r="CD187" s="40"/>
      <c r="CE187" s="40"/>
      <c r="CF187" s="40"/>
      <c r="CG187" s="461"/>
      <c r="CH187" s="40"/>
      <c r="CI187" s="40"/>
      <c r="CJ187" s="40"/>
      <c r="CK187" s="40"/>
      <c r="CL187" s="461"/>
      <c r="CM187" s="40"/>
      <c r="CN187" s="40"/>
      <c r="CO187" s="40"/>
      <c r="CP187" s="40"/>
      <c r="CQ187" s="461"/>
      <c r="CR187" s="40"/>
      <c r="CS187" s="40"/>
      <c r="CT187" s="40"/>
      <c r="CU187" s="40"/>
      <c r="CV187" s="461"/>
      <c r="CW187" s="40"/>
      <c r="CX187" s="40"/>
      <c r="CY187" s="40"/>
      <c r="CZ187" s="40"/>
      <c r="DA187" s="461"/>
      <c r="DB187" s="40"/>
      <c r="DC187" s="40"/>
      <c r="DD187" s="40"/>
      <c r="DE187" s="40"/>
      <c r="DF187" s="461"/>
      <c r="DG187" s="40"/>
      <c r="DH187" s="40"/>
      <c r="DI187" s="40"/>
      <c r="DJ187" s="40"/>
      <c r="DK187" s="461"/>
      <c r="DL187" s="40"/>
      <c r="DM187" s="40"/>
      <c r="DN187" s="40"/>
      <c r="DO187" s="40"/>
      <c r="DP187" s="461"/>
      <c r="DQ187" s="40"/>
      <c r="DR187" s="40"/>
      <c r="DS187" s="40"/>
      <c r="DT187" s="40"/>
      <c r="DU187" s="461"/>
      <c r="DV187" s="40"/>
      <c r="DW187" s="40"/>
      <c r="DX187" s="40"/>
      <c r="DY187" s="40"/>
      <c r="DZ187" s="461"/>
      <c r="EA187" s="40"/>
      <c r="EB187" s="40"/>
      <c r="EC187" s="40"/>
      <c r="ED187" s="40"/>
      <c r="EE187" s="461"/>
      <c r="EF187" s="40"/>
      <c r="EG187" s="40"/>
      <c r="EH187" s="40"/>
      <c r="EI187" s="40"/>
      <c r="EJ187" s="461"/>
      <c r="EK187" s="40"/>
      <c r="EL187" s="40"/>
      <c r="EM187" s="40"/>
      <c r="EN187" s="41"/>
      <c r="EO187" s="244"/>
    </row>
    <row r="188" spans="4:145" x14ac:dyDescent="0.2">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19"/>
      <c r="BW188" s="19"/>
      <c r="BX188" s="19"/>
      <c r="BY188" s="19"/>
      <c r="BZ188" s="19"/>
      <c r="CA188" s="19"/>
      <c r="CB188" s="19"/>
      <c r="CC188" s="19"/>
      <c r="CD188" s="19"/>
      <c r="CE188" s="19"/>
      <c r="CF188" s="19"/>
      <c r="CG188" s="19"/>
      <c r="CH188" s="19"/>
      <c r="CI188" s="19"/>
      <c r="CJ188" s="19"/>
      <c r="CK188" s="19"/>
      <c r="CL188" s="19"/>
      <c r="CM188" s="19"/>
      <c r="CN188" s="19"/>
      <c r="CO188" s="19"/>
      <c r="CP188" s="19"/>
      <c r="CQ188" s="19"/>
      <c r="CR188" s="19"/>
      <c r="CS188" s="19"/>
      <c r="CT188" s="19"/>
      <c r="CU188" s="19"/>
      <c r="CV188" s="19"/>
      <c r="CW188" s="19"/>
      <c r="CX188" s="19"/>
      <c r="CY188" s="19"/>
      <c r="CZ188" s="19"/>
      <c r="DA188" s="19"/>
      <c r="DB188" s="19"/>
      <c r="DC188" s="19"/>
      <c r="DD188" s="19"/>
      <c r="DE188" s="19"/>
      <c r="DF188" s="19"/>
      <c r="DG188" s="19"/>
      <c r="DH188" s="19"/>
      <c r="DI188" s="19"/>
      <c r="DJ188" s="19"/>
      <c r="DK188" s="19"/>
      <c r="DL188" s="19"/>
      <c r="DM188" s="19"/>
      <c r="DN188" s="19"/>
      <c r="DO188" s="19"/>
      <c r="DP188" s="19"/>
      <c r="DQ188" s="19"/>
      <c r="DR188" s="19"/>
      <c r="DS188" s="19"/>
      <c r="DT188" s="19"/>
      <c r="DU188" s="19"/>
      <c r="DV188" s="19"/>
      <c r="DW188" s="19"/>
      <c r="DX188" s="19"/>
      <c r="DY188" s="19"/>
      <c r="DZ188" s="19"/>
      <c r="EA188" s="19"/>
      <c r="EB188" s="19"/>
      <c r="EC188" s="19"/>
      <c r="ED188" s="19"/>
      <c r="EE188" s="19"/>
      <c r="EF188" s="19"/>
      <c r="EG188" s="19"/>
      <c r="EH188" s="19"/>
      <c r="EI188" s="19"/>
      <c r="EJ188" s="19"/>
      <c r="EK188" s="19"/>
      <c r="EL188" s="19"/>
      <c r="EM188" s="19"/>
      <c r="EN188" s="19"/>
    </row>
    <row r="189" spans="4:145" ht="6" customHeight="1" x14ac:dyDescent="0.2">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19"/>
      <c r="BW189" s="19"/>
      <c r="BX189" s="19"/>
      <c r="BY189" s="19"/>
      <c r="BZ189" s="19"/>
      <c r="CA189" s="19"/>
      <c r="CB189" s="19"/>
      <c r="CC189" s="19"/>
      <c r="CD189" s="19"/>
      <c r="CE189" s="19"/>
      <c r="CF189" s="19"/>
      <c r="CG189" s="19"/>
      <c r="CH189" s="19"/>
      <c r="CI189" s="19"/>
      <c r="CJ189" s="19"/>
      <c r="CK189" s="19"/>
      <c r="CL189" s="19"/>
      <c r="CM189" s="19"/>
      <c r="CN189" s="19"/>
      <c r="CO189" s="19"/>
      <c r="CP189" s="19"/>
      <c r="CQ189" s="19"/>
      <c r="CR189" s="19"/>
      <c r="CS189" s="19"/>
      <c r="CT189" s="19"/>
      <c r="CU189" s="19"/>
      <c r="CV189" s="19"/>
      <c r="CW189" s="19"/>
      <c r="CX189" s="19"/>
      <c r="CY189" s="19"/>
      <c r="CZ189" s="19"/>
      <c r="DA189" s="19"/>
      <c r="DB189" s="19"/>
      <c r="DC189" s="19"/>
      <c r="DD189" s="19"/>
      <c r="DE189" s="19"/>
      <c r="DF189" s="19"/>
      <c r="DG189" s="19"/>
      <c r="DH189" s="19"/>
      <c r="DI189" s="19"/>
      <c r="DJ189" s="19"/>
      <c r="DK189" s="19"/>
      <c r="DL189" s="19"/>
      <c r="DM189" s="19"/>
      <c r="DN189" s="19"/>
      <c r="DO189" s="19"/>
      <c r="DP189" s="19"/>
      <c r="DQ189" s="19"/>
      <c r="DR189" s="19"/>
      <c r="DS189" s="19"/>
      <c r="DT189" s="19"/>
      <c r="DU189" s="19"/>
      <c r="DV189" s="19"/>
      <c r="DW189" s="19"/>
      <c r="DX189" s="19"/>
      <c r="DY189" s="19"/>
      <c r="DZ189" s="19"/>
      <c r="EA189" s="19"/>
      <c r="EB189" s="19"/>
      <c r="EC189" s="19"/>
      <c r="ED189" s="19"/>
      <c r="EE189" s="19"/>
      <c r="EF189" s="19"/>
      <c r="EG189" s="19"/>
      <c r="EH189" s="19"/>
      <c r="EI189" s="19"/>
      <c r="EJ189" s="19"/>
      <c r="EK189" s="19"/>
      <c r="EL189" s="19"/>
      <c r="EM189" s="19"/>
      <c r="EN189" s="19"/>
    </row>
    <row r="190" spans="4:145" x14ac:dyDescent="0.2">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19"/>
      <c r="BW190" s="19"/>
      <c r="BX190" s="19"/>
      <c r="BY190" s="19"/>
      <c r="BZ190" s="19"/>
      <c r="CA190" s="19"/>
      <c r="CB190" s="19"/>
      <c r="CC190" s="19"/>
      <c r="CD190" s="19"/>
      <c r="CE190" s="19"/>
      <c r="CF190" s="19"/>
      <c r="CG190" s="19"/>
      <c r="CH190" s="19"/>
      <c r="CI190" s="19"/>
      <c r="CJ190" s="19"/>
      <c r="CK190" s="19"/>
      <c r="CL190" s="19"/>
      <c r="CM190" s="19"/>
      <c r="CN190" s="19"/>
      <c r="CO190" s="19"/>
      <c r="CP190" s="19"/>
      <c r="CQ190" s="19"/>
      <c r="CR190" s="19"/>
      <c r="CS190" s="19"/>
      <c r="CT190" s="19"/>
      <c r="CU190" s="19"/>
      <c r="CV190" s="19"/>
      <c r="CW190" s="19"/>
      <c r="CX190" s="19"/>
      <c r="CY190" s="19"/>
      <c r="CZ190" s="19"/>
      <c r="DA190" s="19"/>
      <c r="DB190" s="19"/>
      <c r="DC190" s="19"/>
      <c r="DD190" s="19"/>
      <c r="DE190" s="19"/>
      <c r="DF190" s="19"/>
      <c r="DG190" s="19"/>
      <c r="DH190" s="19"/>
      <c r="DI190" s="19"/>
      <c r="DJ190" s="19"/>
      <c r="DK190" s="19"/>
      <c r="DL190" s="19"/>
      <c r="DM190" s="19"/>
      <c r="DN190" s="19"/>
      <c r="DO190" s="19"/>
      <c r="DP190" s="19"/>
      <c r="DQ190" s="19"/>
      <c r="DR190" s="19"/>
      <c r="DS190" s="19"/>
      <c r="DT190" s="19"/>
      <c r="DU190" s="19"/>
      <c r="DV190" s="19"/>
      <c r="DW190" s="19"/>
      <c r="DX190" s="19"/>
      <c r="DY190" s="19"/>
      <c r="DZ190" s="19"/>
      <c r="EA190" s="19"/>
      <c r="EB190" s="19"/>
      <c r="EC190" s="19"/>
      <c r="ED190" s="19"/>
      <c r="EE190" s="19"/>
      <c r="EF190" s="19"/>
      <c r="EG190" s="19"/>
      <c r="EH190" s="19"/>
      <c r="EI190" s="19"/>
      <c r="EJ190" s="19"/>
      <c r="EK190" s="19"/>
      <c r="EL190" s="19"/>
      <c r="EM190" s="19"/>
      <c r="EN190" s="19"/>
    </row>
    <row r="191" spans="4:145" x14ac:dyDescent="0.2">
      <c r="D191" s="310"/>
      <c r="E191" s="310"/>
      <c r="F191" s="310"/>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19"/>
      <c r="BW191" s="19"/>
      <c r="BX191" s="19"/>
      <c r="BY191" s="19"/>
      <c r="BZ191" s="19"/>
      <c r="CA191" s="19"/>
      <c r="CB191" s="19"/>
      <c r="CC191" s="19"/>
      <c r="CD191" s="19"/>
      <c r="CE191" s="19"/>
      <c r="CF191" s="19"/>
      <c r="CG191" s="19"/>
      <c r="CH191" s="19"/>
      <c r="CI191" s="19"/>
      <c r="CJ191" s="19"/>
      <c r="CK191" s="19"/>
      <c r="CL191" s="19"/>
      <c r="CM191" s="19"/>
      <c r="CN191" s="19"/>
      <c r="CO191" s="19"/>
      <c r="CP191" s="19"/>
      <c r="CQ191" s="19"/>
      <c r="CR191" s="19"/>
      <c r="CS191" s="19"/>
      <c r="CT191" s="19"/>
      <c r="CU191" s="19"/>
      <c r="CV191" s="19"/>
      <c r="CW191" s="19"/>
      <c r="CX191" s="19"/>
      <c r="CY191" s="19"/>
      <c r="CZ191" s="19"/>
      <c r="DA191" s="19"/>
      <c r="DB191" s="19"/>
      <c r="DC191" s="19"/>
      <c r="DD191" s="19"/>
      <c r="DE191" s="19"/>
      <c r="DF191" s="19"/>
      <c r="DG191" s="19"/>
      <c r="DH191" s="19"/>
      <c r="DI191" s="19"/>
      <c r="DJ191" s="19"/>
      <c r="DK191" s="19"/>
      <c r="DL191" s="19"/>
      <c r="DM191" s="19"/>
      <c r="DN191" s="19"/>
      <c r="DO191" s="19"/>
      <c r="DP191" s="19"/>
      <c r="DQ191" s="19"/>
      <c r="DR191" s="19"/>
      <c r="DS191" s="19"/>
      <c r="DT191" s="19"/>
      <c r="DU191" s="19"/>
      <c r="DV191" s="19"/>
      <c r="DW191" s="19"/>
      <c r="DX191" s="19"/>
      <c r="DY191" s="19"/>
      <c r="DZ191" s="19"/>
      <c r="EA191" s="19"/>
      <c r="EB191" s="19"/>
      <c r="EC191" s="19"/>
      <c r="ED191" s="19"/>
      <c r="EE191" s="19"/>
      <c r="EF191" s="19"/>
      <c r="EG191" s="19"/>
      <c r="EH191" s="19"/>
      <c r="EI191" s="19"/>
      <c r="EJ191" s="19"/>
      <c r="EK191" s="19"/>
      <c r="EL191" s="19"/>
      <c r="EM191" s="19"/>
      <c r="EN191" s="19"/>
    </row>
  </sheetData>
  <mergeCells count="2">
    <mergeCell ref="G8:BT8"/>
    <mergeCell ref="BY8:EL8"/>
  </mergeCells>
  <pageMargins left="0.7" right="0.7" top="0.75" bottom="0.75" header="0.3" footer="0.3"/>
  <pageSetup paperSize="9"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X107"/>
  <sheetViews>
    <sheetView view="pageBreakPreview" topLeftCell="D1" zoomScale="98" zoomScaleNormal="100" zoomScaleSheetLayoutView="98" workbookViewId="0">
      <selection activeCell="BZ77" sqref="BZ77"/>
    </sheetView>
  </sheetViews>
  <sheetFormatPr defaultColWidth="10" defaultRowHeight="12.75" x14ac:dyDescent="0.2"/>
  <cols>
    <col min="1" max="1" width="1.85546875" style="12" hidden="1" customWidth="1"/>
    <col min="2" max="3" width="0.85546875" style="12" hidden="1" customWidth="1"/>
    <col min="4" max="4" width="64.85546875" style="12" customWidth="1"/>
    <col min="5" max="5" width="7" style="402" customWidth="1"/>
    <col min="6" max="7" width="1" style="12" customWidth="1"/>
    <col min="8" max="8" width="15.140625" style="12" customWidth="1"/>
    <col min="9" max="10" width="1" style="12" customWidth="1"/>
    <col min="11" max="11" width="0.85546875" style="12" hidden="1" customWidth="1"/>
    <col min="12" max="12" width="1" style="12" hidden="1" customWidth="1"/>
    <col min="13" max="13" width="17.85546875" style="12" hidden="1" customWidth="1"/>
    <col min="14" max="17" width="1" style="12" hidden="1" customWidth="1"/>
    <col min="18" max="18" width="17.85546875" style="12" hidden="1" customWidth="1"/>
    <col min="19" max="22" width="1" style="12" hidden="1" customWidth="1"/>
    <col min="23" max="23" width="17.85546875" style="12" hidden="1" customWidth="1"/>
    <col min="24" max="27" width="1" style="12" hidden="1" customWidth="1"/>
    <col min="28" max="28" width="17.85546875" style="12" hidden="1" customWidth="1"/>
    <col min="29" max="32" width="1" style="12" hidden="1" customWidth="1"/>
    <col min="33" max="33" width="17.85546875" style="12" hidden="1" customWidth="1"/>
    <col min="34" max="37" width="1" style="12" hidden="1" customWidth="1"/>
    <col min="38" max="38" width="17.85546875" style="12" hidden="1" customWidth="1"/>
    <col min="39" max="40" width="1" style="12" hidden="1" customWidth="1"/>
    <col min="41" max="41" width="1.28515625" style="12" hidden="1" customWidth="1"/>
    <col min="42" max="42" width="1" style="12" hidden="1" customWidth="1"/>
    <col min="43" max="43" width="17.85546875" style="12" hidden="1" customWidth="1"/>
    <col min="44" max="47" width="1" style="12" hidden="1" customWidth="1"/>
    <col min="48" max="48" width="14.7109375" style="12" hidden="1" customWidth="1"/>
    <col min="49" max="52" width="1" style="12" hidden="1" customWidth="1"/>
    <col min="53" max="53" width="17.85546875" style="12" hidden="1" customWidth="1"/>
    <col min="54" max="57" width="1" style="12" hidden="1" customWidth="1"/>
    <col min="58" max="58" width="17.85546875" style="12" hidden="1" customWidth="1"/>
    <col min="59" max="62" width="1" style="12" hidden="1" customWidth="1"/>
    <col min="63" max="63" width="17.85546875" style="12" hidden="1" customWidth="1"/>
    <col min="64" max="65" width="1" style="12" hidden="1" customWidth="1"/>
    <col min="66" max="67" width="1" style="12" customWidth="1"/>
    <col min="68" max="68" width="17.85546875" style="12" customWidth="1"/>
    <col min="69" max="72" width="1" style="12" customWidth="1"/>
    <col min="73" max="73" width="18.7109375" style="12" bestFit="1" customWidth="1"/>
    <col min="74" max="77" width="1" style="12" customWidth="1"/>
    <col min="78" max="78" width="17.28515625" style="12" customWidth="1"/>
    <col min="79" max="79" width="0.7109375" style="12" customWidth="1"/>
    <col min="80" max="80" width="1" style="12" customWidth="1"/>
    <col min="81" max="81" width="0.42578125" style="12" hidden="1" customWidth="1"/>
    <col min="82" max="82" width="1" style="12" hidden="1" customWidth="1"/>
    <col min="83" max="83" width="11.42578125" style="12" hidden="1" customWidth="1"/>
    <col min="84" max="84" width="2.140625" style="12" hidden="1" customWidth="1"/>
    <col min="85" max="87" width="1" style="12" hidden="1" customWidth="1"/>
    <col min="88" max="88" width="10.7109375" style="12" hidden="1" customWidth="1"/>
    <col min="89" max="89" width="1" style="12" hidden="1" customWidth="1"/>
    <col min="90" max="90" width="1.5703125" style="12" hidden="1" customWidth="1"/>
    <col min="91" max="92" width="1" style="12" hidden="1" customWidth="1"/>
    <col min="93" max="93" width="12.42578125" style="12" hidden="1" customWidth="1"/>
    <col min="94" max="95" width="1" style="12" hidden="1" customWidth="1"/>
    <col min="96" max="96" width="0.85546875" style="12" hidden="1" customWidth="1"/>
    <col min="97" max="97" width="1.140625" style="12" hidden="1" customWidth="1"/>
    <col min="98" max="98" width="12.28515625" style="12" hidden="1" customWidth="1"/>
    <col min="99" max="102" width="1" style="12" hidden="1" customWidth="1"/>
    <col min="103" max="103" width="13.85546875" style="12" hidden="1" customWidth="1"/>
    <col min="104" max="107" width="1" style="12" hidden="1" customWidth="1"/>
    <col min="108" max="108" width="11.28515625" style="12" hidden="1" customWidth="1"/>
    <col min="109" max="112" width="1" style="12" hidden="1" customWidth="1"/>
    <col min="113" max="113" width="14.7109375" style="12" hidden="1" customWidth="1"/>
    <col min="114" max="114" width="1" style="12" hidden="1" customWidth="1"/>
    <col min="115" max="115" width="0.7109375" style="12" hidden="1" customWidth="1"/>
    <col min="116" max="116" width="1.7109375" style="12" hidden="1" customWidth="1"/>
    <col min="117" max="117" width="1" style="12" hidden="1" customWidth="1"/>
    <col min="118" max="118" width="13.5703125" style="12" hidden="1" customWidth="1"/>
    <col min="119" max="122" width="1" style="12" hidden="1" customWidth="1"/>
    <col min="123" max="123" width="13" style="12" hidden="1" customWidth="1"/>
    <col min="124" max="127" width="1" style="12" hidden="1" customWidth="1"/>
    <col min="128" max="128" width="14.28515625" style="12" hidden="1" customWidth="1"/>
    <col min="129" max="132" width="1" style="12" hidden="1" customWidth="1"/>
    <col min="133" max="133" width="13.42578125" style="12" hidden="1" customWidth="1"/>
    <col min="134" max="135" width="1" style="12" hidden="1" customWidth="1"/>
    <col min="136" max="137" width="1" style="12" customWidth="1"/>
    <col min="138" max="138" width="16.85546875" style="12" customWidth="1"/>
    <col min="139" max="139" width="1" style="12" customWidth="1"/>
    <col min="140" max="140" width="2.42578125" style="12" customWidth="1"/>
    <col min="141" max="142" width="1" style="12" customWidth="1"/>
    <col min="143" max="143" width="17.85546875" style="12" customWidth="1"/>
    <col min="144" max="146" width="1" style="12" customWidth="1"/>
    <col min="147" max="147" width="1.85546875" style="12" customWidth="1"/>
    <col min="148" max="148" width="11.7109375" style="12" bestFit="1" customWidth="1"/>
    <col min="149" max="149" width="10" style="12"/>
    <col min="150" max="150" width="10.42578125" style="12" bestFit="1" customWidth="1"/>
    <col min="151" max="153" width="10" style="12"/>
    <col min="154" max="154" width="13.42578125" style="12" bestFit="1" customWidth="1"/>
    <col min="155" max="256" width="10" style="12"/>
    <col min="257" max="259" width="0" style="12" hidden="1" customWidth="1"/>
    <col min="260" max="260" width="64.85546875" style="12" customWidth="1"/>
    <col min="261" max="261" width="7" style="12" customWidth="1"/>
    <col min="262" max="263" width="1" style="12" customWidth="1"/>
    <col min="264" max="264" width="15.140625" style="12" customWidth="1"/>
    <col min="265" max="266" width="1" style="12" customWidth="1"/>
    <col min="267" max="321" width="0" style="12" hidden="1" customWidth="1"/>
    <col min="322" max="323" width="1" style="12" customWidth="1"/>
    <col min="324" max="324" width="17.85546875" style="12" customWidth="1"/>
    <col min="325" max="328" width="1" style="12" customWidth="1"/>
    <col min="329" max="329" width="18.7109375" style="12" bestFit="1" customWidth="1"/>
    <col min="330" max="333" width="1" style="12" customWidth="1"/>
    <col min="334" max="334" width="17.28515625" style="12" customWidth="1"/>
    <col min="335" max="335" width="0.7109375" style="12" customWidth="1"/>
    <col min="336" max="336" width="1" style="12" customWidth="1"/>
    <col min="337" max="391" width="0" style="12" hidden="1" customWidth="1"/>
    <col min="392" max="393" width="1" style="12" customWidth="1"/>
    <col min="394" max="394" width="16.85546875" style="12" customWidth="1"/>
    <col min="395" max="395" width="1" style="12" customWidth="1"/>
    <col min="396" max="396" width="2.42578125" style="12" customWidth="1"/>
    <col min="397" max="398" width="1" style="12" customWidth="1"/>
    <col min="399" max="399" width="17.85546875" style="12" customWidth="1"/>
    <col min="400" max="402" width="1" style="12" customWidth="1"/>
    <col min="403" max="403" width="1.85546875" style="12" customWidth="1"/>
    <col min="404" max="404" width="11.7109375" style="12" bestFit="1" customWidth="1"/>
    <col min="405" max="405" width="10" style="12"/>
    <col min="406" max="406" width="10.42578125" style="12" bestFit="1" customWidth="1"/>
    <col min="407" max="409" width="10" style="12"/>
    <col min="410" max="410" width="13.42578125" style="12" bestFit="1" customWidth="1"/>
    <col min="411" max="512" width="10" style="12"/>
    <col min="513" max="515" width="0" style="12" hidden="1" customWidth="1"/>
    <col min="516" max="516" width="64.85546875" style="12" customWidth="1"/>
    <col min="517" max="517" width="7" style="12" customWidth="1"/>
    <col min="518" max="519" width="1" style="12" customWidth="1"/>
    <col min="520" max="520" width="15.140625" style="12" customWidth="1"/>
    <col min="521" max="522" width="1" style="12" customWidth="1"/>
    <col min="523" max="577" width="0" style="12" hidden="1" customWidth="1"/>
    <col min="578" max="579" width="1" style="12" customWidth="1"/>
    <col min="580" max="580" width="17.85546875" style="12" customWidth="1"/>
    <col min="581" max="584" width="1" style="12" customWidth="1"/>
    <col min="585" max="585" width="18.7109375" style="12" bestFit="1" customWidth="1"/>
    <col min="586" max="589" width="1" style="12" customWidth="1"/>
    <col min="590" max="590" width="17.28515625" style="12" customWidth="1"/>
    <col min="591" max="591" width="0.7109375" style="12" customWidth="1"/>
    <col min="592" max="592" width="1" style="12" customWidth="1"/>
    <col min="593" max="647" width="0" style="12" hidden="1" customWidth="1"/>
    <col min="648" max="649" width="1" style="12" customWidth="1"/>
    <col min="650" max="650" width="16.85546875" style="12" customWidth="1"/>
    <col min="651" max="651" width="1" style="12" customWidth="1"/>
    <col min="652" max="652" width="2.42578125" style="12" customWidth="1"/>
    <col min="653" max="654" width="1" style="12" customWidth="1"/>
    <col min="655" max="655" width="17.85546875" style="12" customWidth="1"/>
    <col min="656" max="658" width="1" style="12" customWidth="1"/>
    <col min="659" max="659" width="1.85546875" style="12" customWidth="1"/>
    <col min="660" max="660" width="11.7109375" style="12" bestFit="1" customWidth="1"/>
    <col min="661" max="661" width="10" style="12"/>
    <col min="662" max="662" width="10.42578125" style="12" bestFit="1" customWidth="1"/>
    <col min="663" max="665" width="10" style="12"/>
    <col min="666" max="666" width="13.42578125" style="12" bestFit="1" customWidth="1"/>
    <col min="667" max="768" width="10" style="12"/>
    <col min="769" max="771" width="0" style="12" hidden="1" customWidth="1"/>
    <col min="772" max="772" width="64.85546875" style="12" customWidth="1"/>
    <col min="773" max="773" width="7" style="12" customWidth="1"/>
    <col min="774" max="775" width="1" style="12" customWidth="1"/>
    <col min="776" max="776" width="15.140625" style="12" customWidth="1"/>
    <col min="777" max="778" width="1" style="12" customWidth="1"/>
    <col min="779" max="833" width="0" style="12" hidden="1" customWidth="1"/>
    <col min="834" max="835" width="1" style="12" customWidth="1"/>
    <col min="836" max="836" width="17.85546875" style="12" customWidth="1"/>
    <col min="837" max="840" width="1" style="12" customWidth="1"/>
    <col min="841" max="841" width="18.7109375" style="12" bestFit="1" customWidth="1"/>
    <col min="842" max="845" width="1" style="12" customWidth="1"/>
    <col min="846" max="846" width="17.28515625" style="12" customWidth="1"/>
    <col min="847" max="847" width="0.7109375" style="12" customWidth="1"/>
    <col min="848" max="848" width="1" style="12" customWidth="1"/>
    <col min="849" max="903" width="0" style="12" hidden="1" customWidth="1"/>
    <col min="904" max="905" width="1" style="12" customWidth="1"/>
    <col min="906" max="906" width="16.85546875" style="12" customWidth="1"/>
    <col min="907" max="907" width="1" style="12" customWidth="1"/>
    <col min="908" max="908" width="2.42578125" style="12" customWidth="1"/>
    <col min="909" max="910" width="1" style="12" customWidth="1"/>
    <col min="911" max="911" width="17.85546875" style="12" customWidth="1"/>
    <col min="912" max="914" width="1" style="12" customWidth="1"/>
    <col min="915" max="915" width="1.85546875" style="12" customWidth="1"/>
    <col min="916" max="916" width="11.7109375" style="12" bestFit="1" customWidth="1"/>
    <col min="917" max="917" width="10" style="12"/>
    <col min="918" max="918" width="10.42578125" style="12" bestFit="1" customWidth="1"/>
    <col min="919" max="921" width="10" style="12"/>
    <col min="922" max="922" width="13.42578125" style="12" bestFit="1" customWidth="1"/>
    <col min="923" max="1024" width="10" style="12"/>
    <col min="1025" max="1027" width="0" style="12" hidden="1" customWidth="1"/>
    <col min="1028" max="1028" width="64.85546875" style="12" customWidth="1"/>
    <col min="1029" max="1029" width="7" style="12" customWidth="1"/>
    <col min="1030" max="1031" width="1" style="12" customWidth="1"/>
    <col min="1032" max="1032" width="15.140625" style="12" customWidth="1"/>
    <col min="1033" max="1034" width="1" style="12" customWidth="1"/>
    <col min="1035" max="1089" width="0" style="12" hidden="1" customWidth="1"/>
    <col min="1090" max="1091" width="1" style="12" customWidth="1"/>
    <col min="1092" max="1092" width="17.85546875" style="12" customWidth="1"/>
    <col min="1093" max="1096" width="1" style="12" customWidth="1"/>
    <col min="1097" max="1097" width="18.7109375" style="12" bestFit="1" customWidth="1"/>
    <col min="1098" max="1101" width="1" style="12" customWidth="1"/>
    <col min="1102" max="1102" width="17.28515625" style="12" customWidth="1"/>
    <col min="1103" max="1103" width="0.7109375" style="12" customWidth="1"/>
    <col min="1104" max="1104" width="1" style="12" customWidth="1"/>
    <col min="1105" max="1159" width="0" style="12" hidden="1" customWidth="1"/>
    <col min="1160" max="1161" width="1" style="12" customWidth="1"/>
    <col min="1162" max="1162" width="16.85546875" style="12" customWidth="1"/>
    <col min="1163" max="1163" width="1" style="12" customWidth="1"/>
    <col min="1164" max="1164" width="2.42578125" style="12" customWidth="1"/>
    <col min="1165" max="1166" width="1" style="12" customWidth="1"/>
    <col min="1167" max="1167" width="17.85546875" style="12" customWidth="1"/>
    <col min="1168" max="1170" width="1" style="12" customWidth="1"/>
    <col min="1171" max="1171" width="1.85546875" style="12" customWidth="1"/>
    <col min="1172" max="1172" width="11.7109375" style="12" bestFit="1" customWidth="1"/>
    <col min="1173" max="1173" width="10" style="12"/>
    <col min="1174" max="1174" width="10.42578125" style="12" bestFit="1" customWidth="1"/>
    <col min="1175" max="1177" width="10" style="12"/>
    <col min="1178" max="1178" width="13.42578125" style="12" bestFit="1" customWidth="1"/>
    <col min="1179" max="1280" width="10" style="12"/>
    <col min="1281" max="1283" width="0" style="12" hidden="1" customWidth="1"/>
    <col min="1284" max="1284" width="64.85546875" style="12" customWidth="1"/>
    <col min="1285" max="1285" width="7" style="12" customWidth="1"/>
    <col min="1286" max="1287" width="1" style="12" customWidth="1"/>
    <col min="1288" max="1288" width="15.140625" style="12" customWidth="1"/>
    <col min="1289" max="1290" width="1" style="12" customWidth="1"/>
    <col min="1291" max="1345" width="0" style="12" hidden="1" customWidth="1"/>
    <col min="1346" max="1347" width="1" style="12" customWidth="1"/>
    <col min="1348" max="1348" width="17.85546875" style="12" customWidth="1"/>
    <col min="1349" max="1352" width="1" style="12" customWidth="1"/>
    <col min="1353" max="1353" width="18.7109375" style="12" bestFit="1" customWidth="1"/>
    <col min="1354" max="1357" width="1" style="12" customWidth="1"/>
    <col min="1358" max="1358" width="17.28515625" style="12" customWidth="1"/>
    <col min="1359" max="1359" width="0.7109375" style="12" customWidth="1"/>
    <col min="1360" max="1360" width="1" style="12" customWidth="1"/>
    <col min="1361" max="1415" width="0" style="12" hidden="1" customWidth="1"/>
    <col min="1416" max="1417" width="1" style="12" customWidth="1"/>
    <col min="1418" max="1418" width="16.85546875" style="12" customWidth="1"/>
    <col min="1419" max="1419" width="1" style="12" customWidth="1"/>
    <col min="1420" max="1420" width="2.42578125" style="12" customWidth="1"/>
    <col min="1421" max="1422" width="1" style="12" customWidth="1"/>
    <col min="1423" max="1423" width="17.85546875" style="12" customWidth="1"/>
    <col min="1424" max="1426" width="1" style="12" customWidth="1"/>
    <col min="1427" max="1427" width="1.85546875" style="12" customWidth="1"/>
    <col min="1428" max="1428" width="11.7109375" style="12" bestFit="1" customWidth="1"/>
    <col min="1429" max="1429" width="10" style="12"/>
    <col min="1430" max="1430" width="10.42578125" style="12" bestFit="1" customWidth="1"/>
    <col min="1431" max="1433" width="10" style="12"/>
    <col min="1434" max="1434" width="13.42578125" style="12" bestFit="1" customWidth="1"/>
    <col min="1435" max="1536" width="10" style="12"/>
    <col min="1537" max="1539" width="0" style="12" hidden="1" customWidth="1"/>
    <col min="1540" max="1540" width="64.85546875" style="12" customWidth="1"/>
    <col min="1541" max="1541" width="7" style="12" customWidth="1"/>
    <col min="1542" max="1543" width="1" style="12" customWidth="1"/>
    <col min="1544" max="1544" width="15.140625" style="12" customWidth="1"/>
    <col min="1545" max="1546" width="1" style="12" customWidth="1"/>
    <col min="1547" max="1601" width="0" style="12" hidden="1" customWidth="1"/>
    <col min="1602" max="1603" width="1" style="12" customWidth="1"/>
    <col min="1604" max="1604" width="17.85546875" style="12" customWidth="1"/>
    <col min="1605" max="1608" width="1" style="12" customWidth="1"/>
    <col min="1609" max="1609" width="18.7109375" style="12" bestFit="1" customWidth="1"/>
    <col min="1610" max="1613" width="1" style="12" customWidth="1"/>
    <col min="1614" max="1614" width="17.28515625" style="12" customWidth="1"/>
    <col min="1615" max="1615" width="0.7109375" style="12" customWidth="1"/>
    <col min="1616" max="1616" width="1" style="12" customWidth="1"/>
    <col min="1617" max="1671" width="0" style="12" hidden="1" customWidth="1"/>
    <col min="1672" max="1673" width="1" style="12" customWidth="1"/>
    <col min="1674" max="1674" width="16.85546875" style="12" customWidth="1"/>
    <col min="1675" max="1675" width="1" style="12" customWidth="1"/>
    <col min="1676" max="1676" width="2.42578125" style="12" customWidth="1"/>
    <col min="1677" max="1678" width="1" style="12" customWidth="1"/>
    <col min="1679" max="1679" width="17.85546875" style="12" customWidth="1"/>
    <col min="1680" max="1682" width="1" style="12" customWidth="1"/>
    <col min="1683" max="1683" width="1.85546875" style="12" customWidth="1"/>
    <col min="1684" max="1684" width="11.7109375" style="12" bestFit="1" customWidth="1"/>
    <col min="1685" max="1685" width="10" style="12"/>
    <col min="1686" max="1686" width="10.42578125" style="12" bestFit="1" customWidth="1"/>
    <col min="1687" max="1689" width="10" style="12"/>
    <col min="1690" max="1690" width="13.42578125" style="12" bestFit="1" customWidth="1"/>
    <col min="1691" max="1792" width="10" style="12"/>
    <col min="1793" max="1795" width="0" style="12" hidden="1" customWidth="1"/>
    <col min="1796" max="1796" width="64.85546875" style="12" customWidth="1"/>
    <col min="1797" max="1797" width="7" style="12" customWidth="1"/>
    <col min="1798" max="1799" width="1" style="12" customWidth="1"/>
    <col min="1800" max="1800" width="15.140625" style="12" customWidth="1"/>
    <col min="1801" max="1802" width="1" style="12" customWidth="1"/>
    <col min="1803" max="1857" width="0" style="12" hidden="1" customWidth="1"/>
    <col min="1858" max="1859" width="1" style="12" customWidth="1"/>
    <col min="1860" max="1860" width="17.85546875" style="12" customWidth="1"/>
    <col min="1861" max="1864" width="1" style="12" customWidth="1"/>
    <col min="1865" max="1865" width="18.7109375" style="12" bestFit="1" customWidth="1"/>
    <col min="1866" max="1869" width="1" style="12" customWidth="1"/>
    <col min="1870" max="1870" width="17.28515625" style="12" customWidth="1"/>
    <col min="1871" max="1871" width="0.7109375" style="12" customWidth="1"/>
    <col min="1872" max="1872" width="1" style="12" customWidth="1"/>
    <col min="1873" max="1927" width="0" style="12" hidden="1" customWidth="1"/>
    <col min="1928" max="1929" width="1" style="12" customWidth="1"/>
    <col min="1930" max="1930" width="16.85546875" style="12" customWidth="1"/>
    <col min="1931" max="1931" width="1" style="12" customWidth="1"/>
    <col min="1932" max="1932" width="2.42578125" style="12" customWidth="1"/>
    <col min="1933" max="1934" width="1" style="12" customWidth="1"/>
    <col min="1935" max="1935" width="17.85546875" style="12" customWidth="1"/>
    <col min="1936" max="1938" width="1" style="12" customWidth="1"/>
    <col min="1939" max="1939" width="1.85546875" style="12" customWidth="1"/>
    <col min="1940" max="1940" width="11.7109375" style="12" bestFit="1" customWidth="1"/>
    <col min="1941" max="1941" width="10" style="12"/>
    <col min="1942" max="1942" width="10.42578125" style="12" bestFit="1" customWidth="1"/>
    <col min="1943" max="1945" width="10" style="12"/>
    <col min="1946" max="1946" width="13.42578125" style="12" bestFit="1" customWidth="1"/>
    <col min="1947" max="2048" width="10" style="12"/>
    <col min="2049" max="2051" width="0" style="12" hidden="1" customWidth="1"/>
    <col min="2052" max="2052" width="64.85546875" style="12" customWidth="1"/>
    <col min="2053" max="2053" width="7" style="12" customWidth="1"/>
    <col min="2054" max="2055" width="1" style="12" customWidth="1"/>
    <col min="2056" max="2056" width="15.140625" style="12" customWidth="1"/>
    <col min="2057" max="2058" width="1" style="12" customWidth="1"/>
    <col min="2059" max="2113" width="0" style="12" hidden="1" customWidth="1"/>
    <col min="2114" max="2115" width="1" style="12" customWidth="1"/>
    <col min="2116" max="2116" width="17.85546875" style="12" customWidth="1"/>
    <col min="2117" max="2120" width="1" style="12" customWidth="1"/>
    <col min="2121" max="2121" width="18.7109375" style="12" bestFit="1" customWidth="1"/>
    <col min="2122" max="2125" width="1" style="12" customWidth="1"/>
    <col min="2126" max="2126" width="17.28515625" style="12" customWidth="1"/>
    <col min="2127" max="2127" width="0.7109375" style="12" customWidth="1"/>
    <col min="2128" max="2128" width="1" style="12" customWidth="1"/>
    <col min="2129" max="2183" width="0" style="12" hidden="1" customWidth="1"/>
    <col min="2184" max="2185" width="1" style="12" customWidth="1"/>
    <col min="2186" max="2186" width="16.85546875" style="12" customWidth="1"/>
    <col min="2187" max="2187" width="1" style="12" customWidth="1"/>
    <col min="2188" max="2188" width="2.42578125" style="12" customWidth="1"/>
    <col min="2189" max="2190" width="1" style="12" customWidth="1"/>
    <col min="2191" max="2191" width="17.85546875" style="12" customWidth="1"/>
    <col min="2192" max="2194" width="1" style="12" customWidth="1"/>
    <col min="2195" max="2195" width="1.85546875" style="12" customWidth="1"/>
    <col min="2196" max="2196" width="11.7109375" style="12" bestFit="1" customWidth="1"/>
    <col min="2197" max="2197" width="10" style="12"/>
    <col min="2198" max="2198" width="10.42578125" style="12" bestFit="1" customWidth="1"/>
    <col min="2199" max="2201" width="10" style="12"/>
    <col min="2202" max="2202" width="13.42578125" style="12" bestFit="1" customWidth="1"/>
    <col min="2203" max="2304" width="10" style="12"/>
    <col min="2305" max="2307" width="0" style="12" hidden="1" customWidth="1"/>
    <col min="2308" max="2308" width="64.85546875" style="12" customWidth="1"/>
    <col min="2309" max="2309" width="7" style="12" customWidth="1"/>
    <col min="2310" max="2311" width="1" style="12" customWidth="1"/>
    <col min="2312" max="2312" width="15.140625" style="12" customWidth="1"/>
    <col min="2313" max="2314" width="1" style="12" customWidth="1"/>
    <col min="2315" max="2369" width="0" style="12" hidden="1" customWidth="1"/>
    <col min="2370" max="2371" width="1" style="12" customWidth="1"/>
    <col min="2372" max="2372" width="17.85546875" style="12" customWidth="1"/>
    <col min="2373" max="2376" width="1" style="12" customWidth="1"/>
    <col min="2377" max="2377" width="18.7109375" style="12" bestFit="1" customWidth="1"/>
    <col min="2378" max="2381" width="1" style="12" customWidth="1"/>
    <col min="2382" max="2382" width="17.28515625" style="12" customWidth="1"/>
    <col min="2383" max="2383" width="0.7109375" style="12" customWidth="1"/>
    <col min="2384" max="2384" width="1" style="12" customWidth="1"/>
    <col min="2385" max="2439" width="0" style="12" hidden="1" customWidth="1"/>
    <col min="2440" max="2441" width="1" style="12" customWidth="1"/>
    <col min="2442" max="2442" width="16.85546875" style="12" customWidth="1"/>
    <col min="2443" max="2443" width="1" style="12" customWidth="1"/>
    <col min="2444" max="2444" width="2.42578125" style="12" customWidth="1"/>
    <col min="2445" max="2446" width="1" style="12" customWidth="1"/>
    <col min="2447" max="2447" width="17.85546875" style="12" customWidth="1"/>
    <col min="2448" max="2450" width="1" style="12" customWidth="1"/>
    <col min="2451" max="2451" width="1.85546875" style="12" customWidth="1"/>
    <col min="2452" max="2452" width="11.7109375" style="12" bestFit="1" customWidth="1"/>
    <col min="2453" max="2453" width="10" style="12"/>
    <col min="2454" max="2454" width="10.42578125" style="12" bestFit="1" customWidth="1"/>
    <col min="2455" max="2457" width="10" style="12"/>
    <col min="2458" max="2458" width="13.42578125" style="12" bestFit="1" customWidth="1"/>
    <col min="2459" max="2560" width="10" style="12"/>
    <col min="2561" max="2563" width="0" style="12" hidden="1" customWidth="1"/>
    <col min="2564" max="2564" width="64.85546875" style="12" customWidth="1"/>
    <col min="2565" max="2565" width="7" style="12" customWidth="1"/>
    <col min="2566" max="2567" width="1" style="12" customWidth="1"/>
    <col min="2568" max="2568" width="15.140625" style="12" customWidth="1"/>
    <col min="2569" max="2570" width="1" style="12" customWidth="1"/>
    <col min="2571" max="2625" width="0" style="12" hidden="1" customWidth="1"/>
    <col min="2626" max="2627" width="1" style="12" customWidth="1"/>
    <col min="2628" max="2628" width="17.85546875" style="12" customWidth="1"/>
    <col min="2629" max="2632" width="1" style="12" customWidth="1"/>
    <col min="2633" max="2633" width="18.7109375" style="12" bestFit="1" customWidth="1"/>
    <col min="2634" max="2637" width="1" style="12" customWidth="1"/>
    <col min="2638" max="2638" width="17.28515625" style="12" customWidth="1"/>
    <col min="2639" max="2639" width="0.7109375" style="12" customWidth="1"/>
    <col min="2640" max="2640" width="1" style="12" customWidth="1"/>
    <col min="2641" max="2695" width="0" style="12" hidden="1" customWidth="1"/>
    <col min="2696" max="2697" width="1" style="12" customWidth="1"/>
    <col min="2698" max="2698" width="16.85546875" style="12" customWidth="1"/>
    <col min="2699" max="2699" width="1" style="12" customWidth="1"/>
    <col min="2700" max="2700" width="2.42578125" style="12" customWidth="1"/>
    <col min="2701" max="2702" width="1" style="12" customWidth="1"/>
    <col min="2703" max="2703" width="17.85546875" style="12" customWidth="1"/>
    <col min="2704" max="2706" width="1" style="12" customWidth="1"/>
    <col min="2707" max="2707" width="1.85546875" style="12" customWidth="1"/>
    <col min="2708" max="2708" width="11.7109375" style="12" bestFit="1" customWidth="1"/>
    <col min="2709" max="2709" width="10" style="12"/>
    <col min="2710" max="2710" width="10.42578125" style="12" bestFit="1" customWidth="1"/>
    <col min="2711" max="2713" width="10" style="12"/>
    <col min="2714" max="2714" width="13.42578125" style="12" bestFit="1" customWidth="1"/>
    <col min="2715" max="2816" width="10" style="12"/>
    <col min="2817" max="2819" width="0" style="12" hidden="1" customWidth="1"/>
    <col min="2820" max="2820" width="64.85546875" style="12" customWidth="1"/>
    <col min="2821" max="2821" width="7" style="12" customWidth="1"/>
    <col min="2822" max="2823" width="1" style="12" customWidth="1"/>
    <col min="2824" max="2824" width="15.140625" style="12" customWidth="1"/>
    <col min="2825" max="2826" width="1" style="12" customWidth="1"/>
    <col min="2827" max="2881" width="0" style="12" hidden="1" customWidth="1"/>
    <col min="2882" max="2883" width="1" style="12" customWidth="1"/>
    <col min="2884" max="2884" width="17.85546875" style="12" customWidth="1"/>
    <col min="2885" max="2888" width="1" style="12" customWidth="1"/>
    <col min="2889" max="2889" width="18.7109375" style="12" bestFit="1" customWidth="1"/>
    <col min="2890" max="2893" width="1" style="12" customWidth="1"/>
    <col min="2894" max="2894" width="17.28515625" style="12" customWidth="1"/>
    <col min="2895" max="2895" width="0.7109375" style="12" customWidth="1"/>
    <col min="2896" max="2896" width="1" style="12" customWidth="1"/>
    <col min="2897" max="2951" width="0" style="12" hidden="1" customWidth="1"/>
    <col min="2952" max="2953" width="1" style="12" customWidth="1"/>
    <col min="2954" max="2954" width="16.85546875" style="12" customWidth="1"/>
    <col min="2955" max="2955" width="1" style="12" customWidth="1"/>
    <col min="2956" max="2956" width="2.42578125" style="12" customWidth="1"/>
    <col min="2957" max="2958" width="1" style="12" customWidth="1"/>
    <col min="2959" max="2959" width="17.85546875" style="12" customWidth="1"/>
    <col min="2960" max="2962" width="1" style="12" customWidth="1"/>
    <col min="2963" max="2963" width="1.85546875" style="12" customWidth="1"/>
    <col min="2964" max="2964" width="11.7109375" style="12" bestFit="1" customWidth="1"/>
    <col min="2965" max="2965" width="10" style="12"/>
    <col min="2966" max="2966" width="10.42578125" style="12" bestFit="1" customWidth="1"/>
    <col min="2967" max="2969" width="10" style="12"/>
    <col min="2970" max="2970" width="13.42578125" style="12" bestFit="1" customWidth="1"/>
    <col min="2971" max="3072" width="10" style="12"/>
    <col min="3073" max="3075" width="0" style="12" hidden="1" customWidth="1"/>
    <col min="3076" max="3076" width="64.85546875" style="12" customWidth="1"/>
    <col min="3077" max="3077" width="7" style="12" customWidth="1"/>
    <col min="3078" max="3079" width="1" style="12" customWidth="1"/>
    <col min="3080" max="3080" width="15.140625" style="12" customWidth="1"/>
    <col min="3081" max="3082" width="1" style="12" customWidth="1"/>
    <col min="3083" max="3137" width="0" style="12" hidden="1" customWidth="1"/>
    <col min="3138" max="3139" width="1" style="12" customWidth="1"/>
    <col min="3140" max="3140" width="17.85546875" style="12" customWidth="1"/>
    <col min="3141" max="3144" width="1" style="12" customWidth="1"/>
    <col min="3145" max="3145" width="18.7109375" style="12" bestFit="1" customWidth="1"/>
    <col min="3146" max="3149" width="1" style="12" customWidth="1"/>
    <col min="3150" max="3150" width="17.28515625" style="12" customWidth="1"/>
    <col min="3151" max="3151" width="0.7109375" style="12" customWidth="1"/>
    <col min="3152" max="3152" width="1" style="12" customWidth="1"/>
    <col min="3153" max="3207" width="0" style="12" hidden="1" customWidth="1"/>
    <col min="3208" max="3209" width="1" style="12" customWidth="1"/>
    <col min="3210" max="3210" width="16.85546875" style="12" customWidth="1"/>
    <col min="3211" max="3211" width="1" style="12" customWidth="1"/>
    <col min="3212" max="3212" width="2.42578125" style="12" customWidth="1"/>
    <col min="3213" max="3214" width="1" style="12" customWidth="1"/>
    <col min="3215" max="3215" width="17.85546875" style="12" customWidth="1"/>
    <col min="3216" max="3218" width="1" style="12" customWidth="1"/>
    <col min="3219" max="3219" width="1.85546875" style="12" customWidth="1"/>
    <col min="3220" max="3220" width="11.7109375" style="12" bestFit="1" customWidth="1"/>
    <col min="3221" max="3221" width="10" style="12"/>
    <col min="3222" max="3222" width="10.42578125" style="12" bestFit="1" customWidth="1"/>
    <col min="3223" max="3225" width="10" style="12"/>
    <col min="3226" max="3226" width="13.42578125" style="12" bestFit="1" customWidth="1"/>
    <col min="3227" max="3328" width="10" style="12"/>
    <col min="3329" max="3331" width="0" style="12" hidden="1" customWidth="1"/>
    <col min="3332" max="3332" width="64.85546875" style="12" customWidth="1"/>
    <col min="3333" max="3333" width="7" style="12" customWidth="1"/>
    <col min="3334" max="3335" width="1" style="12" customWidth="1"/>
    <col min="3336" max="3336" width="15.140625" style="12" customWidth="1"/>
    <col min="3337" max="3338" width="1" style="12" customWidth="1"/>
    <col min="3339" max="3393" width="0" style="12" hidden="1" customWidth="1"/>
    <col min="3394" max="3395" width="1" style="12" customWidth="1"/>
    <col min="3396" max="3396" width="17.85546875" style="12" customWidth="1"/>
    <col min="3397" max="3400" width="1" style="12" customWidth="1"/>
    <col min="3401" max="3401" width="18.7109375" style="12" bestFit="1" customWidth="1"/>
    <col min="3402" max="3405" width="1" style="12" customWidth="1"/>
    <col min="3406" max="3406" width="17.28515625" style="12" customWidth="1"/>
    <col min="3407" max="3407" width="0.7109375" style="12" customWidth="1"/>
    <col min="3408" max="3408" width="1" style="12" customWidth="1"/>
    <col min="3409" max="3463" width="0" style="12" hidden="1" customWidth="1"/>
    <col min="3464" max="3465" width="1" style="12" customWidth="1"/>
    <col min="3466" max="3466" width="16.85546875" style="12" customWidth="1"/>
    <col min="3467" max="3467" width="1" style="12" customWidth="1"/>
    <col min="3468" max="3468" width="2.42578125" style="12" customWidth="1"/>
    <col min="3469" max="3470" width="1" style="12" customWidth="1"/>
    <col min="3471" max="3471" width="17.85546875" style="12" customWidth="1"/>
    <col min="3472" max="3474" width="1" style="12" customWidth="1"/>
    <col min="3475" max="3475" width="1.85546875" style="12" customWidth="1"/>
    <col min="3476" max="3476" width="11.7109375" style="12" bestFit="1" customWidth="1"/>
    <col min="3477" max="3477" width="10" style="12"/>
    <col min="3478" max="3478" width="10.42578125" style="12" bestFit="1" customWidth="1"/>
    <col min="3479" max="3481" width="10" style="12"/>
    <col min="3482" max="3482" width="13.42578125" style="12" bestFit="1" customWidth="1"/>
    <col min="3483" max="3584" width="10" style="12"/>
    <col min="3585" max="3587" width="0" style="12" hidden="1" customWidth="1"/>
    <col min="3588" max="3588" width="64.85546875" style="12" customWidth="1"/>
    <col min="3589" max="3589" width="7" style="12" customWidth="1"/>
    <col min="3590" max="3591" width="1" style="12" customWidth="1"/>
    <col min="3592" max="3592" width="15.140625" style="12" customWidth="1"/>
    <col min="3593" max="3594" width="1" style="12" customWidth="1"/>
    <col min="3595" max="3649" width="0" style="12" hidden="1" customWidth="1"/>
    <col min="3650" max="3651" width="1" style="12" customWidth="1"/>
    <col min="3652" max="3652" width="17.85546875" style="12" customWidth="1"/>
    <col min="3653" max="3656" width="1" style="12" customWidth="1"/>
    <col min="3657" max="3657" width="18.7109375" style="12" bestFit="1" customWidth="1"/>
    <col min="3658" max="3661" width="1" style="12" customWidth="1"/>
    <col min="3662" max="3662" width="17.28515625" style="12" customWidth="1"/>
    <col min="3663" max="3663" width="0.7109375" style="12" customWidth="1"/>
    <col min="3664" max="3664" width="1" style="12" customWidth="1"/>
    <col min="3665" max="3719" width="0" style="12" hidden="1" customWidth="1"/>
    <col min="3720" max="3721" width="1" style="12" customWidth="1"/>
    <col min="3722" max="3722" width="16.85546875" style="12" customWidth="1"/>
    <col min="3723" max="3723" width="1" style="12" customWidth="1"/>
    <col min="3724" max="3724" width="2.42578125" style="12" customWidth="1"/>
    <col min="3725" max="3726" width="1" style="12" customWidth="1"/>
    <col min="3727" max="3727" width="17.85546875" style="12" customWidth="1"/>
    <col min="3728" max="3730" width="1" style="12" customWidth="1"/>
    <col min="3731" max="3731" width="1.85546875" style="12" customWidth="1"/>
    <col min="3732" max="3732" width="11.7109375" style="12" bestFit="1" customWidth="1"/>
    <col min="3733" max="3733" width="10" style="12"/>
    <col min="3734" max="3734" width="10.42578125" style="12" bestFit="1" customWidth="1"/>
    <col min="3735" max="3737" width="10" style="12"/>
    <col min="3738" max="3738" width="13.42578125" style="12" bestFit="1" customWidth="1"/>
    <col min="3739" max="3840" width="10" style="12"/>
    <col min="3841" max="3843" width="0" style="12" hidden="1" customWidth="1"/>
    <col min="3844" max="3844" width="64.85546875" style="12" customWidth="1"/>
    <col min="3845" max="3845" width="7" style="12" customWidth="1"/>
    <col min="3846" max="3847" width="1" style="12" customWidth="1"/>
    <col min="3848" max="3848" width="15.140625" style="12" customWidth="1"/>
    <col min="3849" max="3850" width="1" style="12" customWidth="1"/>
    <col min="3851" max="3905" width="0" style="12" hidden="1" customWidth="1"/>
    <col min="3906" max="3907" width="1" style="12" customWidth="1"/>
    <col min="3908" max="3908" width="17.85546875" style="12" customWidth="1"/>
    <col min="3909" max="3912" width="1" style="12" customWidth="1"/>
    <col min="3913" max="3913" width="18.7109375" style="12" bestFit="1" customWidth="1"/>
    <col min="3914" max="3917" width="1" style="12" customWidth="1"/>
    <col min="3918" max="3918" width="17.28515625" style="12" customWidth="1"/>
    <col min="3919" max="3919" width="0.7109375" style="12" customWidth="1"/>
    <col min="3920" max="3920" width="1" style="12" customWidth="1"/>
    <col min="3921" max="3975" width="0" style="12" hidden="1" customWidth="1"/>
    <col min="3976" max="3977" width="1" style="12" customWidth="1"/>
    <col min="3978" max="3978" width="16.85546875" style="12" customWidth="1"/>
    <col min="3979" max="3979" width="1" style="12" customWidth="1"/>
    <col min="3980" max="3980" width="2.42578125" style="12" customWidth="1"/>
    <col min="3981" max="3982" width="1" style="12" customWidth="1"/>
    <col min="3983" max="3983" width="17.85546875" style="12" customWidth="1"/>
    <col min="3984" max="3986" width="1" style="12" customWidth="1"/>
    <col min="3987" max="3987" width="1.85546875" style="12" customWidth="1"/>
    <col min="3988" max="3988" width="11.7109375" style="12" bestFit="1" customWidth="1"/>
    <col min="3989" max="3989" width="10" style="12"/>
    <col min="3990" max="3990" width="10.42578125" style="12" bestFit="1" customWidth="1"/>
    <col min="3991" max="3993" width="10" style="12"/>
    <col min="3994" max="3994" width="13.42578125" style="12" bestFit="1" customWidth="1"/>
    <col min="3995" max="4096" width="10" style="12"/>
    <col min="4097" max="4099" width="0" style="12" hidden="1" customWidth="1"/>
    <col min="4100" max="4100" width="64.85546875" style="12" customWidth="1"/>
    <col min="4101" max="4101" width="7" style="12" customWidth="1"/>
    <col min="4102" max="4103" width="1" style="12" customWidth="1"/>
    <col min="4104" max="4104" width="15.140625" style="12" customWidth="1"/>
    <col min="4105" max="4106" width="1" style="12" customWidth="1"/>
    <col min="4107" max="4161" width="0" style="12" hidden="1" customWidth="1"/>
    <col min="4162" max="4163" width="1" style="12" customWidth="1"/>
    <col min="4164" max="4164" width="17.85546875" style="12" customWidth="1"/>
    <col min="4165" max="4168" width="1" style="12" customWidth="1"/>
    <col min="4169" max="4169" width="18.7109375" style="12" bestFit="1" customWidth="1"/>
    <col min="4170" max="4173" width="1" style="12" customWidth="1"/>
    <col min="4174" max="4174" width="17.28515625" style="12" customWidth="1"/>
    <col min="4175" max="4175" width="0.7109375" style="12" customWidth="1"/>
    <col min="4176" max="4176" width="1" style="12" customWidth="1"/>
    <col min="4177" max="4231" width="0" style="12" hidden="1" customWidth="1"/>
    <col min="4232" max="4233" width="1" style="12" customWidth="1"/>
    <col min="4234" max="4234" width="16.85546875" style="12" customWidth="1"/>
    <col min="4235" max="4235" width="1" style="12" customWidth="1"/>
    <col min="4236" max="4236" width="2.42578125" style="12" customWidth="1"/>
    <col min="4237" max="4238" width="1" style="12" customWidth="1"/>
    <col min="4239" max="4239" width="17.85546875" style="12" customWidth="1"/>
    <col min="4240" max="4242" width="1" style="12" customWidth="1"/>
    <col min="4243" max="4243" width="1.85546875" style="12" customWidth="1"/>
    <col min="4244" max="4244" width="11.7109375" style="12" bestFit="1" customWidth="1"/>
    <col min="4245" max="4245" width="10" style="12"/>
    <col min="4246" max="4246" width="10.42578125" style="12" bestFit="1" customWidth="1"/>
    <col min="4247" max="4249" width="10" style="12"/>
    <col min="4250" max="4250" width="13.42578125" style="12" bestFit="1" customWidth="1"/>
    <col min="4251" max="4352" width="10" style="12"/>
    <col min="4353" max="4355" width="0" style="12" hidden="1" customWidth="1"/>
    <col min="4356" max="4356" width="64.85546875" style="12" customWidth="1"/>
    <col min="4357" max="4357" width="7" style="12" customWidth="1"/>
    <col min="4358" max="4359" width="1" style="12" customWidth="1"/>
    <col min="4360" max="4360" width="15.140625" style="12" customWidth="1"/>
    <col min="4361" max="4362" width="1" style="12" customWidth="1"/>
    <col min="4363" max="4417" width="0" style="12" hidden="1" customWidth="1"/>
    <col min="4418" max="4419" width="1" style="12" customWidth="1"/>
    <col min="4420" max="4420" width="17.85546875" style="12" customWidth="1"/>
    <col min="4421" max="4424" width="1" style="12" customWidth="1"/>
    <col min="4425" max="4425" width="18.7109375" style="12" bestFit="1" customWidth="1"/>
    <col min="4426" max="4429" width="1" style="12" customWidth="1"/>
    <col min="4430" max="4430" width="17.28515625" style="12" customWidth="1"/>
    <col min="4431" max="4431" width="0.7109375" style="12" customWidth="1"/>
    <col min="4432" max="4432" width="1" style="12" customWidth="1"/>
    <col min="4433" max="4487" width="0" style="12" hidden="1" customWidth="1"/>
    <col min="4488" max="4489" width="1" style="12" customWidth="1"/>
    <col min="4490" max="4490" width="16.85546875" style="12" customWidth="1"/>
    <col min="4491" max="4491" width="1" style="12" customWidth="1"/>
    <col min="4492" max="4492" width="2.42578125" style="12" customWidth="1"/>
    <col min="4493" max="4494" width="1" style="12" customWidth="1"/>
    <col min="4495" max="4495" width="17.85546875" style="12" customWidth="1"/>
    <col min="4496" max="4498" width="1" style="12" customWidth="1"/>
    <col min="4499" max="4499" width="1.85546875" style="12" customWidth="1"/>
    <col min="4500" max="4500" width="11.7109375" style="12" bestFit="1" customWidth="1"/>
    <col min="4501" max="4501" width="10" style="12"/>
    <col min="4502" max="4502" width="10.42578125" style="12" bestFit="1" customWidth="1"/>
    <col min="4503" max="4505" width="10" style="12"/>
    <col min="4506" max="4506" width="13.42578125" style="12" bestFit="1" customWidth="1"/>
    <col min="4507" max="4608" width="10" style="12"/>
    <col min="4609" max="4611" width="0" style="12" hidden="1" customWidth="1"/>
    <col min="4612" max="4612" width="64.85546875" style="12" customWidth="1"/>
    <col min="4613" max="4613" width="7" style="12" customWidth="1"/>
    <col min="4614" max="4615" width="1" style="12" customWidth="1"/>
    <col min="4616" max="4616" width="15.140625" style="12" customWidth="1"/>
    <col min="4617" max="4618" width="1" style="12" customWidth="1"/>
    <col min="4619" max="4673" width="0" style="12" hidden="1" customWidth="1"/>
    <col min="4674" max="4675" width="1" style="12" customWidth="1"/>
    <col min="4676" max="4676" width="17.85546875" style="12" customWidth="1"/>
    <col min="4677" max="4680" width="1" style="12" customWidth="1"/>
    <col min="4681" max="4681" width="18.7109375" style="12" bestFit="1" customWidth="1"/>
    <col min="4682" max="4685" width="1" style="12" customWidth="1"/>
    <col min="4686" max="4686" width="17.28515625" style="12" customWidth="1"/>
    <col min="4687" max="4687" width="0.7109375" style="12" customWidth="1"/>
    <col min="4688" max="4688" width="1" style="12" customWidth="1"/>
    <col min="4689" max="4743" width="0" style="12" hidden="1" customWidth="1"/>
    <col min="4744" max="4745" width="1" style="12" customWidth="1"/>
    <col min="4746" max="4746" width="16.85546875" style="12" customWidth="1"/>
    <col min="4747" max="4747" width="1" style="12" customWidth="1"/>
    <col min="4748" max="4748" width="2.42578125" style="12" customWidth="1"/>
    <col min="4749" max="4750" width="1" style="12" customWidth="1"/>
    <col min="4751" max="4751" width="17.85546875" style="12" customWidth="1"/>
    <col min="4752" max="4754" width="1" style="12" customWidth="1"/>
    <col min="4755" max="4755" width="1.85546875" style="12" customWidth="1"/>
    <col min="4756" max="4756" width="11.7109375" style="12" bestFit="1" customWidth="1"/>
    <col min="4757" max="4757" width="10" style="12"/>
    <col min="4758" max="4758" width="10.42578125" style="12" bestFit="1" customWidth="1"/>
    <col min="4759" max="4761" width="10" style="12"/>
    <col min="4762" max="4762" width="13.42578125" style="12" bestFit="1" customWidth="1"/>
    <col min="4763" max="4864" width="10" style="12"/>
    <col min="4865" max="4867" width="0" style="12" hidden="1" customWidth="1"/>
    <col min="4868" max="4868" width="64.85546875" style="12" customWidth="1"/>
    <col min="4869" max="4869" width="7" style="12" customWidth="1"/>
    <col min="4870" max="4871" width="1" style="12" customWidth="1"/>
    <col min="4872" max="4872" width="15.140625" style="12" customWidth="1"/>
    <col min="4873" max="4874" width="1" style="12" customWidth="1"/>
    <col min="4875" max="4929" width="0" style="12" hidden="1" customWidth="1"/>
    <col min="4930" max="4931" width="1" style="12" customWidth="1"/>
    <col min="4932" max="4932" width="17.85546875" style="12" customWidth="1"/>
    <col min="4933" max="4936" width="1" style="12" customWidth="1"/>
    <col min="4937" max="4937" width="18.7109375" style="12" bestFit="1" customWidth="1"/>
    <col min="4938" max="4941" width="1" style="12" customWidth="1"/>
    <col min="4942" max="4942" width="17.28515625" style="12" customWidth="1"/>
    <col min="4943" max="4943" width="0.7109375" style="12" customWidth="1"/>
    <col min="4944" max="4944" width="1" style="12" customWidth="1"/>
    <col min="4945" max="4999" width="0" style="12" hidden="1" customWidth="1"/>
    <col min="5000" max="5001" width="1" style="12" customWidth="1"/>
    <col min="5002" max="5002" width="16.85546875" style="12" customWidth="1"/>
    <col min="5003" max="5003" width="1" style="12" customWidth="1"/>
    <col min="5004" max="5004" width="2.42578125" style="12" customWidth="1"/>
    <col min="5005" max="5006" width="1" style="12" customWidth="1"/>
    <col min="5007" max="5007" width="17.85546875" style="12" customWidth="1"/>
    <col min="5008" max="5010" width="1" style="12" customWidth="1"/>
    <col min="5011" max="5011" width="1.85546875" style="12" customWidth="1"/>
    <col min="5012" max="5012" width="11.7109375" style="12" bestFit="1" customWidth="1"/>
    <col min="5013" max="5013" width="10" style="12"/>
    <col min="5014" max="5014" width="10.42578125" style="12" bestFit="1" customWidth="1"/>
    <col min="5015" max="5017" width="10" style="12"/>
    <col min="5018" max="5018" width="13.42578125" style="12" bestFit="1" customWidth="1"/>
    <col min="5019" max="5120" width="10" style="12"/>
    <col min="5121" max="5123" width="0" style="12" hidden="1" customWidth="1"/>
    <col min="5124" max="5124" width="64.85546875" style="12" customWidth="1"/>
    <col min="5125" max="5125" width="7" style="12" customWidth="1"/>
    <col min="5126" max="5127" width="1" style="12" customWidth="1"/>
    <col min="5128" max="5128" width="15.140625" style="12" customWidth="1"/>
    <col min="5129" max="5130" width="1" style="12" customWidth="1"/>
    <col min="5131" max="5185" width="0" style="12" hidden="1" customWidth="1"/>
    <col min="5186" max="5187" width="1" style="12" customWidth="1"/>
    <col min="5188" max="5188" width="17.85546875" style="12" customWidth="1"/>
    <col min="5189" max="5192" width="1" style="12" customWidth="1"/>
    <col min="5193" max="5193" width="18.7109375" style="12" bestFit="1" customWidth="1"/>
    <col min="5194" max="5197" width="1" style="12" customWidth="1"/>
    <col min="5198" max="5198" width="17.28515625" style="12" customWidth="1"/>
    <col min="5199" max="5199" width="0.7109375" style="12" customWidth="1"/>
    <col min="5200" max="5200" width="1" style="12" customWidth="1"/>
    <col min="5201" max="5255" width="0" style="12" hidden="1" customWidth="1"/>
    <col min="5256" max="5257" width="1" style="12" customWidth="1"/>
    <col min="5258" max="5258" width="16.85546875" style="12" customWidth="1"/>
    <col min="5259" max="5259" width="1" style="12" customWidth="1"/>
    <col min="5260" max="5260" width="2.42578125" style="12" customWidth="1"/>
    <col min="5261" max="5262" width="1" style="12" customWidth="1"/>
    <col min="5263" max="5263" width="17.85546875" style="12" customWidth="1"/>
    <col min="5264" max="5266" width="1" style="12" customWidth="1"/>
    <col min="5267" max="5267" width="1.85546875" style="12" customWidth="1"/>
    <col min="5268" max="5268" width="11.7109375" style="12" bestFit="1" customWidth="1"/>
    <col min="5269" max="5269" width="10" style="12"/>
    <col min="5270" max="5270" width="10.42578125" style="12" bestFit="1" customWidth="1"/>
    <col min="5271" max="5273" width="10" style="12"/>
    <col min="5274" max="5274" width="13.42578125" style="12" bestFit="1" customWidth="1"/>
    <col min="5275" max="5376" width="10" style="12"/>
    <col min="5377" max="5379" width="0" style="12" hidden="1" customWidth="1"/>
    <col min="5380" max="5380" width="64.85546875" style="12" customWidth="1"/>
    <col min="5381" max="5381" width="7" style="12" customWidth="1"/>
    <col min="5382" max="5383" width="1" style="12" customWidth="1"/>
    <col min="5384" max="5384" width="15.140625" style="12" customWidth="1"/>
    <col min="5385" max="5386" width="1" style="12" customWidth="1"/>
    <col min="5387" max="5441" width="0" style="12" hidden="1" customWidth="1"/>
    <col min="5442" max="5443" width="1" style="12" customWidth="1"/>
    <col min="5444" max="5444" width="17.85546875" style="12" customWidth="1"/>
    <col min="5445" max="5448" width="1" style="12" customWidth="1"/>
    <col min="5449" max="5449" width="18.7109375" style="12" bestFit="1" customWidth="1"/>
    <col min="5450" max="5453" width="1" style="12" customWidth="1"/>
    <col min="5454" max="5454" width="17.28515625" style="12" customWidth="1"/>
    <col min="5455" max="5455" width="0.7109375" style="12" customWidth="1"/>
    <col min="5456" max="5456" width="1" style="12" customWidth="1"/>
    <col min="5457" max="5511" width="0" style="12" hidden="1" customWidth="1"/>
    <col min="5512" max="5513" width="1" style="12" customWidth="1"/>
    <col min="5514" max="5514" width="16.85546875" style="12" customWidth="1"/>
    <col min="5515" max="5515" width="1" style="12" customWidth="1"/>
    <col min="5516" max="5516" width="2.42578125" style="12" customWidth="1"/>
    <col min="5517" max="5518" width="1" style="12" customWidth="1"/>
    <col min="5519" max="5519" width="17.85546875" style="12" customWidth="1"/>
    <col min="5520" max="5522" width="1" style="12" customWidth="1"/>
    <col min="5523" max="5523" width="1.85546875" style="12" customWidth="1"/>
    <col min="5524" max="5524" width="11.7109375" style="12" bestFit="1" customWidth="1"/>
    <col min="5525" max="5525" width="10" style="12"/>
    <col min="5526" max="5526" width="10.42578125" style="12" bestFit="1" customWidth="1"/>
    <col min="5527" max="5529" width="10" style="12"/>
    <col min="5530" max="5530" width="13.42578125" style="12" bestFit="1" customWidth="1"/>
    <col min="5531" max="5632" width="10" style="12"/>
    <col min="5633" max="5635" width="0" style="12" hidden="1" customWidth="1"/>
    <col min="5636" max="5636" width="64.85546875" style="12" customWidth="1"/>
    <col min="5637" max="5637" width="7" style="12" customWidth="1"/>
    <col min="5638" max="5639" width="1" style="12" customWidth="1"/>
    <col min="5640" max="5640" width="15.140625" style="12" customWidth="1"/>
    <col min="5641" max="5642" width="1" style="12" customWidth="1"/>
    <col min="5643" max="5697" width="0" style="12" hidden="1" customWidth="1"/>
    <col min="5698" max="5699" width="1" style="12" customWidth="1"/>
    <col min="5700" max="5700" width="17.85546875" style="12" customWidth="1"/>
    <col min="5701" max="5704" width="1" style="12" customWidth="1"/>
    <col min="5705" max="5705" width="18.7109375" style="12" bestFit="1" customWidth="1"/>
    <col min="5706" max="5709" width="1" style="12" customWidth="1"/>
    <col min="5710" max="5710" width="17.28515625" style="12" customWidth="1"/>
    <col min="5711" max="5711" width="0.7109375" style="12" customWidth="1"/>
    <col min="5712" max="5712" width="1" style="12" customWidth="1"/>
    <col min="5713" max="5767" width="0" style="12" hidden="1" customWidth="1"/>
    <col min="5768" max="5769" width="1" style="12" customWidth="1"/>
    <col min="5770" max="5770" width="16.85546875" style="12" customWidth="1"/>
    <col min="5771" max="5771" width="1" style="12" customWidth="1"/>
    <col min="5772" max="5772" width="2.42578125" style="12" customWidth="1"/>
    <col min="5773" max="5774" width="1" style="12" customWidth="1"/>
    <col min="5775" max="5775" width="17.85546875" style="12" customWidth="1"/>
    <col min="5776" max="5778" width="1" style="12" customWidth="1"/>
    <col min="5779" max="5779" width="1.85546875" style="12" customWidth="1"/>
    <col min="5780" max="5780" width="11.7109375" style="12" bestFit="1" customWidth="1"/>
    <col min="5781" max="5781" width="10" style="12"/>
    <col min="5782" max="5782" width="10.42578125" style="12" bestFit="1" customWidth="1"/>
    <col min="5783" max="5785" width="10" style="12"/>
    <col min="5786" max="5786" width="13.42578125" style="12" bestFit="1" customWidth="1"/>
    <col min="5787" max="5888" width="10" style="12"/>
    <col min="5889" max="5891" width="0" style="12" hidden="1" customWidth="1"/>
    <col min="5892" max="5892" width="64.85546875" style="12" customWidth="1"/>
    <col min="5893" max="5893" width="7" style="12" customWidth="1"/>
    <col min="5894" max="5895" width="1" style="12" customWidth="1"/>
    <col min="5896" max="5896" width="15.140625" style="12" customWidth="1"/>
    <col min="5897" max="5898" width="1" style="12" customWidth="1"/>
    <col min="5899" max="5953" width="0" style="12" hidden="1" customWidth="1"/>
    <col min="5954" max="5955" width="1" style="12" customWidth="1"/>
    <col min="5956" max="5956" width="17.85546875" style="12" customWidth="1"/>
    <col min="5957" max="5960" width="1" style="12" customWidth="1"/>
    <col min="5961" max="5961" width="18.7109375" style="12" bestFit="1" customWidth="1"/>
    <col min="5962" max="5965" width="1" style="12" customWidth="1"/>
    <col min="5966" max="5966" width="17.28515625" style="12" customWidth="1"/>
    <col min="5967" max="5967" width="0.7109375" style="12" customWidth="1"/>
    <col min="5968" max="5968" width="1" style="12" customWidth="1"/>
    <col min="5969" max="6023" width="0" style="12" hidden="1" customWidth="1"/>
    <col min="6024" max="6025" width="1" style="12" customWidth="1"/>
    <col min="6026" max="6026" width="16.85546875" style="12" customWidth="1"/>
    <col min="6027" max="6027" width="1" style="12" customWidth="1"/>
    <col min="6028" max="6028" width="2.42578125" style="12" customWidth="1"/>
    <col min="6029" max="6030" width="1" style="12" customWidth="1"/>
    <col min="6031" max="6031" width="17.85546875" style="12" customWidth="1"/>
    <col min="6032" max="6034" width="1" style="12" customWidth="1"/>
    <col min="6035" max="6035" width="1.85546875" style="12" customWidth="1"/>
    <col min="6036" max="6036" width="11.7109375" style="12" bestFit="1" customWidth="1"/>
    <col min="6037" max="6037" width="10" style="12"/>
    <col min="6038" max="6038" width="10.42578125" style="12" bestFit="1" customWidth="1"/>
    <col min="6039" max="6041" width="10" style="12"/>
    <col min="6042" max="6042" width="13.42578125" style="12" bestFit="1" customWidth="1"/>
    <col min="6043" max="6144" width="10" style="12"/>
    <col min="6145" max="6147" width="0" style="12" hidden="1" customWidth="1"/>
    <col min="6148" max="6148" width="64.85546875" style="12" customWidth="1"/>
    <col min="6149" max="6149" width="7" style="12" customWidth="1"/>
    <col min="6150" max="6151" width="1" style="12" customWidth="1"/>
    <col min="6152" max="6152" width="15.140625" style="12" customWidth="1"/>
    <col min="6153" max="6154" width="1" style="12" customWidth="1"/>
    <col min="6155" max="6209" width="0" style="12" hidden="1" customWidth="1"/>
    <col min="6210" max="6211" width="1" style="12" customWidth="1"/>
    <col min="6212" max="6212" width="17.85546875" style="12" customWidth="1"/>
    <col min="6213" max="6216" width="1" style="12" customWidth="1"/>
    <col min="6217" max="6217" width="18.7109375" style="12" bestFit="1" customWidth="1"/>
    <col min="6218" max="6221" width="1" style="12" customWidth="1"/>
    <col min="6222" max="6222" width="17.28515625" style="12" customWidth="1"/>
    <col min="6223" max="6223" width="0.7109375" style="12" customWidth="1"/>
    <col min="6224" max="6224" width="1" style="12" customWidth="1"/>
    <col min="6225" max="6279" width="0" style="12" hidden="1" customWidth="1"/>
    <col min="6280" max="6281" width="1" style="12" customWidth="1"/>
    <col min="6282" max="6282" width="16.85546875" style="12" customWidth="1"/>
    <col min="6283" max="6283" width="1" style="12" customWidth="1"/>
    <col min="6284" max="6284" width="2.42578125" style="12" customWidth="1"/>
    <col min="6285" max="6286" width="1" style="12" customWidth="1"/>
    <col min="6287" max="6287" width="17.85546875" style="12" customWidth="1"/>
    <col min="6288" max="6290" width="1" style="12" customWidth="1"/>
    <col min="6291" max="6291" width="1.85546875" style="12" customWidth="1"/>
    <col min="6292" max="6292" width="11.7109375" style="12" bestFit="1" customWidth="1"/>
    <col min="6293" max="6293" width="10" style="12"/>
    <col min="6294" max="6294" width="10.42578125" style="12" bestFit="1" customWidth="1"/>
    <col min="6295" max="6297" width="10" style="12"/>
    <col min="6298" max="6298" width="13.42578125" style="12" bestFit="1" customWidth="1"/>
    <col min="6299" max="6400" width="10" style="12"/>
    <col min="6401" max="6403" width="0" style="12" hidden="1" customWidth="1"/>
    <col min="6404" max="6404" width="64.85546875" style="12" customWidth="1"/>
    <col min="6405" max="6405" width="7" style="12" customWidth="1"/>
    <col min="6406" max="6407" width="1" style="12" customWidth="1"/>
    <col min="6408" max="6408" width="15.140625" style="12" customWidth="1"/>
    <col min="6409" max="6410" width="1" style="12" customWidth="1"/>
    <col min="6411" max="6465" width="0" style="12" hidden="1" customWidth="1"/>
    <col min="6466" max="6467" width="1" style="12" customWidth="1"/>
    <col min="6468" max="6468" width="17.85546875" style="12" customWidth="1"/>
    <col min="6469" max="6472" width="1" style="12" customWidth="1"/>
    <col min="6473" max="6473" width="18.7109375" style="12" bestFit="1" customWidth="1"/>
    <col min="6474" max="6477" width="1" style="12" customWidth="1"/>
    <col min="6478" max="6478" width="17.28515625" style="12" customWidth="1"/>
    <col min="6479" max="6479" width="0.7109375" style="12" customWidth="1"/>
    <col min="6480" max="6480" width="1" style="12" customWidth="1"/>
    <col min="6481" max="6535" width="0" style="12" hidden="1" customWidth="1"/>
    <col min="6536" max="6537" width="1" style="12" customWidth="1"/>
    <col min="6538" max="6538" width="16.85546875" style="12" customWidth="1"/>
    <col min="6539" max="6539" width="1" style="12" customWidth="1"/>
    <col min="6540" max="6540" width="2.42578125" style="12" customWidth="1"/>
    <col min="6541" max="6542" width="1" style="12" customWidth="1"/>
    <col min="6543" max="6543" width="17.85546875" style="12" customWidth="1"/>
    <col min="6544" max="6546" width="1" style="12" customWidth="1"/>
    <col min="6547" max="6547" width="1.85546875" style="12" customWidth="1"/>
    <col min="6548" max="6548" width="11.7109375" style="12" bestFit="1" customWidth="1"/>
    <col min="6549" max="6549" width="10" style="12"/>
    <col min="6550" max="6550" width="10.42578125" style="12" bestFit="1" customWidth="1"/>
    <col min="6551" max="6553" width="10" style="12"/>
    <col min="6554" max="6554" width="13.42578125" style="12" bestFit="1" customWidth="1"/>
    <col min="6555" max="6656" width="10" style="12"/>
    <col min="6657" max="6659" width="0" style="12" hidden="1" customWidth="1"/>
    <col min="6660" max="6660" width="64.85546875" style="12" customWidth="1"/>
    <col min="6661" max="6661" width="7" style="12" customWidth="1"/>
    <col min="6662" max="6663" width="1" style="12" customWidth="1"/>
    <col min="6664" max="6664" width="15.140625" style="12" customWidth="1"/>
    <col min="6665" max="6666" width="1" style="12" customWidth="1"/>
    <col min="6667" max="6721" width="0" style="12" hidden="1" customWidth="1"/>
    <col min="6722" max="6723" width="1" style="12" customWidth="1"/>
    <col min="6724" max="6724" width="17.85546875" style="12" customWidth="1"/>
    <col min="6725" max="6728" width="1" style="12" customWidth="1"/>
    <col min="6729" max="6729" width="18.7109375" style="12" bestFit="1" customWidth="1"/>
    <col min="6730" max="6733" width="1" style="12" customWidth="1"/>
    <col min="6734" max="6734" width="17.28515625" style="12" customWidth="1"/>
    <col min="6735" max="6735" width="0.7109375" style="12" customWidth="1"/>
    <col min="6736" max="6736" width="1" style="12" customWidth="1"/>
    <col min="6737" max="6791" width="0" style="12" hidden="1" customWidth="1"/>
    <col min="6792" max="6793" width="1" style="12" customWidth="1"/>
    <col min="6794" max="6794" width="16.85546875" style="12" customWidth="1"/>
    <col min="6795" max="6795" width="1" style="12" customWidth="1"/>
    <col min="6796" max="6796" width="2.42578125" style="12" customWidth="1"/>
    <col min="6797" max="6798" width="1" style="12" customWidth="1"/>
    <col min="6799" max="6799" width="17.85546875" style="12" customWidth="1"/>
    <col min="6800" max="6802" width="1" style="12" customWidth="1"/>
    <col min="6803" max="6803" width="1.85546875" style="12" customWidth="1"/>
    <col min="6804" max="6804" width="11.7109375" style="12" bestFit="1" customWidth="1"/>
    <col min="6805" max="6805" width="10" style="12"/>
    <col min="6806" max="6806" width="10.42578125" style="12" bestFit="1" customWidth="1"/>
    <col min="6807" max="6809" width="10" style="12"/>
    <col min="6810" max="6810" width="13.42578125" style="12" bestFit="1" customWidth="1"/>
    <col min="6811" max="6912" width="10" style="12"/>
    <col min="6913" max="6915" width="0" style="12" hidden="1" customWidth="1"/>
    <col min="6916" max="6916" width="64.85546875" style="12" customWidth="1"/>
    <col min="6917" max="6917" width="7" style="12" customWidth="1"/>
    <col min="6918" max="6919" width="1" style="12" customWidth="1"/>
    <col min="6920" max="6920" width="15.140625" style="12" customWidth="1"/>
    <col min="6921" max="6922" width="1" style="12" customWidth="1"/>
    <col min="6923" max="6977" width="0" style="12" hidden="1" customWidth="1"/>
    <col min="6978" max="6979" width="1" style="12" customWidth="1"/>
    <col min="6980" max="6980" width="17.85546875" style="12" customWidth="1"/>
    <col min="6981" max="6984" width="1" style="12" customWidth="1"/>
    <col min="6985" max="6985" width="18.7109375" style="12" bestFit="1" customWidth="1"/>
    <col min="6986" max="6989" width="1" style="12" customWidth="1"/>
    <col min="6990" max="6990" width="17.28515625" style="12" customWidth="1"/>
    <col min="6991" max="6991" width="0.7109375" style="12" customWidth="1"/>
    <col min="6992" max="6992" width="1" style="12" customWidth="1"/>
    <col min="6993" max="7047" width="0" style="12" hidden="1" customWidth="1"/>
    <col min="7048" max="7049" width="1" style="12" customWidth="1"/>
    <col min="7050" max="7050" width="16.85546875" style="12" customWidth="1"/>
    <col min="7051" max="7051" width="1" style="12" customWidth="1"/>
    <col min="7052" max="7052" width="2.42578125" style="12" customWidth="1"/>
    <col min="7053" max="7054" width="1" style="12" customWidth="1"/>
    <col min="7055" max="7055" width="17.85546875" style="12" customWidth="1"/>
    <col min="7056" max="7058" width="1" style="12" customWidth="1"/>
    <col min="7059" max="7059" width="1.85546875" style="12" customWidth="1"/>
    <col min="7060" max="7060" width="11.7109375" style="12" bestFit="1" customWidth="1"/>
    <col min="7061" max="7061" width="10" style="12"/>
    <col min="7062" max="7062" width="10.42578125" style="12" bestFit="1" customWidth="1"/>
    <col min="7063" max="7065" width="10" style="12"/>
    <col min="7066" max="7066" width="13.42578125" style="12" bestFit="1" customWidth="1"/>
    <col min="7067" max="7168" width="10" style="12"/>
    <col min="7169" max="7171" width="0" style="12" hidden="1" customWidth="1"/>
    <col min="7172" max="7172" width="64.85546875" style="12" customWidth="1"/>
    <col min="7173" max="7173" width="7" style="12" customWidth="1"/>
    <col min="7174" max="7175" width="1" style="12" customWidth="1"/>
    <col min="7176" max="7176" width="15.140625" style="12" customWidth="1"/>
    <col min="7177" max="7178" width="1" style="12" customWidth="1"/>
    <col min="7179" max="7233" width="0" style="12" hidden="1" customWidth="1"/>
    <col min="7234" max="7235" width="1" style="12" customWidth="1"/>
    <col min="7236" max="7236" width="17.85546875" style="12" customWidth="1"/>
    <col min="7237" max="7240" width="1" style="12" customWidth="1"/>
    <col min="7241" max="7241" width="18.7109375" style="12" bestFit="1" customWidth="1"/>
    <col min="7242" max="7245" width="1" style="12" customWidth="1"/>
    <col min="7246" max="7246" width="17.28515625" style="12" customWidth="1"/>
    <col min="7247" max="7247" width="0.7109375" style="12" customWidth="1"/>
    <col min="7248" max="7248" width="1" style="12" customWidth="1"/>
    <col min="7249" max="7303" width="0" style="12" hidden="1" customWidth="1"/>
    <col min="7304" max="7305" width="1" style="12" customWidth="1"/>
    <col min="7306" max="7306" width="16.85546875" style="12" customWidth="1"/>
    <col min="7307" max="7307" width="1" style="12" customWidth="1"/>
    <col min="7308" max="7308" width="2.42578125" style="12" customWidth="1"/>
    <col min="7309" max="7310" width="1" style="12" customWidth="1"/>
    <col min="7311" max="7311" width="17.85546875" style="12" customWidth="1"/>
    <col min="7312" max="7314" width="1" style="12" customWidth="1"/>
    <col min="7315" max="7315" width="1.85546875" style="12" customWidth="1"/>
    <col min="7316" max="7316" width="11.7109375" style="12" bestFit="1" customWidth="1"/>
    <col min="7317" max="7317" width="10" style="12"/>
    <col min="7318" max="7318" width="10.42578125" style="12" bestFit="1" customWidth="1"/>
    <col min="7319" max="7321" width="10" style="12"/>
    <col min="7322" max="7322" width="13.42578125" style="12" bestFit="1" customWidth="1"/>
    <col min="7323" max="7424" width="10" style="12"/>
    <col min="7425" max="7427" width="0" style="12" hidden="1" customWidth="1"/>
    <col min="7428" max="7428" width="64.85546875" style="12" customWidth="1"/>
    <col min="7429" max="7429" width="7" style="12" customWidth="1"/>
    <col min="7430" max="7431" width="1" style="12" customWidth="1"/>
    <col min="7432" max="7432" width="15.140625" style="12" customWidth="1"/>
    <col min="7433" max="7434" width="1" style="12" customWidth="1"/>
    <col min="7435" max="7489" width="0" style="12" hidden="1" customWidth="1"/>
    <col min="7490" max="7491" width="1" style="12" customWidth="1"/>
    <col min="7492" max="7492" width="17.85546875" style="12" customWidth="1"/>
    <col min="7493" max="7496" width="1" style="12" customWidth="1"/>
    <col min="7497" max="7497" width="18.7109375" style="12" bestFit="1" customWidth="1"/>
    <col min="7498" max="7501" width="1" style="12" customWidth="1"/>
    <col min="7502" max="7502" width="17.28515625" style="12" customWidth="1"/>
    <col min="7503" max="7503" width="0.7109375" style="12" customWidth="1"/>
    <col min="7504" max="7504" width="1" style="12" customWidth="1"/>
    <col min="7505" max="7559" width="0" style="12" hidden="1" customWidth="1"/>
    <col min="7560" max="7561" width="1" style="12" customWidth="1"/>
    <col min="7562" max="7562" width="16.85546875" style="12" customWidth="1"/>
    <col min="7563" max="7563" width="1" style="12" customWidth="1"/>
    <col min="7564" max="7564" width="2.42578125" style="12" customWidth="1"/>
    <col min="7565" max="7566" width="1" style="12" customWidth="1"/>
    <col min="7567" max="7567" width="17.85546875" style="12" customWidth="1"/>
    <col min="7568" max="7570" width="1" style="12" customWidth="1"/>
    <col min="7571" max="7571" width="1.85546875" style="12" customWidth="1"/>
    <col min="7572" max="7572" width="11.7109375" style="12" bestFit="1" customWidth="1"/>
    <col min="7573" max="7573" width="10" style="12"/>
    <col min="7574" max="7574" width="10.42578125" style="12" bestFit="1" customWidth="1"/>
    <col min="7575" max="7577" width="10" style="12"/>
    <col min="7578" max="7578" width="13.42578125" style="12" bestFit="1" customWidth="1"/>
    <col min="7579" max="7680" width="10" style="12"/>
    <col min="7681" max="7683" width="0" style="12" hidden="1" customWidth="1"/>
    <col min="7684" max="7684" width="64.85546875" style="12" customWidth="1"/>
    <col min="7685" max="7685" width="7" style="12" customWidth="1"/>
    <col min="7686" max="7687" width="1" style="12" customWidth="1"/>
    <col min="7688" max="7688" width="15.140625" style="12" customWidth="1"/>
    <col min="7689" max="7690" width="1" style="12" customWidth="1"/>
    <col min="7691" max="7745" width="0" style="12" hidden="1" customWidth="1"/>
    <col min="7746" max="7747" width="1" style="12" customWidth="1"/>
    <col min="7748" max="7748" width="17.85546875" style="12" customWidth="1"/>
    <col min="7749" max="7752" width="1" style="12" customWidth="1"/>
    <col min="7753" max="7753" width="18.7109375" style="12" bestFit="1" customWidth="1"/>
    <col min="7754" max="7757" width="1" style="12" customWidth="1"/>
    <col min="7758" max="7758" width="17.28515625" style="12" customWidth="1"/>
    <col min="7759" max="7759" width="0.7109375" style="12" customWidth="1"/>
    <col min="7760" max="7760" width="1" style="12" customWidth="1"/>
    <col min="7761" max="7815" width="0" style="12" hidden="1" customWidth="1"/>
    <col min="7816" max="7817" width="1" style="12" customWidth="1"/>
    <col min="7818" max="7818" width="16.85546875" style="12" customWidth="1"/>
    <col min="7819" max="7819" width="1" style="12" customWidth="1"/>
    <col min="7820" max="7820" width="2.42578125" style="12" customWidth="1"/>
    <col min="7821" max="7822" width="1" style="12" customWidth="1"/>
    <col min="7823" max="7823" width="17.85546875" style="12" customWidth="1"/>
    <col min="7824" max="7826" width="1" style="12" customWidth="1"/>
    <col min="7827" max="7827" width="1.85546875" style="12" customWidth="1"/>
    <col min="7828" max="7828" width="11.7109375" style="12" bestFit="1" customWidth="1"/>
    <col min="7829" max="7829" width="10" style="12"/>
    <col min="7830" max="7830" width="10.42578125" style="12" bestFit="1" customWidth="1"/>
    <col min="7831" max="7833" width="10" style="12"/>
    <col min="7834" max="7834" width="13.42578125" style="12" bestFit="1" customWidth="1"/>
    <col min="7835" max="7936" width="10" style="12"/>
    <col min="7937" max="7939" width="0" style="12" hidden="1" customWidth="1"/>
    <col min="7940" max="7940" width="64.85546875" style="12" customWidth="1"/>
    <col min="7941" max="7941" width="7" style="12" customWidth="1"/>
    <col min="7942" max="7943" width="1" style="12" customWidth="1"/>
    <col min="7944" max="7944" width="15.140625" style="12" customWidth="1"/>
    <col min="7945" max="7946" width="1" style="12" customWidth="1"/>
    <col min="7947" max="8001" width="0" style="12" hidden="1" customWidth="1"/>
    <col min="8002" max="8003" width="1" style="12" customWidth="1"/>
    <col min="8004" max="8004" width="17.85546875" style="12" customWidth="1"/>
    <col min="8005" max="8008" width="1" style="12" customWidth="1"/>
    <col min="8009" max="8009" width="18.7109375" style="12" bestFit="1" customWidth="1"/>
    <col min="8010" max="8013" width="1" style="12" customWidth="1"/>
    <col min="8014" max="8014" width="17.28515625" style="12" customWidth="1"/>
    <col min="8015" max="8015" width="0.7109375" style="12" customWidth="1"/>
    <col min="8016" max="8016" width="1" style="12" customWidth="1"/>
    <col min="8017" max="8071" width="0" style="12" hidden="1" customWidth="1"/>
    <col min="8072" max="8073" width="1" style="12" customWidth="1"/>
    <col min="8074" max="8074" width="16.85546875" style="12" customWidth="1"/>
    <col min="8075" max="8075" width="1" style="12" customWidth="1"/>
    <col min="8076" max="8076" width="2.42578125" style="12" customWidth="1"/>
    <col min="8077" max="8078" width="1" style="12" customWidth="1"/>
    <col min="8079" max="8079" width="17.85546875" style="12" customWidth="1"/>
    <col min="8080" max="8082" width="1" style="12" customWidth="1"/>
    <col min="8083" max="8083" width="1.85546875" style="12" customWidth="1"/>
    <col min="8084" max="8084" width="11.7109375" style="12" bestFit="1" customWidth="1"/>
    <col min="8085" max="8085" width="10" style="12"/>
    <col min="8086" max="8086" width="10.42578125" style="12" bestFit="1" customWidth="1"/>
    <col min="8087" max="8089" width="10" style="12"/>
    <col min="8090" max="8090" width="13.42578125" style="12" bestFit="1" customWidth="1"/>
    <col min="8091" max="8192" width="10" style="12"/>
    <col min="8193" max="8195" width="0" style="12" hidden="1" customWidth="1"/>
    <col min="8196" max="8196" width="64.85546875" style="12" customWidth="1"/>
    <col min="8197" max="8197" width="7" style="12" customWidth="1"/>
    <col min="8198" max="8199" width="1" style="12" customWidth="1"/>
    <col min="8200" max="8200" width="15.140625" style="12" customWidth="1"/>
    <col min="8201" max="8202" width="1" style="12" customWidth="1"/>
    <col min="8203" max="8257" width="0" style="12" hidden="1" customWidth="1"/>
    <col min="8258" max="8259" width="1" style="12" customWidth="1"/>
    <col min="8260" max="8260" width="17.85546875" style="12" customWidth="1"/>
    <col min="8261" max="8264" width="1" style="12" customWidth="1"/>
    <col min="8265" max="8265" width="18.7109375" style="12" bestFit="1" customWidth="1"/>
    <col min="8266" max="8269" width="1" style="12" customWidth="1"/>
    <col min="8270" max="8270" width="17.28515625" style="12" customWidth="1"/>
    <col min="8271" max="8271" width="0.7109375" style="12" customWidth="1"/>
    <col min="8272" max="8272" width="1" style="12" customWidth="1"/>
    <col min="8273" max="8327" width="0" style="12" hidden="1" customWidth="1"/>
    <col min="8328" max="8329" width="1" style="12" customWidth="1"/>
    <col min="8330" max="8330" width="16.85546875" style="12" customWidth="1"/>
    <col min="8331" max="8331" width="1" style="12" customWidth="1"/>
    <col min="8332" max="8332" width="2.42578125" style="12" customWidth="1"/>
    <col min="8333" max="8334" width="1" style="12" customWidth="1"/>
    <col min="8335" max="8335" width="17.85546875" style="12" customWidth="1"/>
    <col min="8336" max="8338" width="1" style="12" customWidth="1"/>
    <col min="8339" max="8339" width="1.85546875" style="12" customWidth="1"/>
    <col min="8340" max="8340" width="11.7109375" style="12" bestFit="1" customWidth="1"/>
    <col min="8341" max="8341" width="10" style="12"/>
    <col min="8342" max="8342" width="10.42578125" style="12" bestFit="1" customWidth="1"/>
    <col min="8343" max="8345" width="10" style="12"/>
    <col min="8346" max="8346" width="13.42578125" style="12" bestFit="1" customWidth="1"/>
    <col min="8347" max="8448" width="10" style="12"/>
    <col min="8449" max="8451" width="0" style="12" hidden="1" customWidth="1"/>
    <col min="8452" max="8452" width="64.85546875" style="12" customWidth="1"/>
    <col min="8453" max="8453" width="7" style="12" customWidth="1"/>
    <col min="8454" max="8455" width="1" style="12" customWidth="1"/>
    <col min="8456" max="8456" width="15.140625" style="12" customWidth="1"/>
    <col min="8457" max="8458" width="1" style="12" customWidth="1"/>
    <col min="8459" max="8513" width="0" style="12" hidden="1" customWidth="1"/>
    <col min="8514" max="8515" width="1" style="12" customWidth="1"/>
    <col min="8516" max="8516" width="17.85546875" style="12" customWidth="1"/>
    <col min="8517" max="8520" width="1" style="12" customWidth="1"/>
    <col min="8521" max="8521" width="18.7109375" style="12" bestFit="1" customWidth="1"/>
    <col min="8522" max="8525" width="1" style="12" customWidth="1"/>
    <col min="8526" max="8526" width="17.28515625" style="12" customWidth="1"/>
    <col min="8527" max="8527" width="0.7109375" style="12" customWidth="1"/>
    <col min="8528" max="8528" width="1" style="12" customWidth="1"/>
    <col min="8529" max="8583" width="0" style="12" hidden="1" customWidth="1"/>
    <col min="8584" max="8585" width="1" style="12" customWidth="1"/>
    <col min="8586" max="8586" width="16.85546875" style="12" customWidth="1"/>
    <col min="8587" max="8587" width="1" style="12" customWidth="1"/>
    <col min="8588" max="8588" width="2.42578125" style="12" customWidth="1"/>
    <col min="8589" max="8590" width="1" style="12" customWidth="1"/>
    <col min="8591" max="8591" width="17.85546875" style="12" customWidth="1"/>
    <col min="8592" max="8594" width="1" style="12" customWidth="1"/>
    <col min="8595" max="8595" width="1.85546875" style="12" customWidth="1"/>
    <col min="8596" max="8596" width="11.7109375" style="12" bestFit="1" customWidth="1"/>
    <col min="8597" max="8597" width="10" style="12"/>
    <col min="8598" max="8598" width="10.42578125" style="12" bestFit="1" customWidth="1"/>
    <col min="8599" max="8601" width="10" style="12"/>
    <col min="8602" max="8602" width="13.42578125" style="12" bestFit="1" customWidth="1"/>
    <col min="8603" max="8704" width="10" style="12"/>
    <col min="8705" max="8707" width="0" style="12" hidden="1" customWidth="1"/>
    <col min="8708" max="8708" width="64.85546875" style="12" customWidth="1"/>
    <col min="8709" max="8709" width="7" style="12" customWidth="1"/>
    <col min="8710" max="8711" width="1" style="12" customWidth="1"/>
    <col min="8712" max="8712" width="15.140625" style="12" customWidth="1"/>
    <col min="8713" max="8714" width="1" style="12" customWidth="1"/>
    <col min="8715" max="8769" width="0" style="12" hidden="1" customWidth="1"/>
    <col min="8770" max="8771" width="1" style="12" customWidth="1"/>
    <col min="8772" max="8772" width="17.85546875" style="12" customWidth="1"/>
    <col min="8773" max="8776" width="1" style="12" customWidth="1"/>
    <col min="8777" max="8777" width="18.7109375" style="12" bestFit="1" customWidth="1"/>
    <col min="8778" max="8781" width="1" style="12" customWidth="1"/>
    <col min="8782" max="8782" width="17.28515625" style="12" customWidth="1"/>
    <col min="8783" max="8783" width="0.7109375" style="12" customWidth="1"/>
    <col min="8784" max="8784" width="1" style="12" customWidth="1"/>
    <col min="8785" max="8839" width="0" style="12" hidden="1" customWidth="1"/>
    <col min="8840" max="8841" width="1" style="12" customWidth="1"/>
    <col min="8842" max="8842" width="16.85546875" style="12" customWidth="1"/>
    <col min="8843" max="8843" width="1" style="12" customWidth="1"/>
    <col min="8844" max="8844" width="2.42578125" style="12" customWidth="1"/>
    <col min="8845" max="8846" width="1" style="12" customWidth="1"/>
    <col min="8847" max="8847" width="17.85546875" style="12" customWidth="1"/>
    <col min="8848" max="8850" width="1" style="12" customWidth="1"/>
    <col min="8851" max="8851" width="1.85546875" style="12" customWidth="1"/>
    <col min="8852" max="8852" width="11.7109375" style="12" bestFit="1" customWidth="1"/>
    <col min="8853" max="8853" width="10" style="12"/>
    <col min="8854" max="8854" width="10.42578125" style="12" bestFit="1" customWidth="1"/>
    <col min="8855" max="8857" width="10" style="12"/>
    <col min="8858" max="8858" width="13.42578125" style="12" bestFit="1" customWidth="1"/>
    <col min="8859" max="8960" width="10" style="12"/>
    <col min="8961" max="8963" width="0" style="12" hidden="1" customWidth="1"/>
    <col min="8964" max="8964" width="64.85546875" style="12" customWidth="1"/>
    <col min="8965" max="8965" width="7" style="12" customWidth="1"/>
    <col min="8966" max="8967" width="1" style="12" customWidth="1"/>
    <col min="8968" max="8968" width="15.140625" style="12" customWidth="1"/>
    <col min="8969" max="8970" width="1" style="12" customWidth="1"/>
    <col min="8971" max="9025" width="0" style="12" hidden="1" customWidth="1"/>
    <col min="9026" max="9027" width="1" style="12" customWidth="1"/>
    <col min="9028" max="9028" width="17.85546875" style="12" customWidth="1"/>
    <col min="9029" max="9032" width="1" style="12" customWidth="1"/>
    <col min="9033" max="9033" width="18.7109375" style="12" bestFit="1" customWidth="1"/>
    <col min="9034" max="9037" width="1" style="12" customWidth="1"/>
    <col min="9038" max="9038" width="17.28515625" style="12" customWidth="1"/>
    <col min="9039" max="9039" width="0.7109375" style="12" customWidth="1"/>
    <col min="9040" max="9040" width="1" style="12" customWidth="1"/>
    <col min="9041" max="9095" width="0" style="12" hidden="1" customWidth="1"/>
    <col min="9096" max="9097" width="1" style="12" customWidth="1"/>
    <col min="9098" max="9098" width="16.85546875" style="12" customWidth="1"/>
    <col min="9099" max="9099" width="1" style="12" customWidth="1"/>
    <col min="9100" max="9100" width="2.42578125" style="12" customWidth="1"/>
    <col min="9101" max="9102" width="1" style="12" customWidth="1"/>
    <col min="9103" max="9103" width="17.85546875" style="12" customWidth="1"/>
    <col min="9104" max="9106" width="1" style="12" customWidth="1"/>
    <col min="9107" max="9107" width="1.85546875" style="12" customWidth="1"/>
    <col min="9108" max="9108" width="11.7109375" style="12" bestFit="1" customWidth="1"/>
    <col min="9109" max="9109" width="10" style="12"/>
    <col min="9110" max="9110" width="10.42578125" style="12" bestFit="1" customWidth="1"/>
    <col min="9111" max="9113" width="10" style="12"/>
    <col min="9114" max="9114" width="13.42578125" style="12" bestFit="1" customWidth="1"/>
    <col min="9115" max="9216" width="10" style="12"/>
    <col min="9217" max="9219" width="0" style="12" hidden="1" customWidth="1"/>
    <col min="9220" max="9220" width="64.85546875" style="12" customWidth="1"/>
    <col min="9221" max="9221" width="7" style="12" customWidth="1"/>
    <col min="9222" max="9223" width="1" style="12" customWidth="1"/>
    <col min="9224" max="9224" width="15.140625" style="12" customWidth="1"/>
    <col min="9225" max="9226" width="1" style="12" customWidth="1"/>
    <col min="9227" max="9281" width="0" style="12" hidden="1" customWidth="1"/>
    <col min="9282" max="9283" width="1" style="12" customWidth="1"/>
    <col min="9284" max="9284" width="17.85546875" style="12" customWidth="1"/>
    <col min="9285" max="9288" width="1" style="12" customWidth="1"/>
    <col min="9289" max="9289" width="18.7109375" style="12" bestFit="1" customWidth="1"/>
    <col min="9290" max="9293" width="1" style="12" customWidth="1"/>
    <col min="9294" max="9294" width="17.28515625" style="12" customWidth="1"/>
    <col min="9295" max="9295" width="0.7109375" style="12" customWidth="1"/>
    <col min="9296" max="9296" width="1" style="12" customWidth="1"/>
    <col min="9297" max="9351" width="0" style="12" hidden="1" customWidth="1"/>
    <col min="9352" max="9353" width="1" style="12" customWidth="1"/>
    <col min="9354" max="9354" width="16.85546875" style="12" customWidth="1"/>
    <col min="9355" max="9355" width="1" style="12" customWidth="1"/>
    <col min="9356" max="9356" width="2.42578125" style="12" customWidth="1"/>
    <col min="9357" max="9358" width="1" style="12" customWidth="1"/>
    <col min="9359" max="9359" width="17.85546875" style="12" customWidth="1"/>
    <col min="9360" max="9362" width="1" style="12" customWidth="1"/>
    <col min="9363" max="9363" width="1.85546875" style="12" customWidth="1"/>
    <col min="9364" max="9364" width="11.7109375" style="12" bestFit="1" customWidth="1"/>
    <col min="9365" max="9365" width="10" style="12"/>
    <col min="9366" max="9366" width="10.42578125" style="12" bestFit="1" customWidth="1"/>
    <col min="9367" max="9369" width="10" style="12"/>
    <col min="9370" max="9370" width="13.42578125" style="12" bestFit="1" customWidth="1"/>
    <col min="9371" max="9472" width="10" style="12"/>
    <col min="9473" max="9475" width="0" style="12" hidden="1" customWidth="1"/>
    <col min="9476" max="9476" width="64.85546875" style="12" customWidth="1"/>
    <col min="9477" max="9477" width="7" style="12" customWidth="1"/>
    <col min="9478" max="9479" width="1" style="12" customWidth="1"/>
    <col min="9480" max="9480" width="15.140625" style="12" customWidth="1"/>
    <col min="9481" max="9482" width="1" style="12" customWidth="1"/>
    <col min="9483" max="9537" width="0" style="12" hidden="1" customWidth="1"/>
    <col min="9538" max="9539" width="1" style="12" customWidth="1"/>
    <col min="9540" max="9540" width="17.85546875" style="12" customWidth="1"/>
    <col min="9541" max="9544" width="1" style="12" customWidth="1"/>
    <col min="9545" max="9545" width="18.7109375" style="12" bestFit="1" customWidth="1"/>
    <col min="9546" max="9549" width="1" style="12" customWidth="1"/>
    <col min="9550" max="9550" width="17.28515625" style="12" customWidth="1"/>
    <col min="9551" max="9551" width="0.7109375" style="12" customWidth="1"/>
    <col min="9552" max="9552" width="1" style="12" customWidth="1"/>
    <col min="9553" max="9607" width="0" style="12" hidden="1" customWidth="1"/>
    <col min="9608" max="9609" width="1" style="12" customWidth="1"/>
    <col min="9610" max="9610" width="16.85546875" style="12" customWidth="1"/>
    <col min="9611" max="9611" width="1" style="12" customWidth="1"/>
    <col min="9612" max="9612" width="2.42578125" style="12" customWidth="1"/>
    <col min="9613" max="9614" width="1" style="12" customWidth="1"/>
    <col min="9615" max="9615" width="17.85546875" style="12" customWidth="1"/>
    <col min="9616" max="9618" width="1" style="12" customWidth="1"/>
    <col min="9619" max="9619" width="1.85546875" style="12" customWidth="1"/>
    <col min="9620" max="9620" width="11.7109375" style="12" bestFit="1" customWidth="1"/>
    <col min="9621" max="9621" width="10" style="12"/>
    <col min="9622" max="9622" width="10.42578125" style="12" bestFit="1" customWidth="1"/>
    <col min="9623" max="9625" width="10" style="12"/>
    <col min="9626" max="9626" width="13.42578125" style="12" bestFit="1" customWidth="1"/>
    <col min="9627" max="9728" width="10" style="12"/>
    <col min="9729" max="9731" width="0" style="12" hidden="1" customWidth="1"/>
    <col min="9732" max="9732" width="64.85546875" style="12" customWidth="1"/>
    <col min="9733" max="9733" width="7" style="12" customWidth="1"/>
    <col min="9734" max="9735" width="1" style="12" customWidth="1"/>
    <col min="9736" max="9736" width="15.140625" style="12" customWidth="1"/>
    <col min="9737" max="9738" width="1" style="12" customWidth="1"/>
    <col min="9739" max="9793" width="0" style="12" hidden="1" customWidth="1"/>
    <col min="9794" max="9795" width="1" style="12" customWidth="1"/>
    <col min="9796" max="9796" width="17.85546875" style="12" customWidth="1"/>
    <col min="9797" max="9800" width="1" style="12" customWidth="1"/>
    <col min="9801" max="9801" width="18.7109375" style="12" bestFit="1" customWidth="1"/>
    <col min="9802" max="9805" width="1" style="12" customWidth="1"/>
    <col min="9806" max="9806" width="17.28515625" style="12" customWidth="1"/>
    <col min="9807" max="9807" width="0.7109375" style="12" customWidth="1"/>
    <col min="9808" max="9808" width="1" style="12" customWidth="1"/>
    <col min="9809" max="9863" width="0" style="12" hidden="1" customWidth="1"/>
    <col min="9864" max="9865" width="1" style="12" customWidth="1"/>
    <col min="9866" max="9866" width="16.85546875" style="12" customWidth="1"/>
    <col min="9867" max="9867" width="1" style="12" customWidth="1"/>
    <col min="9868" max="9868" width="2.42578125" style="12" customWidth="1"/>
    <col min="9869" max="9870" width="1" style="12" customWidth="1"/>
    <col min="9871" max="9871" width="17.85546875" style="12" customWidth="1"/>
    <col min="9872" max="9874" width="1" style="12" customWidth="1"/>
    <col min="9875" max="9875" width="1.85546875" style="12" customWidth="1"/>
    <col min="9876" max="9876" width="11.7109375" style="12" bestFit="1" customWidth="1"/>
    <col min="9877" max="9877" width="10" style="12"/>
    <col min="9878" max="9878" width="10.42578125" style="12" bestFit="1" customWidth="1"/>
    <col min="9879" max="9881" width="10" style="12"/>
    <col min="9882" max="9882" width="13.42578125" style="12" bestFit="1" customWidth="1"/>
    <col min="9883" max="9984" width="10" style="12"/>
    <col min="9985" max="9987" width="0" style="12" hidden="1" customWidth="1"/>
    <col min="9988" max="9988" width="64.85546875" style="12" customWidth="1"/>
    <col min="9989" max="9989" width="7" style="12" customWidth="1"/>
    <col min="9990" max="9991" width="1" style="12" customWidth="1"/>
    <col min="9992" max="9992" width="15.140625" style="12" customWidth="1"/>
    <col min="9993" max="9994" width="1" style="12" customWidth="1"/>
    <col min="9995" max="10049" width="0" style="12" hidden="1" customWidth="1"/>
    <col min="10050" max="10051" width="1" style="12" customWidth="1"/>
    <col min="10052" max="10052" width="17.85546875" style="12" customWidth="1"/>
    <col min="10053" max="10056" width="1" style="12" customWidth="1"/>
    <col min="10057" max="10057" width="18.7109375" style="12" bestFit="1" customWidth="1"/>
    <col min="10058" max="10061" width="1" style="12" customWidth="1"/>
    <col min="10062" max="10062" width="17.28515625" style="12" customWidth="1"/>
    <col min="10063" max="10063" width="0.7109375" style="12" customWidth="1"/>
    <col min="10064" max="10064" width="1" style="12" customWidth="1"/>
    <col min="10065" max="10119" width="0" style="12" hidden="1" customWidth="1"/>
    <col min="10120" max="10121" width="1" style="12" customWidth="1"/>
    <col min="10122" max="10122" width="16.85546875" style="12" customWidth="1"/>
    <col min="10123" max="10123" width="1" style="12" customWidth="1"/>
    <col min="10124" max="10124" width="2.42578125" style="12" customWidth="1"/>
    <col min="10125" max="10126" width="1" style="12" customWidth="1"/>
    <col min="10127" max="10127" width="17.85546875" style="12" customWidth="1"/>
    <col min="10128" max="10130" width="1" style="12" customWidth="1"/>
    <col min="10131" max="10131" width="1.85546875" style="12" customWidth="1"/>
    <col min="10132" max="10132" width="11.7109375" style="12" bestFit="1" customWidth="1"/>
    <col min="10133" max="10133" width="10" style="12"/>
    <col min="10134" max="10134" width="10.42578125" style="12" bestFit="1" customWidth="1"/>
    <col min="10135" max="10137" width="10" style="12"/>
    <col min="10138" max="10138" width="13.42578125" style="12" bestFit="1" customWidth="1"/>
    <col min="10139" max="10240" width="10" style="12"/>
    <col min="10241" max="10243" width="0" style="12" hidden="1" customWidth="1"/>
    <col min="10244" max="10244" width="64.85546875" style="12" customWidth="1"/>
    <col min="10245" max="10245" width="7" style="12" customWidth="1"/>
    <col min="10246" max="10247" width="1" style="12" customWidth="1"/>
    <col min="10248" max="10248" width="15.140625" style="12" customWidth="1"/>
    <col min="10249" max="10250" width="1" style="12" customWidth="1"/>
    <col min="10251" max="10305" width="0" style="12" hidden="1" customWidth="1"/>
    <col min="10306" max="10307" width="1" style="12" customWidth="1"/>
    <col min="10308" max="10308" width="17.85546875" style="12" customWidth="1"/>
    <col min="10309" max="10312" width="1" style="12" customWidth="1"/>
    <col min="10313" max="10313" width="18.7109375" style="12" bestFit="1" customWidth="1"/>
    <col min="10314" max="10317" width="1" style="12" customWidth="1"/>
    <col min="10318" max="10318" width="17.28515625" style="12" customWidth="1"/>
    <col min="10319" max="10319" width="0.7109375" style="12" customWidth="1"/>
    <col min="10320" max="10320" width="1" style="12" customWidth="1"/>
    <col min="10321" max="10375" width="0" style="12" hidden="1" customWidth="1"/>
    <col min="10376" max="10377" width="1" style="12" customWidth="1"/>
    <col min="10378" max="10378" width="16.85546875" style="12" customWidth="1"/>
    <col min="10379" max="10379" width="1" style="12" customWidth="1"/>
    <col min="10380" max="10380" width="2.42578125" style="12" customWidth="1"/>
    <col min="10381" max="10382" width="1" style="12" customWidth="1"/>
    <col min="10383" max="10383" width="17.85546875" style="12" customWidth="1"/>
    <col min="10384" max="10386" width="1" style="12" customWidth="1"/>
    <col min="10387" max="10387" width="1.85546875" style="12" customWidth="1"/>
    <col min="10388" max="10388" width="11.7109375" style="12" bestFit="1" customWidth="1"/>
    <col min="10389" max="10389" width="10" style="12"/>
    <col min="10390" max="10390" width="10.42578125" style="12" bestFit="1" customWidth="1"/>
    <col min="10391" max="10393" width="10" style="12"/>
    <col min="10394" max="10394" width="13.42578125" style="12" bestFit="1" customWidth="1"/>
    <col min="10395" max="10496" width="10" style="12"/>
    <col min="10497" max="10499" width="0" style="12" hidden="1" customWidth="1"/>
    <col min="10500" max="10500" width="64.85546875" style="12" customWidth="1"/>
    <col min="10501" max="10501" width="7" style="12" customWidth="1"/>
    <col min="10502" max="10503" width="1" style="12" customWidth="1"/>
    <col min="10504" max="10504" width="15.140625" style="12" customWidth="1"/>
    <col min="10505" max="10506" width="1" style="12" customWidth="1"/>
    <col min="10507" max="10561" width="0" style="12" hidden="1" customWidth="1"/>
    <col min="10562" max="10563" width="1" style="12" customWidth="1"/>
    <col min="10564" max="10564" width="17.85546875" style="12" customWidth="1"/>
    <col min="10565" max="10568" width="1" style="12" customWidth="1"/>
    <col min="10569" max="10569" width="18.7109375" style="12" bestFit="1" customWidth="1"/>
    <col min="10570" max="10573" width="1" style="12" customWidth="1"/>
    <col min="10574" max="10574" width="17.28515625" style="12" customWidth="1"/>
    <col min="10575" max="10575" width="0.7109375" style="12" customWidth="1"/>
    <col min="10576" max="10576" width="1" style="12" customWidth="1"/>
    <col min="10577" max="10631" width="0" style="12" hidden="1" customWidth="1"/>
    <col min="10632" max="10633" width="1" style="12" customWidth="1"/>
    <col min="10634" max="10634" width="16.85546875" style="12" customWidth="1"/>
    <col min="10635" max="10635" width="1" style="12" customWidth="1"/>
    <col min="10636" max="10636" width="2.42578125" style="12" customWidth="1"/>
    <col min="10637" max="10638" width="1" style="12" customWidth="1"/>
    <col min="10639" max="10639" width="17.85546875" style="12" customWidth="1"/>
    <col min="10640" max="10642" width="1" style="12" customWidth="1"/>
    <col min="10643" max="10643" width="1.85546875" style="12" customWidth="1"/>
    <col min="10644" max="10644" width="11.7109375" style="12" bestFit="1" customWidth="1"/>
    <col min="10645" max="10645" width="10" style="12"/>
    <col min="10646" max="10646" width="10.42578125" style="12" bestFit="1" customWidth="1"/>
    <col min="10647" max="10649" width="10" style="12"/>
    <col min="10650" max="10650" width="13.42578125" style="12" bestFit="1" customWidth="1"/>
    <col min="10651" max="10752" width="10" style="12"/>
    <col min="10753" max="10755" width="0" style="12" hidden="1" customWidth="1"/>
    <col min="10756" max="10756" width="64.85546875" style="12" customWidth="1"/>
    <col min="10757" max="10757" width="7" style="12" customWidth="1"/>
    <col min="10758" max="10759" width="1" style="12" customWidth="1"/>
    <col min="10760" max="10760" width="15.140625" style="12" customWidth="1"/>
    <col min="10761" max="10762" width="1" style="12" customWidth="1"/>
    <col min="10763" max="10817" width="0" style="12" hidden="1" customWidth="1"/>
    <col min="10818" max="10819" width="1" style="12" customWidth="1"/>
    <col min="10820" max="10820" width="17.85546875" style="12" customWidth="1"/>
    <col min="10821" max="10824" width="1" style="12" customWidth="1"/>
    <col min="10825" max="10825" width="18.7109375" style="12" bestFit="1" customWidth="1"/>
    <col min="10826" max="10829" width="1" style="12" customWidth="1"/>
    <col min="10830" max="10830" width="17.28515625" style="12" customWidth="1"/>
    <col min="10831" max="10831" width="0.7109375" style="12" customWidth="1"/>
    <col min="10832" max="10832" width="1" style="12" customWidth="1"/>
    <col min="10833" max="10887" width="0" style="12" hidden="1" customWidth="1"/>
    <col min="10888" max="10889" width="1" style="12" customWidth="1"/>
    <col min="10890" max="10890" width="16.85546875" style="12" customWidth="1"/>
    <col min="10891" max="10891" width="1" style="12" customWidth="1"/>
    <col min="10892" max="10892" width="2.42578125" style="12" customWidth="1"/>
    <col min="10893" max="10894" width="1" style="12" customWidth="1"/>
    <col min="10895" max="10895" width="17.85546875" style="12" customWidth="1"/>
    <col min="10896" max="10898" width="1" style="12" customWidth="1"/>
    <col min="10899" max="10899" width="1.85546875" style="12" customWidth="1"/>
    <col min="10900" max="10900" width="11.7109375" style="12" bestFit="1" customWidth="1"/>
    <col min="10901" max="10901" width="10" style="12"/>
    <col min="10902" max="10902" width="10.42578125" style="12" bestFit="1" customWidth="1"/>
    <col min="10903" max="10905" width="10" style="12"/>
    <col min="10906" max="10906" width="13.42578125" style="12" bestFit="1" customWidth="1"/>
    <col min="10907" max="11008" width="10" style="12"/>
    <col min="11009" max="11011" width="0" style="12" hidden="1" customWidth="1"/>
    <col min="11012" max="11012" width="64.85546875" style="12" customWidth="1"/>
    <col min="11013" max="11013" width="7" style="12" customWidth="1"/>
    <col min="11014" max="11015" width="1" style="12" customWidth="1"/>
    <col min="11016" max="11016" width="15.140625" style="12" customWidth="1"/>
    <col min="11017" max="11018" width="1" style="12" customWidth="1"/>
    <col min="11019" max="11073" width="0" style="12" hidden="1" customWidth="1"/>
    <col min="11074" max="11075" width="1" style="12" customWidth="1"/>
    <col min="11076" max="11076" width="17.85546875" style="12" customWidth="1"/>
    <col min="11077" max="11080" width="1" style="12" customWidth="1"/>
    <col min="11081" max="11081" width="18.7109375" style="12" bestFit="1" customWidth="1"/>
    <col min="11082" max="11085" width="1" style="12" customWidth="1"/>
    <col min="11086" max="11086" width="17.28515625" style="12" customWidth="1"/>
    <col min="11087" max="11087" width="0.7109375" style="12" customWidth="1"/>
    <col min="11088" max="11088" width="1" style="12" customWidth="1"/>
    <col min="11089" max="11143" width="0" style="12" hidden="1" customWidth="1"/>
    <col min="11144" max="11145" width="1" style="12" customWidth="1"/>
    <col min="11146" max="11146" width="16.85546875" style="12" customWidth="1"/>
    <col min="11147" max="11147" width="1" style="12" customWidth="1"/>
    <col min="11148" max="11148" width="2.42578125" style="12" customWidth="1"/>
    <col min="11149" max="11150" width="1" style="12" customWidth="1"/>
    <col min="11151" max="11151" width="17.85546875" style="12" customWidth="1"/>
    <col min="11152" max="11154" width="1" style="12" customWidth="1"/>
    <col min="11155" max="11155" width="1.85546875" style="12" customWidth="1"/>
    <col min="11156" max="11156" width="11.7109375" style="12" bestFit="1" customWidth="1"/>
    <col min="11157" max="11157" width="10" style="12"/>
    <col min="11158" max="11158" width="10.42578125" style="12" bestFit="1" customWidth="1"/>
    <col min="11159" max="11161" width="10" style="12"/>
    <col min="11162" max="11162" width="13.42578125" style="12" bestFit="1" customWidth="1"/>
    <col min="11163" max="11264" width="10" style="12"/>
    <col min="11265" max="11267" width="0" style="12" hidden="1" customWidth="1"/>
    <col min="11268" max="11268" width="64.85546875" style="12" customWidth="1"/>
    <col min="11269" max="11269" width="7" style="12" customWidth="1"/>
    <col min="11270" max="11271" width="1" style="12" customWidth="1"/>
    <col min="11272" max="11272" width="15.140625" style="12" customWidth="1"/>
    <col min="11273" max="11274" width="1" style="12" customWidth="1"/>
    <col min="11275" max="11329" width="0" style="12" hidden="1" customWidth="1"/>
    <col min="11330" max="11331" width="1" style="12" customWidth="1"/>
    <col min="11332" max="11332" width="17.85546875" style="12" customWidth="1"/>
    <col min="11333" max="11336" width="1" style="12" customWidth="1"/>
    <col min="11337" max="11337" width="18.7109375" style="12" bestFit="1" customWidth="1"/>
    <col min="11338" max="11341" width="1" style="12" customWidth="1"/>
    <col min="11342" max="11342" width="17.28515625" style="12" customWidth="1"/>
    <col min="11343" max="11343" width="0.7109375" style="12" customWidth="1"/>
    <col min="11344" max="11344" width="1" style="12" customWidth="1"/>
    <col min="11345" max="11399" width="0" style="12" hidden="1" customWidth="1"/>
    <col min="11400" max="11401" width="1" style="12" customWidth="1"/>
    <col min="11402" max="11402" width="16.85546875" style="12" customWidth="1"/>
    <col min="11403" max="11403" width="1" style="12" customWidth="1"/>
    <col min="11404" max="11404" width="2.42578125" style="12" customWidth="1"/>
    <col min="11405" max="11406" width="1" style="12" customWidth="1"/>
    <col min="11407" max="11407" width="17.85546875" style="12" customWidth="1"/>
    <col min="11408" max="11410" width="1" style="12" customWidth="1"/>
    <col min="11411" max="11411" width="1.85546875" style="12" customWidth="1"/>
    <col min="11412" max="11412" width="11.7109375" style="12" bestFit="1" customWidth="1"/>
    <col min="11413" max="11413" width="10" style="12"/>
    <col min="11414" max="11414" width="10.42578125" style="12" bestFit="1" customWidth="1"/>
    <col min="11415" max="11417" width="10" style="12"/>
    <col min="11418" max="11418" width="13.42578125" style="12" bestFit="1" customWidth="1"/>
    <col min="11419" max="11520" width="10" style="12"/>
    <col min="11521" max="11523" width="0" style="12" hidden="1" customWidth="1"/>
    <col min="11524" max="11524" width="64.85546875" style="12" customWidth="1"/>
    <col min="11525" max="11525" width="7" style="12" customWidth="1"/>
    <col min="11526" max="11527" width="1" style="12" customWidth="1"/>
    <col min="11528" max="11528" width="15.140625" style="12" customWidth="1"/>
    <col min="11529" max="11530" width="1" style="12" customWidth="1"/>
    <col min="11531" max="11585" width="0" style="12" hidden="1" customWidth="1"/>
    <col min="11586" max="11587" width="1" style="12" customWidth="1"/>
    <col min="11588" max="11588" width="17.85546875" style="12" customWidth="1"/>
    <col min="11589" max="11592" width="1" style="12" customWidth="1"/>
    <col min="11593" max="11593" width="18.7109375" style="12" bestFit="1" customWidth="1"/>
    <col min="11594" max="11597" width="1" style="12" customWidth="1"/>
    <col min="11598" max="11598" width="17.28515625" style="12" customWidth="1"/>
    <col min="11599" max="11599" width="0.7109375" style="12" customWidth="1"/>
    <col min="11600" max="11600" width="1" style="12" customWidth="1"/>
    <col min="11601" max="11655" width="0" style="12" hidden="1" customWidth="1"/>
    <col min="11656" max="11657" width="1" style="12" customWidth="1"/>
    <col min="11658" max="11658" width="16.85546875" style="12" customWidth="1"/>
    <col min="11659" max="11659" width="1" style="12" customWidth="1"/>
    <col min="11660" max="11660" width="2.42578125" style="12" customWidth="1"/>
    <col min="11661" max="11662" width="1" style="12" customWidth="1"/>
    <col min="11663" max="11663" width="17.85546875" style="12" customWidth="1"/>
    <col min="11664" max="11666" width="1" style="12" customWidth="1"/>
    <col min="11667" max="11667" width="1.85546875" style="12" customWidth="1"/>
    <col min="11668" max="11668" width="11.7109375" style="12" bestFit="1" customWidth="1"/>
    <col min="11669" max="11669" width="10" style="12"/>
    <col min="11670" max="11670" width="10.42578125" style="12" bestFit="1" customWidth="1"/>
    <col min="11671" max="11673" width="10" style="12"/>
    <col min="11674" max="11674" width="13.42578125" style="12" bestFit="1" customWidth="1"/>
    <col min="11675" max="11776" width="10" style="12"/>
    <col min="11777" max="11779" width="0" style="12" hidden="1" customWidth="1"/>
    <col min="11780" max="11780" width="64.85546875" style="12" customWidth="1"/>
    <col min="11781" max="11781" width="7" style="12" customWidth="1"/>
    <col min="11782" max="11783" width="1" style="12" customWidth="1"/>
    <col min="11784" max="11784" width="15.140625" style="12" customWidth="1"/>
    <col min="11785" max="11786" width="1" style="12" customWidth="1"/>
    <col min="11787" max="11841" width="0" style="12" hidden="1" customWidth="1"/>
    <col min="11842" max="11843" width="1" style="12" customWidth="1"/>
    <col min="11844" max="11844" width="17.85546875" style="12" customWidth="1"/>
    <col min="11845" max="11848" width="1" style="12" customWidth="1"/>
    <col min="11849" max="11849" width="18.7109375" style="12" bestFit="1" customWidth="1"/>
    <col min="11850" max="11853" width="1" style="12" customWidth="1"/>
    <col min="11854" max="11854" width="17.28515625" style="12" customWidth="1"/>
    <col min="11855" max="11855" width="0.7109375" style="12" customWidth="1"/>
    <col min="11856" max="11856" width="1" style="12" customWidth="1"/>
    <col min="11857" max="11911" width="0" style="12" hidden="1" customWidth="1"/>
    <col min="11912" max="11913" width="1" style="12" customWidth="1"/>
    <col min="11914" max="11914" width="16.85546875" style="12" customWidth="1"/>
    <col min="11915" max="11915" width="1" style="12" customWidth="1"/>
    <col min="11916" max="11916" width="2.42578125" style="12" customWidth="1"/>
    <col min="11917" max="11918" width="1" style="12" customWidth="1"/>
    <col min="11919" max="11919" width="17.85546875" style="12" customWidth="1"/>
    <col min="11920" max="11922" width="1" style="12" customWidth="1"/>
    <col min="11923" max="11923" width="1.85546875" style="12" customWidth="1"/>
    <col min="11924" max="11924" width="11.7109375" style="12" bestFit="1" customWidth="1"/>
    <col min="11925" max="11925" width="10" style="12"/>
    <col min="11926" max="11926" width="10.42578125" style="12" bestFit="1" customWidth="1"/>
    <col min="11927" max="11929" width="10" style="12"/>
    <col min="11930" max="11930" width="13.42578125" style="12" bestFit="1" customWidth="1"/>
    <col min="11931" max="12032" width="10" style="12"/>
    <col min="12033" max="12035" width="0" style="12" hidden="1" customWidth="1"/>
    <col min="12036" max="12036" width="64.85546875" style="12" customWidth="1"/>
    <col min="12037" max="12037" width="7" style="12" customWidth="1"/>
    <col min="12038" max="12039" width="1" style="12" customWidth="1"/>
    <col min="12040" max="12040" width="15.140625" style="12" customWidth="1"/>
    <col min="12041" max="12042" width="1" style="12" customWidth="1"/>
    <col min="12043" max="12097" width="0" style="12" hidden="1" customWidth="1"/>
    <col min="12098" max="12099" width="1" style="12" customWidth="1"/>
    <col min="12100" max="12100" width="17.85546875" style="12" customWidth="1"/>
    <col min="12101" max="12104" width="1" style="12" customWidth="1"/>
    <col min="12105" max="12105" width="18.7109375" style="12" bestFit="1" customWidth="1"/>
    <col min="12106" max="12109" width="1" style="12" customWidth="1"/>
    <col min="12110" max="12110" width="17.28515625" style="12" customWidth="1"/>
    <col min="12111" max="12111" width="0.7109375" style="12" customWidth="1"/>
    <col min="12112" max="12112" width="1" style="12" customWidth="1"/>
    <col min="12113" max="12167" width="0" style="12" hidden="1" customWidth="1"/>
    <col min="12168" max="12169" width="1" style="12" customWidth="1"/>
    <col min="12170" max="12170" width="16.85546875" style="12" customWidth="1"/>
    <col min="12171" max="12171" width="1" style="12" customWidth="1"/>
    <col min="12172" max="12172" width="2.42578125" style="12" customWidth="1"/>
    <col min="12173" max="12174" width="1" style="12" customWidth="1"/>
    <col min="12175" max="12175" width="17.85546875" style="12" customWidth="1"/>
    <col min="12176" max="12178" width="1" style="12" customWidth="1"/>
    <col min="12179" max="12179" width="1.85546875" style="12" customWidth="1"/>
    <col min="12180" max="12180" width="11.7109375" style="12" bestFit="1" customWidth="1"/>
    <col min="12181" max="12181" width="10" style="12"/>
    <col min="12182" max="12182" width="10.42578125" style="12" bestFit="1" customWidth="1"/>
    <col min="12183" max="12185" width="10" style="12"/>
    <col min="12186" max="12186" width="13.42578125" style="12" bestFit="1" customWidth="1"/>
    <col min="12187" max="12288" width="10" style="12"/>
    <col min="12289" max="12291" width="0" style="12" hidden="1" customWidth="1"/>
    <col min="12292" max="12292" width="64.85546875" style="12" customWidth="1"/>
    <col min="12293" max="12293" width="7" style="12" customWidth="1"/>
    <col min="12294" max="12295" width="1" style="12" customWidth="1"/>
    <col min="12296" max="12296" width="15.140625" style="12" customWidth="1"/>
    <col min="12297" max="12298" width="1" style="12" customWidth="1"/>
    <col min="12299" max="12353" width="0" style="12" hidden="1" customWidth="1"/>
    <col min="12354" max="12355" width="1" style="12" customWidth="1"/>
    <col min="12356" max="12356" width="17.85546875" style="12" customWidth="1"/>
    <col min="12357" max="12360" width="1" style="12" customWidth="1"/>
    <col min="12361" max="12361" width="18.7109375" style="12" bestFit="1" customWidth="1"/>
    <col min="12362" max="12365" width="1" style="12" customWidth="1"/>
    <col min="12366" max="12366" width="17.28515625" style="12" customWidth="1"/>
    <col min="12367" max="12367" width="0.7109375" style="12" customWidth="1"/>
    <col min="12368" max="12368" width="1" style="12" customWidth="1"/>
    <col min="12369" max="12423" width="0" style="12" hidden="1" customWidth="1"/>
    <col min="12424" max="12425" width="1" style="12" customWidth="1"/>
    <col min="12426" max="12426" width="16.85546875" style="12" customWidth="1"/>
    <col min="12427" max="12427" width="1" style="12" customWidth="1"/>
    <col min="12428" max="12428" width="2.42578125" style="12" customWidth="1"/>
    <col min="12429" max="12430" width="1" style="12" customWidth="1"/>
    <col min="12431" max="12431" width="17.85546875" style="12" customWidth="1"/>
    <col min="12432" max="12434" width="1" style="12" customWidth="1"/>
    <col min="12435" max="12435" width="1.85546875" style="12" customWidth="1"/>
    <col min="12436" max="12436" width="11.7109375" style="12" bestFit="1" customWidth="1"/>
    <col min="12437" max="12437" width="10" style="12"/>
    <col min="12438" max="12438" width="10.42578125" style="12" bestFit="1" customWidth="1"/>
    <col min="12439" max="12441" width="10" style="12"/>
    <col min="12442" max="12442" width="13.42578125" style="12" bestFit="1" customWidth="1"/>
    <col min="12443" max="12544" width="10" style="12"/>
    <col min="12545" max="12547" width="0" style="12" hidden="1" customWidth="1"/>
    <col min="12548" max="12548" width="64.85546875" style="12" customWidth="1"/>
    <col min="12549" max="12549" width="7" style="12" customWidth="1"/>
    <col min="12550" max="12551" width="1" style="12" customWidth="1"/>
    <col min="12552" max="12552" width="15.140625" style="12" customWidth="1"/>
    <col min="12553" max="12554" width="1" style="12" customWidth="1"/>
    <col min="12555" max="12609" width="0" style="12" hidden="1" customWidth="1"/>
    <col min="12610" max="12611" width="1" style="12" customWidth="1"/>
    <col min="12612" max="12612" width="17.85546875" style="12" customWidth="1"/>
    <col min="12613" max="12616" width="1" style="12" customWidth="1"/>
    <col min="12617" max="12617" width="18.7109375" style="12" bestFit="1" customWidth="1"/>
    <col min="12618" max="12621" width="1" style="12" customWidth="1"/>
    <col min="12622" max="12622" width="17.28515625" style="12" customWidth="1"/>
    <col min="12623" max="12623" width="0.7109375" style="12" customWidth="1"/>
    <col min="12624" max="12624" width="1" style="12" customWidth="1"/>
    <col min="12625" max="12679" width="0" style="12" hidden="1" customWidth="1"/>
    <col min="12680" max="12681" width="1" style="12" customWidth="1"/>
    <col min="12682" max="12682" width="16.85546875" style="12" customWidth="1"/>
    <col min="12683" max="12683" width="1" style="12" customWidth="1"/>
    <col min="12684" max="12684" width="2.42578125" style="12" customWidth="1"/>
    <col min="12685" max="12686" width="1" style="12" customWidth="1"/>
    <col min="12687" max="12687" width="17.85546875" style="12" customWidth="1"/>
    <col min="12688" max="12690" width="1" style="12" customWidth="1"/>
    <col min="12691" max="12691" width="1.85546875" style="12" customWidth="1"/>
    <col min="12692" max="12692" width="11.7109375" style="12" bestFit="1" customWidth="1"/>
    <col min="12693" max="12693" width="10" style="12"/>
    <col min="12694" max="12694" width="10.42578125" style="12" bestFit="1" customWidth="1"/>
    <col min="12695" max="12697" width="10" style="12"/>
    <col min="12698" max="12698" width="13.42578125" style="12" bestFit="1" customWidth="1"/>
    <col min="12699" max="12800" width="10" style="12"/>
    <col min="12801" max="12803" width="0" style="12" hidden="1" customWidth="1"/>
    <col min="12804" max="12804" width="64.85546875" style="12" customWidth="1"/>
    <col min="12805" max="12805" width="7" style="12" customWidth="1"/>
    <col min="12806" max="12807" width="1" style="12" customWidth="1"/>
    <col min="12808" max="12808" width="15.140625" style="12" customWidth="1"/>
    <col min="12809" max="12810" width="1" style="12" customWidth="1"/>
    <col min="12811" max="12865" width="0" style="12" hidden="1" customWidth="1"/>
    <col min="12866" max="12867" width="1" style="12" customWidth="1"/>
    <col min="12868" max="12868" width="17.85546875" style="12" customWidth="1"/>
    <col min="12869" max="12872" width="1" style="12" customWidth="1"/>
    <col min="12873" max="12873" width="18.7109375" style="12" bestFit="1" customWidth="1"/>
    <col min="12874" max="12877" width="1" style="12" customWidth="1"/>
    <col min="12878" max="12878" width="17.28515625" style="12" customWidth="1"/>
    <col min="12879" max="12879" width="0.7109375" style="12" customWidth="1"/>
    <col min="12880" max="12880" width="1" style="12" customWidth="1"/>
    <col min="12881" max="12935" width="0" style="12" hidden="1" customWidth="1"/>
    <col min="12936" max="12937" width="1" style="12" customWidth="1"/>
    <col min="12938" max="12938" width="16.85546875" style="12" customWidth="1"/>
    <col min="12939" max="12939" width="1" style="12" customWidth="1"/>
    <col min="12940" max="12940" width="2.42578125" style="12" customWidth="1"/>
    <col min="12941" max="12942" width="1" style="12" customWidth="1"/>
    <col min="12943" max="12943" width="17.85546875" style="12" customWidth="1"/>
    <col min="12944" max="12946" width="1" style="12" customWidth="1"/>
    <col min="12947" max="12947" width="1.85546875" style="12" customWidth="1"/>
    <col min="12948" max="12948" width="11.7109375" style="12" bestFit="1" customWidth="1"/>
    <col min="12949" max="12949" width="10" style="12"/>
    <col min="12950" max="12950" width="10.42578125" style="12" bestFit="1" customWidth="1"/>
    <col min="12951" max="12953" width="10" style="12"/>
    <col min="12954" max="12954" width="13.42578125" style="12" bestFit="1" customWidth="1"/>
    <col min="12955" max="13056" width="10" style="12"/>
    <col min="13057" max="13059" width="0" style="12" hidden="1" customWidth="1"/>
    <col min="13060" max="13060" width="64.85546875" style="12" customWidth="1"/>
    <col min="13061" max="13061" width="7" style="12" customWidth="1"/>
    <col min="13062" max="13063" width="1" style="12" customWidth="1"/>
    <col min="13064" max="13064" width="15.140625" style="12" customWidth="1"/>
    <col min="13065" max="13066" width="1" style="12" customWidth="1"/>
    <col min="13067" max="13121" width="0" style="12" hidden="1" customWidth="1"/>
    <col min="13122" max="13123" width="1" style="12" customWidth="1"/>
    <col min="13124" max="13124" width="17.85546875" style="12" customWidth="1"/>
    <col min="13125" max="13128" width="1" style="12" customWidth="1"/>
    <col min="13129" max="13129" width="18.7109375" style="12" bestFit="1" customWidth="1"/>
    <col min="13130" max="13133" width="1" style="12" customWidth="1"/>
    <col min="13134" max="13134" width="17.28515625" style="12" customWidth="1"/>
    <col min="13135" max="13135" width="0.7109375" style="12" customWidth="1"/>
    <col min="13136" max="13136" width="1" style="12" customWidth="1"/>
    <col min="13137" max="13191" width="0" style="12" hidden="1" customWidth="1"/>
    <col min="13192" max="13193" width="1" style="12" customWidth="1"/>
    <col min="13194" max="13194" width="16.85546875" style="12" customWidth="1"/>
    <col min="13195" max="13195" width="1" style="12" customWidth="1"/>
    <col min="13196" max="13196" width="2.42578125" style="12" customWidth="1"/>
    <col min="13197" max="13198" width="1" style="12" customWidth="1"/>
    <col min="13199" max="13199" width="17.85546875" style="12" customWidth="1"/>
    <col min="13200" max="13202" width="1" style="12" customWidth="1"/>
    <col min="13203" max="13203" width="1.85546875" style="12" customWidth="1"/>
    <col min="13204" max="13204" width="11.7109375" style="12" bestFit="1" customWidth="1"/>
    <col min="13205" max="13205" width="10" style="12"/>
    <col min="13206" max="13206" width="10.42578125" style="12" bestFit="1" customWidth="1"/>
    <col min="13207" max="13209" width="10" style="12"/>
    <col min="13210" max="13210" width="13.42578125" style="12" bestFit="1" customWidth="1"/>
    <col min="13211" max="13312" width="10" style="12"/>
    <col min="13313" max="13315" width="0" style="12" hidden="1" customWidth="1"/>
    <col min="13316" max="13316" width="64.85546875" style="12" customWidth="1"/>
    <col min="13317" max="13317" width="7" style="12" customWidth="1"/>
    <col min="13318" max="13319" width="1" style="12" customWidth="1"/>
    <col min="13320" max="13320" width="15.140625" style="12" customWidth="1"/>
    <col min="13321" max="13322" width="1" style="12" customWidth="1"/>
    <col min="13323" max="13377" width="0" style="12" hidden="1" customWidth="1"/>
    <col min="13378" max="13379" width="1" style="12" customWidth="1"/>
    <col min="13380" max="13380" width="17.85546875" style="12" customWidth="1"/>
    <col min="13381" max="13384" width="1" style="12" customWidth="1"/>
    <col min="13385" max="13385" width="18.7109375" style="12" bestFit="1" customWidth="1"/>
    <col min="13386" max="13389" width="1" style="12" customWidth="1"/>
    <col min="13390" max="13390" width="17.28515625" style="12" customWidth="1"/>
    <col min="13391" max="13391" width="0.7109375" style="12" customWidth="1"/>
    <col min="13392" max="13392" width="1" style="12" customWidth="1"/>
    <col min="13393" max="13447" width="0" style="12" hidden="1" customWidth="1"/>
    <col min="13448" max="13449" width="1" style="12" customWidth="1"/>
    <col min="13450" max="13450" width="16.85546875" style="12" customWidth="1"/>
    <col min="13451" max="13451" width="1" style="12" customWidth="1"/>
    <col min="13452" max="13452" width="2.42578125" style="12" customWidth="1"/>
    <col min="13453" max="13454" width="1" style="12" customWidth="1"/>
    <col min="13455" max="13455" width="17.85546875" style="12" customWidth="1"/>
    <col min="13456" max="13458" width="1" style="12" customWidth="1"/>
    <col min="13459" max="13459" width="1.85546875" style="12" customWidth="1"/>
    <col min="13460" max="13460" width="11.7109375" style="12" bestFit="1" customWidth="1"/>
    <col min="13461" max="13461" width="10" style="12"/>
    <col min="13462" max="13462" width="10.42578125" style="12" bestFit="1" customWidth="1"/>
    <col min="13463" max="13465" width="10" style="12"/>
    <col min="13466" max="13466" width="13.42578125" style="12" bestFit="1" customWidth="1"/>
    <col min="13467" max="13568" width="10" style="12"/>
    <col min="13569" max="13571" width="0" style="12" hidden="1" customWidth="1"/>
    <col min="13572" max="13572" width="64.85546875" style="12" customWidth="1"/>
    <col min="13573" max="13573" width="7" style="12" customWidth="1"/>
    <col min="13574" max="13575" width="1" style="12" customWidth="1"/>
    <col min="13576" max="13576" width="15.140625" style="12" customWidth="1"/>
    <col min="13577" max="13578" width="1" style="12" customWidth="1"/>
    <col min="13579" max="13633" width="0" style="12" hidden="1" customWidth="1"/>
    <col min="13634" max="13635" width="1" style="12" customWidth="1"/>
    <col min="13636" max="13636" width="17.85546875" style="12" customWidth="1"/>
    <col min="13637" max="13640" width="1" style="12" customWidth="1"/>
    <col min="13641" max="13641" width="18.7109375" style="12" bestFit="1" customWidth="1"/>
    <col min="13642" max="13645" width="1" style="12" customWidth="1"/>
    <col min="13646" max="13646" width="17.28515625" style="12" customWidth="1"/>
    <col min="13647" max="13647" width="0.7109375" style="12" customWidth="1"/>
    <col min="13648" max="13648" width="1" style="12" customWidth="1"/>
    <col min="13649" max="13703" width="0" style="12" hidden="1" customWidth="1"/>
    <col min="13704" max="13705" width="1" style="12" customWidth="1"/>
    <col min="13706" max="13706" width="16.85546875" style="12" customWidth="1"/>
    <col min="13707" max="13707" width="1" style="12" customWidth="1"/>
    <col min="13708" max="13708" width="2.42578125" style="12" customWidth="1"/>
    <col min="13709" max="13710" width="1" style="12" customWidth="1"/>
    <col min="13711" max="13711" width="17.85546875" style="12" customWidth="1"/>
    <col min="13712" max="13714" width="1" style="12" customWidth="1"/>
    <col min="13715" max="13715" width="1.85546875" style="12" customWidth="1"/>
    <col min="13716" max="13716" width="11.7109375" style="12" bestFit="1" customWidth="1"/>
    <col min="13717" max="13717" width="10" style="12"/>
    <col min="13718" max="13718" width="10.42578125" style="12" bestFit="1" customWidth="1"/>
    <col min="13719" max="13721" width="10" style="12"/>
    <col min="13722" max="13722" width="13.42578125" style="12" bestFit="1" customWidth="1"/>
    <col min="13723" max="13824" width="10" style="12"/>
    <col min="13825" max="13827" width="0" style="12" hidden="1" customWidth="1"/>
    <col min="13828" max="13828" width="64.85546875" style="12" customWidth="1"/>
    <col min="13829" max="13829" width="7" style="12" customWidth="1"/>
    <col min="13830" max="13831" width="1" style="12" customWidth="1"/>
    <col min="13832" max="13832" width="15.140625" style="12" customWidth="1"/>
    <col min="13833" max="13834" width="1" style="12" customWidth="1"/>
    <col min="13835" max="13889" width="0" style="12" hidden="1" customWidth="1"/>
    <col min="13890" max="13891" width="1" style="12" customWidth="1"/>
    <col min="13892" max="13892" width="17.85546875" style="12" customWidth="1"/>
    <col min="13893" max="13896" width="1" style="12" customWidth="1"/>
    <col min="13897" max="13897" width="18.7109375" style="12" bestFit="1" customWidth="1"/>
    <col min="13898" max="13901" width="1" style="12" customWidth="1"/>
    <col min="13902" max="13902" width="17.28515625" style="12" customWidth="1"/>
    <col min="13903" max="13903" width="0.7109375" style="12" customWidth="1"/>
    <col min="13904" max="13904" width="1" style="12" customWidth="1"/>
    <col min="13905" max="13959" width="0" style="12" hidden="1" customWidth="1"/>
    <col min="13960" max="13961" width="1" style="12" customWidth="1"/>
    <col min="13962" max="13962" width="16.85546875" style="12" customWidth="1"/>
    <col min="13963" max="13963" width="1" style="12" customWidth="1"/>
    <col min="13964" max="13964" width="2.42578125" style="12" customWidth="1"/>
    <col min="13965" max="13966" width="1" style="12" customWidth="1"/>
    <col min="13967" max="13967" width="17.85546875" style="12" customWidth="1"/>
    <col min="13968" max="13970" width="1" style="12" customWidth="1"/>
    <col min="13971" max="13971" width="1.85546875" style="12" customWidth="1"/>
    <col min="13972" max="13972" width="11.7109375" style="12" bestFit="1" customWidth="1"/>
    <col min="13973" max="13973" width="10" style="12"/>
    <col min="13974" max="13974" width="10.42578125" style="12" bestFit="1" customWidth="1"/>
    <col min="13975" max="13977" width="10" style="12"/>
    <col min="13978" max="13978" width="13.42578125" style="12" bestFit="1" customWidth="1"/>
    <col min="13979" max="14080" width="10" style="12"/>
    <col min="14081" max="14083" width="0" style="12" hidden="1" customWidth="1"/>
    <col min="14084" max="14084" width="64.85546875" style="12" customWidth="1"/>
    <col min="14085" max="14085" width="7" style="12" customWidth="1"/>
    <col min="14086" max="14087" width="1" style="12" customWidth="1"/>
    <col min="14088" max="14088" width="15.140625" style="12" customWidth="1"/>
    <col min="14089" max="14090" width="1" style="12" customWidth="1"/>
    <col min="14091" max="14145" width="0" style="12" hidden="1" customWidth="1"/>
    <col min="14146" max="14147" width="1" style="12" customWidth="1"/>
    <col min="14148" max="14148" width="17.85546875" style="12" customWidth="1"/>
    <col min="14149" max="14152" width="1" style="12" customWidth="1"/>
    <col min="14153" max="14153" width="18.7109375" style="12" bestFit="1" customWidth="1"/>
    <col min="14154" max="14157" width="1" style="12" customWidth="1"/>
    <col min="14158" max="14158" width="17.28515625" style="12" customWidth="1"/>
    <col min="14159" max="14159" width="0.7109375" style="12" customWidth="1"/>
    <col min="14160" max="14160" width="1" style="12" customWidth="1"/>
    <col min="14161" max="14215" width="0" style="12" hidden="1" customWidth="1"/>
    <col min="14216" max="14217" width="1" style="12" customWidth="1"/>
    <col min="14218" max="14218" width="16.85546875" style="12" customWidth="1"/>
    <col min="14219" max="14219" width="1" style="12" customWidth="1"/>
    <col min="14220" max="14220" width="2.42578125" style="12" customWidth="1"/>
    <col min="14221" max="14222" width="1" style="12" customWidth="1"/>
    <col min="14223" max="14223" width="17.85546875" style="12" customWidth="1"/>
    <col min="14224" max="14226" width="1" style="12" customWidth="1"/>
    <col min="14227" max="14227" width="1.85546875" style="12" customWidth="1"/>
    <col min="14228" max="14228" width="11.7109375" style="12" bestFit="1" customWidth="1"/>
    <col min="14229" max="14229" width="10" style="12"/>
    <col min="14230" max="14230" width="10.42578125" style="12" bestFit="1" customWidth="1"/>
    <col min="14231" max="14233" width="10" style="12"/>
    <col min="14234" max="14234" width="13.42578125" style="12" bestFit="1" customWidth="1"/>
    <col min="14235" max="14336" width="10" style="12"/>
    <col min="14337" max="14339" width="0" style="12" hidden="1" customWidth="1"/>
    <col min="14340" max="14340" width="64.85546875" style="12" customWidth="1"/>
    <col min="14341" max="14341" width="7" style="12" customWidth="1"/>
    <col min="14342" max="14343" width="1" style="12" customWidth="1"/>
    <col min="14344" max="14344" width="15.140625" style="12" customWidth="1"/>
    <col min="14345" max="14346" width="1" style="12" customWidth="1"/>
    <col min="14347" max="14401" width="0" style="12" hidden="1" customWidth="1"/>
    <col min="14402" max="14403" width="1" style="12" customWidth="1"/>
    <col min="14404" max="14404" width="17.85546875" style="12" customWidth="1"/>
    <col min="14405" max="14408" width="1" style="12" customWidth="1"/>
    <col min="14409" max="14409" width="18.7109375" style="12" bestFit="1" customWidth="1"/>
    <col min="14410" max="14413" width="1" style="12" customWidth="1"/>
    <col min="14414" max="14414" width="17.28515625" style="12" customWidth="1"/>
    <col min="14415" max="14415" width="0.7109375" style="12" customWidth="1"/>
    <col min="14416" max="14416" width="1" style="12" customWidth="1"/>
    <col min="14417" max="14471" width="0" style="12" hidden="1" customWidth="1"/>
    <col min="14472" max="14473" width="1" style="12" customWidth="1"/>
    <col min="14474" max="14474" width="16.85546875" style="12" customWidth="1"/>
    <col min="14475" max="14475" width="1" style="12" customWidth="1"/>
    <col min="14476" max="14476" width="2.42578125" style="12" customWidth="1"/>
    <col min="14477" max="14478" width="1" style="12" customWidth="1"/>
    <col min="14479" max="14479" width="17.85546875" style="12" customWidth="1"/>
    <col min="14480" max="14482" width="1" style="12" customWidth="1"/>
    <col min="14483" max="14483" width="1.85546875" style="12" customWidth="1"/>
    <col min="14484" max="14484" width="11.7109375" style="12" bestFit="1" customWidth="1"/>
    <col min="14485" max="14485" width="10" style="12"/>
    <col min="14486" max="14486" width="10.42578125" style="12" bestFit="1" customWidth="1"/>
    <col min="14487" max="14489" width="10" style="12"/>
    <col min="14490" max="14490" width="13.42578125" style="12" bestFit="1" customWidth="1"/>
    <col min="14491" max="14592" width="10" style="12"/>
    <col min="14593" max="14595" width="0" style="12" hidden="1" customWidth="1"/>
    <col min="14596" max="14596" width="64.85546875" style="12" customWidth="1"/>
    <col min="14597" max="14597" width="7" style="12" customWidth="1"/>
    <col min="14598" max="14599" width="1" style="12" customWidth="1"/>
    <col min="14600" max="14600" width="15.140625" style="12" customWidth="1"/>
    <col min="14601" max="14602" width="1" style="12" customWidth="1"/>
    <col min="14603" max="14657" width="0" style="12" hidden="1" customWidth="1"/>
    <col min="14658" max="14659" width="1" style="12" customWidth="1"/>
    <col min="14660" max="14660" width="17.85546875" style="12" customWidth="1"/>
    <col min="14661" max="14664" width="1" style="12" customWidth="1"/>
    <col min="14665" max="14665" width="18.7109375" style="12" bestFit="1" customWidth="1"/>
    <col min="14666" max="14669" width="1" style="12" customWidth="1"/>
    <col min="14670" max="14670" width="17.28515625" style="12" customWidth="1"/>
    <col min="14671" max="14671" width="0.7109375" style="12" customWidth="1"/>
    <col min="14672" max="14672" width="1" style="12" customWidth="1"/>
    <col min="14673" max="14727" width="0" style="12" hidden="1" customWidth="1"/>
    <col min="14728" max="14729" width="1" style="12" customWidth="1"/>
    <col min="14730" max="14730" width="16.85546875" style="12" customWidth="1"/>
    <col min="14731" max="14731" width="1" style="12" customWidth="1"/>
    <col min="14732" max="14732" width="2.42578125" style="12" customWidth="1"/>
    <col min="14733" max="14734" width="1" style="12" customWidth="1"/>
    <col min="14735" max="14735" width="17.85546875" style="12" customWidth="1"/>
    <col min="14736" max="14738" width="1" style="12" customWidth="1"/>
    <col min="14739" max="14739" width="1.85546875" style="12" customWidth="1"/>
    <col min="14740" max="14740" width="11.7109375" style="12" bestFit="1" customWidth="1"/>
    <col min="14741" max="14741" width="10" style="12"/>
    <col min="14742" max="14742" width="10.42578125" style="12" bestFit="1" customWidth="1"/>
    <col min="14743" max="14745" width="10" style="12"/>
    <col min="14746" max="14746" width="13.42578125" style="12" bestFit="1" customWidth="1"/>
    <col min="14747" max="14848" width="10" style="12"/>
    <col min="14849" max="14851" width="0" style="12" hidden="1" customWidth="1"/>
    <col min="14852" max="14852" width="64.85546875" style="12" customWidth="1"/>
    <col min="14853" max="14853" width="7" style="12" customWidth="1"/>
    <col min="14854" max="14855" width="1" style="12" customWidth="1"/>
    <col min="14856" max="14856" width="15.140625" style="12" customWidth="1"/>
    <col min="14857" max="14858" width="1" style="12" customWidth="1"/>
    <col min="14859" max="14913" width="0" style="12" hidden="1" customWidth="1"/>
    <col min="14914" max="14915" width="1" style="12" customWidth="1"/>
    <col min="14916" max="14916" width="17.85546875" style="12" customWidth="1"/>
    <col min="14917" max="14920" width="1" style="12" customWidth="1"/>
    <col min="14921" max="14921" width="18.7109375" style="12" bestFit="1" customWidth="1"/>
    <col min="14922" max="14925" width="1" style="12" customWidth="1"/>
    <col min="14926" max="14926" width="17.28515625" style="12" customWidth="1"/>
    <col min="14927" max="14927" width="0.7109375" style="12" customWidth="1"/>
    <col min="14928" max="14928" width="1" style="12" customWidth="1"/>
    <col min="14929" max="14983" width="0" style="12" hidden="1" customWidth="1"/>
    <col min="14984" max="14985" width="1" style="12" customWidth="1"/>
    <col min="14986" max="14986" width="16.85546875" style="12" customWidth="1"/>
    <col min="14987" max="14987" width="1" style="12" customWidth="1"/>
    <col min="14988" max="14988" width="2.42578125" style="12" customWidth="1"/>
    <col min="14989" max="14990" width="1" style="12" customWidth="1"/>
    <col min="14991" max="14991" width="17.85546875" style="12" customWidth="1"/>
    <col min="14992" max="14994" width="1" style="12" customWidth="1"/>
    <col min="14995" max="14995" width="1.85546875" style="12" customWidth="1"/>
    <col min="14996" max="14996" width="11.7109375" style="12" bestFit="1" customWidth="1"/>
    <col min="14997" max="14997" width="10" style="12"/>
    <col min="14998" max="14998" width="10.42578125" style="12" bestFit="1" customWidth="1"/>
    <col min="14999" max="15001" width="10" style="12"/>
    <col min="15002" max="15002" width="13.42578125" style="12" bestFit="1" customWidth="1"/>
    <col min="15003" max="15104" width="10" style="12"/>
    <col min="15105" max="15107" width="0" style="12" hidden="1" customWidth="1"/>
    <col min="15108" max="15108" width="64.85546875" style="12" customWidth="1"/>
    <col min="15109" max="15109" width="7" style="12" customWidth="1"/>
    <col min="15110" max="15111" width="1" style="12" customWidth="1"/>
    <col min="15112" max="15112" width="15.140625" style="12" customWidth="1"/>
    <col min="15113" max="15114" width="1" style="12" customWidth="1"/>
    <col min="15115" max="15169" width="0" style="12" hidden="1" customWidth="1"/>
    <col min="15170" max="15171" width="1" style="12" customWidth="1"/>
    <col min="15172" max="15172" width="17.85546875" style="12" customWidth="1"/>
    <col min="15173" max="15176" width="1" style="12" customWidth="1"/>
    <col min="15177" max="15177" width="18.7109375" style="12" bestFit="1" customWidth="1"/>
    <col min="15178" max="15181" width="1" style="12" customWidth="1"/>
    <col min="15182" max="15182" width="17.28515625" style="12" customWidth="1"/>
    <col min="15183" max="15183" width="0.7109375" style="12" customWidth="1"/>
    <col min="15184" max="15184" width="1" style="12" customWidth="1"/>
    <col min="15185" max="15239" width="0" style="12" hidden="1" customWidth="1"/>
    <col min="15240" max="15241" width="1" style="12" customWidth="1"/>
    <col min="15242" max="15242" width="16.85546875" style="12" customWidth="1"/>
    <col min="15243" max="15243" width="1" style="12" customWidth="1"/>
    <col min="15244" max="15244" width="2.42578125" style="12" customWidth="1"/>
    <col min="15245" max="15246" width="1" style="12" customWidth="1"/>
    <col min="15247" max="15247" width="17.85546875" style="12" customWidth="1"/>
    <col min="15248" max="15250" width="1" style="12" customWidth="1"/>
    <col min="15251" max="15251" width="1.85546875" style="12" customWidth="1"/>
    <col min="15252" max="15252" width="11.7109375" style="12" bestFit="1" customWidth="1"/>
    <col min="15253" max="15253" width="10" style="12"/>
    <col min="15254" max="15254" width="10.42578125" style="12" bestFit="1" customWidth="1"/>
    <col min="15255" max="15257" width="10" style="12"/>
    <col min="15258" max="15258" width="13.42578125" style="12" bestFit="1" customWidth="1"/>
    <col min="15259" max="15360" width="10" style="12"/>
    <col min="15361" max="15363" width="0" style="12" hidden="1" customWidth="1"/>
    <col min="15364" max="15364" width="64.85546875" style="12" customWidth="1"/>
    <col min="15365" max="15365" width="7" style="12" customWidth="1"/>
    <col min="15366" max="15367" width="1" style="12" customWidth="1"/>
    <col min="15368" max="15368" width="15.140625" style="12" customWidth="1"/>
    <col min="15369" max="15370" width="1" style="12" customWidth="1"/>
    <col min="15371" max="15425" width="0" style="12" hidden="1" customWidth="1"/>
    <col min="15426" max="15427" width="1" style="12" customWidth="1"/>
    <col min="15428" max="15428" width="17.85546875" style="12" customWidth="1"/>
    <col min="15429" max="15432" width="1" style="12" customWidth="1"/>
    <col min="15433" max="15433" width="18.7109375" style="12" bestFit="1" customWidth="1"/>
    <col min="15434" max="15437" width="1" style="12" customWidth="1"/>
    <col min="15438" max="15438" width="17.28515625" style="12" customWidth="1"/>
    <col min="15439" max="15439" width="0.7109375" style="12" customWidth="1"/>
    <col min="15440" max="15440" width="1" style="12" customWidth="1"/>
    <col min="15441" max="15495" width="0" style="12" hidden="1" customWidth="1"/>
    <col min="15496" max="15497" width="1" style="12" customWidth="1"/>
    <col min="15498" max="15498" width="16.85546875" style="12" customWidth="1"/>
    <col min="15499" max="15499" width="1" style="12" customWidth="1"/>
    <col min="15500" max="15500" width="2.42578125" style="12" customWidth="1"/>
    <col min="15501" max="15502" width="1" style="12" customWidth="1"/>
    <col min="15503" max="15503" width="17.85546875" style="12" customWidth="1"/>
    <col min="15504" max="15506" width="1" style="12" customWidth="1"/>
    <col min="15507" max="15507" width="1.85546875" style="12" customWidth="1"/>
    <col min="15508" max="15508" width="11.7109375" style="12" bestFit="1" customWidth="1"/>
    <col min="15509" max="15509" width="10" style="12"/>
    <col min="15510" max="15510" width="10.42578125" style="12" bestFit="1" customWidth="1"/>
    <col min="15511" max="15513" width="10" style="12"/>
    <col min="15514" max="15514" width="13.42578125" style="12" bestFit="1" customWidth="1"/>
    <col min="15515" max="15616" width="10" style="12"/>
    <col min="15617" max="15619" width="0" style="12" hidden="1" customWidth="1"/>
    <col min="15620" max="15620" width="64.85546875" style="12" customWidth="1"/>
    <col min="15621" max="15621" width="7" style="12" customWidth="1"/>
    <col min="15622" max="15623" width="1" style="12" customWidth="1"/>
    <col min="15624" max="15624" width="15.140625" style="12" customWidth="1"/>
    <col min="15625" max="15626" width="1" style="12" customWidth="1"/>
    <col min="15627" max="15681" width="0" style="12" hidden="1" customWidth="1"/>
    <col min="15682" max="15683" width="1" style="12" customWidth="1"/>
    <col min="15684" max="15684" width="17.85546875" style="12" customWidth="1"/>
    <col min="15685" max="15688" width="1" style="12" customWidth="1"/>
    <col min="15689" max="15689" width="18.7109375" style="12" bestFit="1" customWidth="1"/>
    <col min="15690" max="15693" width="1" style="12" customWidth="1"/>
    <col min="15694" max="15694" width="17.28515625" style="12" customWidth="1"/>
    <col min="15695" max="15695" width="0.7109375" style="12" customWidth="1"/>
    <col min="15696" max="15696" width="1" style="12" customWidth="1"/>
    <col min="15697" max="15751" width="0" style="12" hidden="1" customWidth="1"/>
    <col min="15752" max="15753" width="1" style="12" customWidth="1"/>
    <col min="15754" max="15754" width="16.85546875" style="12" customWidth="1"/>
    <col min="15755" max="15755" width="1" style="12" customWidth="1"/>
    <col min="15756" max="15756" width="2.42578125" style="12" customWidth="1"/>
    <col min="15757" max="15758" width="1" style="12" customWidth="1"/>
    <col min="15759" max="15759" width="17.85546875" style="12" customWidth="1"/>
    <col min="15760" max="15762" width="1" style="12" customWidth="1"/>
    <col min="15763" max="15763" width="1.85546875" style="12" customWidth="1"/>
    <col min="15764" max="15764" width="11.7109375" style="12" bestFit="1" customWidth="1"/>
    <col min="15765" max="15765" width="10" style="12"/>
    <col min="15766" max="15766" width="10.42578125" style="12" bestFit="1" customWidth="1"/>
    <col min="15767" max="15769" width="10" style="12"/>
    <col min="15770" max="15770" width="13.42578125" style="12" bestFit="1" customWidth="1"/>
    <col min="15771" max="15872" width="10" style="12"/>
    <col min="15873" max="15875" width="0" style="12" hidden="1" customWidth="1"/>
    <col min="15876" max="15876" width="64.85546875" style="12" customWidth="1"/>
    <col min="15877" max="15877" width="7" style="12" customWidth="1"/>
    <col min="15878" max="15879" width="1" style="12" customWidth="1"/>
    <col min="15880" max="15880" width="15.140625" style="12" customWidth="1"/>
    <col min="15881" max="15882" width="1" style="12" customWidth="1"/>
    <col min="15883" max="15937" width="0" style="12" hidden="1" customWidth="1"/>
    <col min="15938" max="15939" width="1" style="12" customWidth="1"/>
    <col min="15940" max="15940" width="17.85546875" style="12" customWidth="1"/>
    <col min="15941" max="15944" width="1" style="12" customWidth="1"/>
    <col min="15945" max="15945" width="18.7109375" style="12" bestFit="1" customWidth="1"/>
    <col min="15946" max="15949" width="1" style="12" customWidth="1"/>
    <col min="15950" max="15950" width="17.28515625" style="12" customWidth="1"/>
    <col min="15951" max="15951" width="0.7109375" style="12" customWidth="1"/>
    <col min="15952" max="15952" width="1" style="12" customWidth="1"/>
    <col min="15953" max="16007" width="0" style="12" hidden="1" customWidth="1"/>
    <col min="16008" max="16009" width="1" style="12" customWidth="1"/>
    <col min="16010" max="16010" width="16.85546875" style="12" customWidth="1"/>
    <col min="16011" max="16011" width="1" style="12" customWidth="1"/>
    <col min="16012" max="16012" width="2.42578125" style="12" customWidth="1"/>
    <col min="16013" max="16014" width="1" style="12" customWidth="1"/>
    <col min="16015" max="16015" width="17.85546875" style="12" customWidth="1"/>
    <col min="16016" max="16018" width="1" style="12" customWidth="1"/>
    <col min="16019" max="16019" width="1.85546875" style="12" customWidth="1"/>
    <col min="16020" max="16020" width="11.7109375" style="12" bestFit="1" customWidth="1"/>
    <col min="16021" max="16021" width="10" style="12"/>
    <col min="16022" max="16022" width="10.42578125" style="12" bestFit="1" customWidth="1"/>
    <col min="16023" max="16025" width="10" style="12"/>
    <col min="16026" max="16026" width="13.42578125" style="12" bestFit="1" customWidth="1"/>
    <col min="16027" max="16128" width="10" style="12"/>
    <col min="16129" max="16131" width="0" style="12" hidden="1" customWidth="1"/>
    <col min="16132" max="16132" width="64.85546875" style="12" customWidth="1"/>
    <col min="16133" max="16133" width="7" style="12" customWidth="1"/>
    <col min="16134" max="16135" width="1" style="12" customWidth="1"/>
    <col min="16136" max="16136" width="15.140625" style="12" customWidth="1"/>
    <col min="16137" max="16138" width="1" style="12" customWidth="1"/>
    <col min="16139" max="16193" width="0" style="12" hidden="1" customWidth="1"/>
    <col min="16194" max="16195" width="1" style="12" customWidth="1"/>
    <col min="16196" max="16196" width="17.85546875" style="12" customWidth="1"/>
    <col min="16197" max="16200" width="1" style="12" customWidth="1"/>
    <col min="16201" max="16201" width="18.7109375" style="12" bestFit="1" customWidth="1"/>
    <col min="16202" max="16205" width="1" style="12" customWidth="1"/>
    <col min="16206" max="16206" width="17.28515625" style="12" customWidth="1"/>
    <col min="16207" max="16207" width="0.7109375" style="12" customWidth="1"/>
    <col min="16208" max="16208" width="1" style="12" customWidth="1"/>
    <col min="16209" max="16263" width="0" style="12" hidden="1" customWidth="1"/>
    <col min="16264" max="16265" width="1" style="12" customWidth="1"/>
    <col min="16266" max="16266" width="16.85546875" style="12" customWidth="1"/>
    <col min="16267" max="16267" width="1" style="12" customWidth="1"/>
    <col min="16268" max="16268" width="2.42578125" style="12" customWidth="1"/>
    <col min="16269" max="16270" width="1" style="12" customWidth="1"/>
    <col min="16271" max="16271" width="17.85546875" style="12" customWidth="1"/>
    <col min="16272" max="16274" width="1" style="12" customWidth="1"/>
    <col min="16275" max="16275" width="1.85546875" style="12" customWidth="1"/>
    <col min="16276" max="16276" width="11.7109375" style="12" bestFit="1" customWidth="1"/>
    <col min="16277" max="16277" width="10" style="12"/>
    <col min="16278" max="16278" width="10.42578125" style="12" bestFit="1" customWidth="1"/>
    <col min="16279" max="16281" width="10" style="12"/>
    <col min="16282" max="16282" width="13.42578125" style="12" bestFit="1" customWidth="1"/>
    <col min="16283" max="16384" width="10" style="12"/>
  </cols>
  <sheetData>
    <row r="2" spans="4:148" ht="3" customHeight="1" x14ac:dyDescent="0.2"/>
    <row r="4" spans="4:148" x14ac:dyDescent="0.2">
      <c r="D4" s="451"/>
      <c r="E4" s="38"/>
      <c r="F4" s="451"/>
      <c r="G4" s="451"/>
    </row>
    <row r="5" spans="4:148" x14ac:dyDescent="0.2">
      <c r="E5" s="38"/>
      <c r="F5" s="451"/>
      <c r="G5" s="451"/>
    </row>
    <row r="7" spans="4:148" ht="15.75" customHeight="1" x14ac:dyDescent="0.25">
      <c r="D7" s="87" t="s">
        <v>487</v>
      </c>
      <c r="E7" s="38"/>
      <c r="F7" s="451"/>
      <c r="G7" s="451"/>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EM7" s="90"/>
    </row>
    <row r="8" spans="4:148" ht="12.75" customHeight="1" x14ac:dyDescent="0.2">
      <c r="D8" s="188"/>
      <c r="E8" s="380"/>
      <c r="F8" s="481"/>
      <c r="G8" s="448"/>
      <c r="H8" s="789" t="str">
        <f>[51]summary!H8</f>
        <v>2020/21</v>
      </c>
      <c r="I8" s="790"/>
      <c r="J8" s="790"/>
      <c r="K8" s="790"/>
      <c r="L8" s="790"/>
      <c r="M8" s="790"/>
      <c r="N8" s="790"/>
      <c r="O8" s="790"/>
      <c r="P8" s="790"/>
      <c r="Q8" s="790"/>
      <c r="R8" s="790"/>
      <c r="S8" s="790"/>
      <c r="T8" s="790"/>
      <c r="U8" s="790"/>
      <c r="V8" s="790"/>
      <c r="W8" s="790"/>
      <c r="X8" s="790"/>
      <c r="Y8" s="790"/>
      <c r="Z8" s="790"/>
      <c r="AA8" s="790"/>
      <c r="AB8" s="790"/>
      <c r="AC8" s="790"/>
      <c r="AD8" s="790"/>
      <c r="AE8" s="790"/>
      <c r="AF8" s="790"/>
      <c r="AG8" s="790"/>
      <c r="AH8" s="790"/>
      <c r="AI8" s="790"/>
      <c r="AJ8" s="790"/>
      <c r="AK8" s="790"/>
      <c r="AL8" s="790"/>
      <c r="AM8" s="790"/>
      <c r="AN8" s="790"/>
      <c r="AO8" s="790"/>
      <c r="AP8" s="790"/>
      <c r="AQ8" s="790"/>
      <c r="AR8" s="790"/>
      <c r="AS8" s="790"/>
      <c r="AT8" s="790"/>
      <c r="AU8" s="790"/>
      <c r="AV8" s="790"/>
      <c r="AW8" s="790"/>
      <c r="AX8" s="790"/>
      <c r="AY8" s="790"/>
      <c r="AZ8" s="790"/>
      <c r="BA8" s="790"/>
      <c r="BB8" s="790"/>
      <c r="BC8" s="790"/>
      <c r="BD8" s="790"/>
      <c r="BE8" s="790"/>
      <c r="BF8" s="790"/>
      <c r="BG8" s="790"/>
      <c r="BH8" s="790"/>
      <c r="BI8" s="790"/>
      <c r="BJ8" s="790"/>
      <c r="BK8" s="790"/>
      <c r="BL8" s="790"/>
      <c r="BM8" s="790"/>
      <c r="BN8" s="790"/>
      <c r="BO8" s="790"/>
      <c r="BP8" s="790"/>
      <c r="BQ8" s="790"/>
      <c r="BR8" s="790"/>
      <c r="BS8" s="790"/>
      <c r="BT8" s="790"/>
      <c r="BU8" s="790"/>
      <c r="BV8" s="125"/>
      <c r="BW8" s="125"/>
      <c r="BX8" s="96"/>
      <c r="BY8" s="125"/>
      <c r="BZ8" s="762" t="str">
        <f>[51]summary!BZ8</f>
        <v>2019/20</v>
      </c>
      <c r="CA8" s="784"/>
      <c r="CB8" s="784"/>
      <c r="CC8" s="784"/>
      <c r="CD8" s="784"/>
      <c r="CE8" s="784"/>
      <c r="CF8" s="784"/>
      <c r="CG8" s="784"/>
      <c r="CH8" s="784"/>
      <c r="CI8" s="784"/>
      <c r="CJ8" s="784"/>
      <c r="CK8" s="784"/>
      <c r="CL8" s="784"/>
      <c r="CM8" s="784"/>
      <c r="CN8" s="784"/>
      <c r="CO8" s="784"/>
      <c r="CP8" s="784"/>
      <c r="CQ8" s="784"/>
      <c r="CR8" s="784"/>
      <c r="CS8" s="784"/>
      <c r="CT8" s="784"/>
      <c r="CU8" s="784"/>
      <c r="CV8" s="784"/>
      <c r="CW8" s="784"/>
      <c r="CX8" s="784"/>
      <c r="CY8" s="784"/>
      <c r="CZ8" s="784"/>
      <c r="DA8" s="784"/>
      <c r="DB8" s="784"/>
      <c r="DC8" s="784"/>
      <c r="DD8" s="784"/>
      <c r="DE8" s="784"/>
      <c r="DF8" s="784"/>
      <c r="DG8" s="784"/>
      <c r="DH8" s="784"/>
      <c r="DI8" s="784"/>
      <c r="DJ8" s="784"/>
      <c r="DK8" s="784"/>
      <c r="DL8" s="784"/>
      <c r="DM8" s="784"/>
      <c r="DN8" s="784"/>
      <c r="DO8" s="784"/>
      <c r="DP8" s="784"/>
      <c r="DQ8" s="784"/>
      <c r="DR8" s="784"/>
      <c r="DS8" s="784"/>
      <c r="DT8" s="784"/>
      <c r="DU8" s="784"/>
      <c r="DV8" s="784"/>
      <c r="DW8" s="784"/>
      <c r="DX8" s="784"/>
      <c r="DY8" s="784"/>
      <c r="DZ8" s="784"/>
      <c r="EA8" s="784"/>
      <c r="EB8" s="784"/>
      <c r="EC8" s="784"/>
      <c r="ED8" s="784"/>
      <c r="EE8" s="784"/>
      <c r="EF8" s="784"/>
      <c r="EG8" s="784"/>
      <c r="EH8" s="784"/>
      <c r="EI8" s="784"/>
      <c r="EJ8" s="784"/>
      <c r="EK8" s="784"/>
      <c r="EL8" s="784"/>
      <c r="EM8" s="784"/>
      <c r="EN8" s="125"/>
      <c r="EO8" s="291"/>
      <c r="EP8" s="410"/>
    </row>
    <row r="9" spans="4:148" ht="12.75" customHeight="1" x14ac:dyDescent="0.2">
      <c r="D9" s="484"/>
      <c r="E9" s="38"/>
      <c r="F9" s="142"/>
      <c r="G9" s="254"/>
      <c r="H9" s="439" t="str">
        <f>[51]foreigndebt!G9</f>
        <v>Revised</v>
      </c>
      <c r="I9" s="439"/>
      <c r="J9" s="439"/>
      <c r="K9" s="447"/>
      <c r="L9" s="439"/>
      <c r="M9" s="439" t="s">
        <v>3</v>
      </c>
      <c r="N9" s="439"/>
      <c r="O9" s="439"/>
      <c r="P9" s="337"/>
      <c r="Q9" s="439"/>
      <c r="R9" s="439" t="s">
        <v>4</v>
      </c>
      <c r="S9" s="439"/>
      <c r="T9" s="439"/>
      <c r="U9" s="337"/>
      <c r="V9" s="439"/>
      <c r="W9" s="439" t="s">
        <v>5</v>
      </c>
      <c r="X9" s="439"/>
      <c r="Y9" s="439"/>
      <c r="Z9" s="337"/>
      <c r="AA9" s="439"/>
      <c r="AB9" s="439" t="s">
        <v>6</v>
      </c>
      <c r="AC9" s="439"/>
      <c r="AD9" s="439"/>
      <c r="AE9" s="337"/>
      <c r="AF9" s="439"/>
      <c r="AG9" s="439" t="s">
        <v>7</v>
      </c>
      <c r="AH9" s="439"/>
      <c r="AI9" s="439"/>
      <c r="AJ9" s="337"/>
      <c r="AK9" s="439"/>
      <c r="AL9" s="439" t="s">
        <v>8</v>
      </c>
      <c r="AM9" s="439"/>
      <c r="AN9" s="439"/>
      <c r="AO9" s="337"/>
      <c r="AP9" s="439"/>
      <c r="AQ9" s="439" t="s">
        <v>9</v>
      </c>
      <c r="AR9" s="439"/>
      <c r="AS9" s="439"/>
      <c r="AT9" s="337"/>
      <c r="AU9" s="439"/>
      <c r="AV9" s="439" t="s">
        <v>10</v>
      </c>
      <c r="AW9" s="439"/>
      <c r="AX9" s="439"/>
      <c r="AY9" s="337"/>
      <c r="AZ9" s="439"/>
      <c r="BA9" s="439" t="s">
        <v>11</v>
      </c>
      <c r="BB9" s="439"/>
      <c r="BC9" s="439"/>
      <c r="BD9" s="337"/>
      <c r="BE9" s="439"/>
      <c r="BF9" s="439" t="s">
        <v>12</v>
      </c>
      <c r="BG9" s="439"/>
      <c r="BH9" s="439"/>
      <c r="BI9" s="337"/>
      <c r="BJ9" s="439"/>
      <c r="BK9" s="439" t="s">
        <v>13</v>
      </c>
      <c r="BL9" s="439"/>
      <c r="BM9" s="439"/>
      <c r="BN9" s="337"/>
      <c r="BO9" s="439"/>
      <c r="BP9" s="439" t="s">
        <v>14</v>
      </c>
      <c r="BQ9" s="439"/>
      <c r="BR9" s="439"/>
      <c r="BS9" s="337"/>
      <c r="BT9" s="439"/>
      <c r="BU9" s="439" t="s">
        <v>15</v>
      </c>
      <c r="BV9" s="439"/>
      <c r="BW9" s="439"/>
      <c r="BX9" s="337"/>
      <c r="BY9" s="439"/>
      <c r="BZ9" s="439" t="str">
        <f>[51]foreigndebt!BY9</f>
        <v>Audited</v>
      </c>
      <c r="CA9" s="439"/>
      <c r="CB9" s="439"/>
      <c r="CC9" s="337"/>
      <c r="CD9" s="439"/>
      <c r="CE9" s="439" t="s">
        <v>3</v>
      </c>
      <c r="CF9" s="439"/>
      <c r="CG9" s="439"/>
      <c r="CH9" s="337"/>
      <c r="CI9" s="439"/>
      <c r="CJ9" s="439" t="s">
        <v>4</v>
      </c>
      <c r="CK9" s="439"/>
      <c r="CL9" s="439"/>
      <c r="CM9" s="337"/>
      <c r="CN9" s="439"/>
      <c r="CO9" s="439" t="s">
        <v>5</v>
      </c>
      <c r="CP9" s="439"/>
      <c r="CQ9" s="439"/>
      <c r="CR9" s="337"/>
      <c r="CS9" s="439"/>
      <c r="CT9" s="439" t="s">
        <v>6</v>
      </c>
      <c r="CU9" s="439"/>
      <c r="CV9" s="439"/>
      <c r="CW9" s="337"/>
      <c r="CX9" s="439"/>
      <c r="CY9" s="439" t="s">
        <v>7</v>
      </c>
      <c r="CZ9" s="439"/>
      <c r="DA9" s="439"/>
      <c r="DB9" s="337"/>
      <c r="DC9" s="439"/>
      <c r="DD9" s="439" t="s">
        <v>8</v>
      </c>
      <c r="DE9" s="439"/>
      <c r="DF9" s="439"/>
      <c r="DG9" s="337"/>
      <c r="DH9" s="439"/>
      <c r="DI9" s="439" t="s">
        <v>9</v>
      </c>
      <c r="DJ9" s="439"/>
      <c r="DK9" s="439"/>
      <c r="DL9" s="337"/>
      <c r="DM9" s="439"/>
      <c r="DN9" s="439" t="s">
        <v>10</v>
      </c>
      <c r="DO9" s="439"/>
      <c r="DP9" s="439"/>
      <c r="DQ9" s="337"/>
      <c r="DR9" s="439"/>
      <c r="DS9" s="439" t="s">
        <v>11</v>
      </c>
      <c r="DT9" s="439"/>
      <c r="DU9" s="439"/>
      <c r="DV9" s="337"/>
      <c r="DW9" s="439"/>
      <c r="DX9" s="439" t="s">
        <v>12</v>
      </c>
      <c r="DY9" s="439"/>
      <c r="DZ9" s="439"/>
      <c r="EA9" s="337"/>
      <c r="EB9" s="439"/>
      <c r="EC9" s="439" t="s">
        <v>13</v>
      </c>
      <c r="ED9" s="439"/>
      <c r="EE9" s="439"/>
      <c r="EF9" s="337"/>
      <c r="EG9" s="439"/>
      <c r="EH9" s="439" t="s">
        <v>14</v>
      </c>
      <c r="EI9" s="439"/>
      <c r="EJ9" s="439"/>
      <c r="EK9" s="337"/>
      <c r="EL9" s="439"/>
      <c r="EM9" s="439" t="s">
        <v>15</v>
      </c>
      <c r="EN9" s="439"/>
      <c r="EO9" s="397"/>
      <c r="EP9" s="109"/>
    </row>
    <row r="10" spans="4:148" ht="12.75" customHeight="1" x14ac:dyDescent="0.2">
      <c r="D10" s="394" t="s">
        <v>17</v>
      </c>
      <c r="E10" s="187"/>
      <c r="F10" s="211"/>
      <c r="G10" s="438"/>
      <c r="H10" s="405" t="s">
        <v>19</v>
      </c>
      <c r="I10" s="405"/>
      <c r="J10" s="466"/>
      <c r="K10" s="341"/>
      <c r="L10" s="405"/>
      <c r="M10" s="184"/>
      <c r="N10" s="184"/>
      <c r="O10" s="184"/>
      <c r="P10" s="211"/>
      <c r="Q10" s="184"/>
      <c r="R10" s="184"/>
      <c r="S10" s="184"/>
      <c r="T10" s="184"/>
      <c r="U10" s="211"/>
      <c r="V10" s="184"/>
      <c r="W10" s="184"/>
      <c r="X10" s="184"/>
      <c r="Y10" s="184"/>
      <c r="Z10" s="211"/>
      <c r="AA10" s="184"/>
      <c r="AB10" s="184"/>
      <c r="AC10" s="184"/>
      <c r="AD10" s="184"/>
      <c r="AE10" s="211"/>
      <c r="AF10" s="184"/>
      <c r="AG10" s="184"/>
      <c r="AH10" s="184"/>
      <c r="AI10" s="184"/>
      <c r="AJ10" s="211"/>
      <c r="AK10" s="184"/>
      <c r="AL10" s="184"/>
      <c r="AM10" s="184"/>
      <c r="AN10" s="184"/>
      <c r="AO10" s="211"/>
      <c r="AP10" s="184"/>
      <c r="AQ10" s="184"/>
      <c r="AR10" s="184"/>
      <c r="AS10" s="184"/>
      <c r="AT10" s="211"/>
      <c r="AU10" s="184"/>
      <c r="AV10" s="184"/>
      <c r="AW10" s="184"/>
      <c r="AX10" s="184"/>
      <c r="AY10" s="211"/>
      <c r="AZ10" s="184"/>
      <c r="BA10" s="184"/>
      <c r="BB10" s="184"/>
      <c r="BC10" s="184"/>
      <c r="BD10" s="211"/>
      <c r="BE10" s="184"/>
      <c r="BF10" s="184"/>
      <c r="BG10" s="184"/>
      <c r="BH10" s="184"/>
      <c r="BI10" s="211"/>
      <c r="BJ10" s="184"/>
      <c r="BK10" s="184"/>
      <c r="BL10" s="184"/>
      <c r="BM10" s="184"/>
      <c r="BN10" s="211"/>
      <c r="BO10" s="184"/>
      <c r="BP10" s="184"/>
      <c r="BQ10" s="184"/>
      <c r="BR10" s="184"/>
      <c r="BS10" s="211"/>
      <c r="BT10" s="184"/>
      <c r="BU10" s="184"/>
      <c r="BV10" s="184"/>
      <c r="BW10" s="184"/>
      <c r="BX10" s="211"/>
      <c r="BY10" s="184"/>
      <c r="BZ10" s="405" t="s">
        <v>34</v>
      </c>
      <c r="CA10" s="405"/>
      <c r="CB10" s="405"/>
      <c r="CC10" s="341"/>
      <c r="CD10" s="405"/>
      <c r="CE10" s="184"/>
      <c r="CF10" s="184"/>
      <c r="CG10" s="184"/>
      <c r="CH10" s="211"/>
      <c r="CI10" s="184"/>
      <c r="CJ10" s="184"/>
      <c r="CK10" s="184"/>
      <c r="CL10" s="184"/>
      <c r="CM10" s="211"/>
      <c r="CN10" s="184"/>
      <c r="CO10" s="184"/>
      <c r="CP10" s="184"/>
      <c r="CQ10" s="184"/>
      <c r="CR10" s="211"/>
      <c r="CS10" s="184"/>
      <c r="CT10" s="184"/>
      <c r="CU10" s="184"/>
      <c r="CV10" s="184"/>
      <c r="CW10" s="211"/>
      <c r="CX10" s="184"/>
      <c r="CY10" s="184"/>
      <c r="CZ10" s="184"/>
      <c r="DA10" s="184"/>
      <c r="DB10" s="211"/>
      <c r="DC10" s="184"/>
      <c r="DD10" s="184"/>
      <c r="DE10" s="184"/>
      <c r="DF10" s="184"/>
      <c r="DG10" s="211"/>
      <c r="DH10" s="184"/>
      <c r="DI10" s="184"/>
      <c r="DJ10" s="184"/>
      <c r="DK10" s="184"/>
      <c r="DL10" s="211"/>
      <c r="DM10" s="184"/>
      <c r="DN10" s="184"/>
      <c r="DO10" s="184"/>
      <c r="DP10" s="184"/>
      <c r="DQ10" s="211"/>
      <c r="DR10" s="184"/>
      <c r="DS10" s="184"/>
      <c r="DT10" s="184"/>
      <c r="DU10" s="184"/>
      <c r="DV10" s="211"/>
      <c r="DW10" s="184"/>
      <c r="DX10" s="184"/>
      <c r="DY10" s="184"/>
      <c r="DZ10" s="184"/>
      <c r="EA10" s="211"/>
      <c r="EB10" s="184"/>
      <c r="EC10" s="184"/>
      <c r="ED10" s="184"/>
      <c r="EE10" s="184"/>
      <c r="EF10" s="211"/>
      <c r="EG10" s="184"/>
      <c r="EH10" s="184"/>
      <c r="EI10" s="184"/>
      <c r="EJ10" s="184"/>
      <c r="EK10" s="211"/>
      <c r="EL10" s="184"/>
      <c r="EM10" s="184"/>
      <c r="EN10" s="184"/>
      <c r="EO10" s="427"/>
      <c r="EP10" s="410"/>
    </row>
    <row r="11" spans="4:148" x14ac:dyDescent="0.2">
      <c r="D11" s="244"/>
      <c r="F11" s="82"/>
      <c r="K11" s="82"/>
      <c r="P11" s="82"/>
      <c r="U11" s="82"/>
      <c r="Z11" s="82"/>
      <c r="AE11" s="82"/>
      <c r="AJ11" s="82"/>
      <c r="AO11" s="82"/>
      <c r="AT11" s="82"/>
      <c r="AY11" s="82"/>
      <c r="BD11" s="82"/>
      <c r="BI11" s="82"/>
      <c r="BN11" s="82"/>
      <c r="BS11" s="82"/>
      <c r="BX11" s="82"/>
      <c r="CC11" s="82"/>
      <c r="CH11" s="82"/>
      <c r="CM11" s="82"/>
      <c r="CR11" s="82"/>
      <c r="CW11" s="82"/>
      <c r="DB11" s="82"/>
      <c r="DG11" s="82"/>
      <c r="DL11" s="82"/>
      <c r="DQ11" s="82"/>
      <c r="DV11" s="82"/>
      <c r="EA11" s="82"/>
      <c r="EF11" s="82"/>
      <c r="EK11" s="82"/>
      <c r="EM11" s="457"/>
      <c r="EP11" s="244"/>
    </row>
    <row r="12" spans="4:148" s="451" customFormat="1" x14ac:dyDescent="0.2">
      <c r="D12" s="484" t="s">
        <v>488</v>
      </c>
      <c r="E12" s="402" t="s">
        <v>73</v>
      </c>
      <c r="F12" s="82"/>
      <c r="G12" s="12"/>
      <c r="H12" s="22">
        <f>+H13-H17</f>
        <v>-58956332</v>
      </c>
      <c r="I12" s="22"/>
      <c r="J12" s="22"/>
      <c r="K12" s="186"/>
      <c r="L12" s="22"/>
      <c r="M12" s="22">
        <f>+M13-M17</f>
        <v>-18484170</v>
      </c>
      <c r="N12" s="22"/>
      <c r="O12" s="22"/>
      <c r="P12" s="186"/>
      <c r="Q12" s="22"/>
      <c r="R12" s="22">
        <f>+R13-R17</f>
        <v>3349854</v>
      </c>
      <c r="S12" s="22"/>
      <c r="T12" s="22"/>
      <c r="U12" s="186"/>
      <c r="V12" s="22"/>
      <c r="W12" s="22">
        <f>+W13-W17</f>
        <v>-22973000</v>
      </c>
      <c r="X12" s="22"/>
      <c r="Y12" s="22"/>
      <c r="Z12" s="186"/>
      <c r="AA12" s="22"/>
      <c r="AB12" s="22">
        <f>+AB13-AB17</f>
        <v>-53649787</v>
      </c>
      <c r="AC12" s="22"/>
      <c r="AD12" s="22"/>
      <c r="AE12" s="186"/>
      <c r="AF12" s="22"/>
      <c r="AG12" s="22">
        <f>+AG13-AG17</f>
        <v>41961434</v>
      </c>
      <c r="AH12" s="22"/>
      <c r="AI12" s="22"/>
      <c r="AJ12" s="186"/>
      <c r="AK12" s="22"/>
      <c r="AL12" s="22">
        <f>+AL13-AL17</f>
        <v>-13252498</v>
      </c>
      <c r="AM12" s="22"/>
      <c r="AN12" s="22"/>
      <c r="AO12" s="186"/>
      <c r="AP12" s="22"/>
      <c r="AQ12" s="22">
        <f>+AQ13-AQ17</f>
        <v>-40961985</v>
      </c>
      <c r="AR12" s="22"/>
      <c r="AS12" s="22"/>
      <c r="AT12" s="186"/>
      <c r="AU12" s="22"/>
      <c r="AV12" s="22">
        <f>+AV13-AV17</f>
        <v>-19510192</v>
      </c>
      <c r="AW12" s="22"/>
      <c r="AX12" s="22"/>
      <c r="AY12" s="186"/>
      <c r="AZ12" s="22"/>
      <c r="BA12" s="22">
        <f>+BA13-BA17</f>
        <v>-18762903</v>
      </c>
      <c r="BB12" s="22"/>
      <c r="BC12" s="22"/>
      <c r="BD12" s="186"/>
      <c r="BE12" s="22"/>
      <c r="BF12" s="22">
        <f>+BF13-BF17</f>
        <v>-420333</v>
      </c>
      <c r="BG12" s="22"/>
      <c r="BH12" s="22"/>
      <c r="BI12" s="186"/>
      <c r="BJ12" s="22"/>
      <c r="BK12" s="22">
        <f>+BK13-BK17</f>
        <v>-11986294</v>
      </c>
      <c r="BL12" s="22"/>
      <c r="BM12" s="22"/>
      <c r="BN12" s="186"/>
      <c r="BO12" s="22"/>
      <c r="BP12" s="22">
        <f>+BP13-BP17</f>
        <v>52747862</v>
      </c>
      <c r="BQ12" s="22"/>
      <c r="BR12" s="22"/>
      <c r="BS12" s="186"/>
      <c r="BT12" s="22"/>
      <c r="BU12" s="22">
        <f>+BU13-BU17</f>
        <v>-101942012</v>
      </c>
      <c r="BV12" s="22"/>
      <c r="BW12" s="22"/>
      <c r="BX12" s="186"/>
      <c r="BY12" s="22"/>
      <c r="BZ12" s="22">
        <f>+BZ13-BZ17</f>
        <v>2473985</v>
      </c>
      <c r="CA12" s="22"/>
      <c r="CB12" s="22"/>
      <c r="CC12" s="186"/>
      <c r="CD12" s="22"/>
      <c r="CE12" s="22">
        <f>+CE13-CE17</f>
        <v>39161985</v>
      </c>
      <c r="CF12" s="22"/>
      <c r="CG12" s="22"/>
      <c r="CH12" s="186"/>
      <c r="CI12" s="22"/>
      <c r="CJ12" s="22">
        <f>+CJ13-CJ17</f>
        <v>6533576</v>
      </c>
      <c r="CK12" s="22"/>
      <c r="CL12" s="22"/>
      <c r="CM12" s="186"/>
      <c r="CN12" s="22"/>
      <c r="CO12" s="22">
        <f>+CO13-CO17</f>
        <v>-80194837</v>
      </c>
      <c r="CP12" s="22"/>
      <c r="CQ12" s="22"/>
      <c r="CR12" s="186"/>
      <c r="CS12" s="22"/>
      <c r="CT12" s="22">
        <f>+CT13-CT17</f>
        <v>71485782</v>
      </c>
      <c r="CU12" s="22"/>
      <c r="CV12" s="22"/>
      <c r="CW12" s="186"/>
      <c r="CX12" s="22"/>
      <c r="CY12" s="22">
        <f>+CY13-CY17</f>
        <v>10515236</v>
      </c>
      <c r="CZ12" s="22"/>
      <c r="DA12" s="22"/>
      <c r="DB12" s="186"/>
      <c r="DC12" s="22"/>
      <c r="DD12" s="22">
        <f>+DD13-DD17</f>
        <v>-104528279</v>
      </c>
      <c r="DE12" s="22"/>
      <c r="DF12" s="22"/>
      <c r="DG12" s="186"/>
      <c r="DH12" s="22"/>
      <c r="DI12" s="22">
        <f>+DI13-DI17</f>
        <v>2731873</v>
      </c>
      <c r="DJ12" s="22"/>
      <c r="DK12" s="22"/>
      <c r="DL12" s="186"/>
      <c r="DM12" s="22"/>
      <c r="DN12" s="22">
        <f>+DN13-DN17</f>
        <v>-9369739</v>
      </c>
      <c r="DO12" s="22"/>
      <c r="DP12" s="22"/>
      <c r="DQ12" s="186"/>
      <c r="DR12" s="22"/>
      <c r="DS12" s="22">
        <f>+DS13-DS17</f>
        <v>-7896523</v>
      </c>
      <c r="DT12" s="22"/>
      <c r="DU12" s="22"/>
      <c r="DV12" s="186"/>
      <c r="DW12" s="22"/>
      <c r="DX12" s="22">
        <f>+DX13-DX17</f>
        <v>33364654</v>
      </c>
      <c r="DY12" s="22"/>
      <c r="DZ12" s="22"/>
      <c r="EA12" s="186"/>
      <c r="EB12" s="22"/>
      <c r="EC12" s="22">
        <f>+EC13-EC17</f>
        <v>-27939762</v>
      </c>
      <c r="ED12" s="22"/>
      <c r="EE12" s="22"/>
      <c r="EF12" s="186"/>
      <c r="EG12" s="22"/>
      <c r="EH12" s="22">
        <f>+EH13-EH17</f>
        <v>68610019</v>
      </c>
      <c r="EI12" s="22"/>
      <c r="EJ12" s="22"/>
      <c r="EK12" s="186"/>
      <c r="EL12" s="22"/>
      <c r="EM12" s="344">
        <f>+EM13-EM17</f>
        <v>2473985</v>
      </c>
      <c r="EN12" s="22"/>
      <c r="EO12" s="22"/>
      <c r="EP12" s="124"/>
    </row>
    <row r="13" spans="4:148" x14ac:dyDescent="0.2">
      <c r="D13" s="244" t="s">
        <v>489</v>
      </c>
      <c r="F13" s="82"/>
      <c r="G13" s="112"/>
      <c r="H13" s="446">
        <f>SUM(H14:H15)</f>
        <v>235661668</v>
      </c>
      <c r="I13" s="240"/>
      <c r="J13" s="33"/>
      <c r="K13" s="325"/>
      <c r="L13" s="141"/>
      <c r="M13" s="446">
        <f>SUM(M14:M15)</f>
        <v>235661668</v>
      </c>
      <c r="N13" s="240"/>
      <c r="O13" s="33"/>
      <c r="P13" s="325"/>
      <c r="Q13" s="141"/>
      <c r="R13" s="446">
        <f>SUM(R14:R15)</f>
        <v>254145838</v>
      </c>
      <c r="S13" s="240"/>
      <c r="T13" s="33"/>
      <c r="U13" s="325"/>
      <c r="V13" s="141"/>
      <c r="W13" s="446">
        <f>SUM(W14:W15)</f>
        <v>250795984</v>
      </c>
      <c r="X13" s="240"/>
      <c r="Y13" s="33"/>
      <c r="Z13" s="325"/>
      <c r="AA13" s="141"/>
      <c r="AB13" s="446">
        <f>SUM(AB14:AB15)</f>
        <v>273768984</v>
      </c>
      <c r="AC13" s="240"/>
      <c r="AD13" s="33"/>
      <c r="AE13" s="325"/>
      <c r="AF13" s="141"/>
      <c r="AG13" s="446">
        <f>SUM(AG14:AG15)</f>
        <v>327418771</v>
      </c>
      <c r="AH13" s="240"/>
      <c r="AI13" s="33"/>
      <c r="AJ13" s="325"/>
      <c r="AK13" s="141"/>
      <c r="AL13" s="446">
        <f>SUM(AL14:AL15)</f>
        <v>285457337</v>
      </c>
      <c r="AM13" s="240"/>
      <c r="AN13" s="33"/>
      <c r="AO13" s="325"/>
      <c r="AP13" s="141"/>
      <c r="AQ13" s="446">
        <f>SUM(AQ14:AQ15)</f>
        <v>298709835</v>
      </c>
      <c r="AR13" s="240"/>
      <c r="AS13" s="33"/>
      <c r="AT13" s="325"/>
      <c r="AU13" s="141"/>
      <c r="AV13" s="446">
        <f>SUM(AV14:AV15)</f>
        <v>339671820</v>
      </c>
      <c r="AW13" s="240"/>
      <c r="AX13" s="33"/>
      <c r="AY13" s="325"/>
      <c r="AZ13" s="141"/>
      <c r="BA13" s="446">
        <f>SUM(BA14:BA15)</f>
        <v>359182012</v>
      </c>
      <c r="BB13" s="240"/>
      <c r="BC13" s="33"/>
      <c r="BD13" s="325"/>
      <c r="BE13" s="141"/>
      <c r="BF13" s="446">
        <f>SUM(BF14:BF15)</f>
        <v>377944915</v>
      </c>
      <c r="BG13" s="240"/>
      <c r="BH13" s="33"/>
      <c r="BI13" s="325"/>
      <c r="BJ13" s="141"/>
      <c r="BK13" s="446">
        <f>SUM(BK14:BK15)</f>
        <v>378365248</v>
      </c>
      <c r="BL13" s="240"/>
      <c r="BM13" s="33"/>
      <c r="BN13" s="325"/>
      <c r="BO13" s="141"/>
      <c r="BP13" s="446">
        <f>SUM(BP14:BP15)</f>
        <v>390351542</v>
      </c>
      <c r="BQ13" s="240"/>
      <c r="BR13" s="33"/>
      <c r="BS13" s="325"/>
      <c r="BT13" s="141"/>
      <c r="BU13" s="446">
        <f>SUM(BU14:BU15)</f>
        <v>235661668</v>
      </c>
      <c r="BV13" s="240"/>
      <c r="BW13" s="33"/>
      <c r="BX13" s="325"/>
      <c r="BY13" s="141"/>
      <c r="BZ13" s="446">
        <f>SUM(BZ14:BZ15)</f>
        <v>238135653</v>
      </c>
      <c r="CA13" s="240"/>
      <c r="CB13" s="33"/>
      <c r="CC13" s="325"/>
      <c r="CD13" s="141"/>
      <c r="CE13" s="446">
        <f>SUM(CE14:CE15)</f>
        <v>238135653</v>
      </c>
      <c r="CF13" s="240"/>
      <c r="CG13" s="33"/>
      <c r="CH13" s="325"/>
      <c r="CI13" s="141"/>
      <c r="CJ13" s="446">
        <f>SUM(CJ14:CJ15)</f>
        <v>198973668</v>
      </c>
      <c r="CK13" s="240"/>
      <c r="CL13" s="33"/>
      <c r="CM13" s="325"/>
      <c r="CN13" s="141"/>
      <c r="CO13" s="446">
        <f>SUM(CO14:CO15)</f>
        <v>192440092</v>
      </c>
      <c r="CP13" s="240"/>
      <c r="CQ13" s="33"/>
      <c r="CR13" s="325"/>
      <c r="CS13" s="141"/>
      <c r="CT13" s="446">
        <f>SUM(CT14:CT15)</f>
        <v>272634929</v>
      </c>
      <c r="CU13" s="240"/>
      <c r="CV13" s="33"/>
      <c r="CW13" s="325"/>
      <c r="CX13" s="141"/>
      <c r="CY13" s="446">
        <f>SUM(CY14:CY15)</f>
        <v>201149147</v>
      </c>
      <c r="CZ13" s="240"/>
      <c r="DA13" s="33"/>
      <c r="DB13" s="325"/>
      <c r="DC13" s="141"/>
      <c r="DD13" s="446">
        <f>SUM(DD14:DD15)</f>
        <v>190633911</v>
      </c>
      <c r="DE13" s="240"/>
      <c r="DF13" s="33"/>
      <c r="DG13" s="325"/>
      <c r="DH13" s="141"/>
      <c r="DI13" s="446">
        <f>SUM(DI14:DI15)</f>
        <v>295162190</v>
      </c>
      <c r="DJ13" s="240"/>
      <c r="DK13" s="33"/>
      <c r="DL13" s="325"/>
      <c r="DM13" s="141"/>
      <c r="DN13" s="446">
        <f>SUM(DN14:DN15)</f>
        <v>292430317</v>
      </c>
      <c r="DO13" s="240"/>
      <c r="DP13" s="33"/>
      <c r="DQ13" s="325"/>
      <c r="DR13" s="141"/>
      <c r="DS13" s="446">
        <f>SUM(DS14:DS15)</f>
        <v>301800056</v>
      </c>
      <c r="DT13" s="240"/>
      <c r="DU13" s="33"/>
      <c r="DV13" s="325"/>
      <c r="DW13" s="141"/>
      <c r="DX13" s="446">
        <f>SUM(DX14:DX15)</f>
        <v>309696579</v>
      </c>
      <c r="DY13" s="240"/>
      <c r="DZ13" s="33"/>
      <c r="EA13" s="325"/>
      <c r="EB13" s="141"/>
      <c r="EC13" s="446">
        <f>SUM(EC14:EC15)</f>
        <v>276331925</v>
      </c>
      <c r="ED13" s="240"/>
      <c r="EE13" s="33"/>
      <c r="EF13" s="325"/>
      <c r="EG13" s="141"/>
      <c r="EH13" s="446">
        <f>SUM(EH14:EH15)</f>
        <v>304271687</v>
      </c>
      <c r="EI13" s="240"/>
      <c r="EJ13" s="33"/>
      <c r="EK13" s="325"/>
      <c r="EL13" s="141"/>
      <c r="EM13" s="446">
        <f>SUM(EM14:EM15)</f>
        <v>238135653</v>
      </c>
      <c r="EN13" s="240"/>
      <c r="EO13" s="33"/>
      <c r="EP13" s="73"/>
      <c r="ER13" s="451"/>
    </row>
    <row r="14" spans="4:148" x14ac:dyDescent="0.2">
      <c r="D14" s="244" t="s">
        <v>490</v>
      </c>
      <c r="F14" s="82"/>
      <c r="G14" s="82"/>
      <c r="H14" s="315">
        <v>191125443</v>
      </c>
      <c r="I14" s="31"/>
      <c r="J14" s="33"/>
      <c r="K14" s="325"/>
      <c r="L14" s="325"/>
      <c r="M14" s="315">
        <v>191125443</v>
      </c>
      <c r="N14" s="31"/>
      <c r="O14" s="33"/>
      <c r="P14" s="325"/>
      <c r="Q14" s="325"/>
      <c r="R14" s="315">
        <f>M18</f>
        <v>188398825</v>
      </c>
      <c r="S14" s="31"/>
      <c r="T14" s="33"/>
      <c r="U14" s="325"/>
      <c r="V14" s="325"/>
      <c r="W14" s="315">
        <f>R18</f>
        <v>183966537</v>
      </c>
      <c r="X14" s="31"/>
      <c r="Y14" s="33"/>
      <c r="Z14" s="325"/>
      <c r="AA14" s="325"/>
      <c r="AB14" s="315">
        <f>W18</f>
        <v>174786407</v>
      </c>
      <c r="AC14" s="31"/>
      <c r="AD14" s="33"/>
      <c r="AE14" s="325"/>
      <c r="AF14" s="325"/>
      <c r="AG14" s="315">
        <f>AB18</f>
        <v>216993276</v>
      </c>
      <c r="AH14" s="31"/>
      <c r="AI14" s="33"/>
      <c r="AJ14" s="325"/>
      <c r="AK14" s="325"/>
      <c r="AL14" s="315">
        <f>AG18</f>
        <v>178904480</v>
      </c>
      <c r="AM14" s="31"/>
      <c r="AN14" s="33"/>
      <c r="AO14" s="325"/>
      <c r="AP14" s="325"/>
      <c r="AQ14" s="315">
        <f>AL18</f>
        <v>162851119</v>
      </c>
      <c r="AR14" s="31"/>
      <c r="AS14" s="33"/>
      <c r="AT14" s="325"/>
      <c r="AU14" s="325"/>
      <c r="AV14" s="315">
        <f>AQ18</f>
        <v>150789653</v>
      </c>
      <c r="AW14" s="31"/>
      <c r="AX14" s="33"/>
      <c r="AY14" s="325"/>
      <c r="AZ14" s="325"/>
      <c r="BA14" s="315">
        <f>AV18</f>
        <v>150112405</v>
      </c>
      <c r="BB14" s="31"/>
      <c r="BC14" s="33"/>
      <c r="BD14" s="325"/>
      <c r="BE14" s="325"/>
      <c r="BF14" s="315">
        <f>BA18</f>
        <v>143765580</v>
      </c>
      <c r="BG14" s="31"/>
      <c r="BH14" s="33"/>
      <c r="BI14" s="325"/>
      <c r="BJ14" s="325"/>
      <c r="BK14" s="315">
        <f>BF18</f>
        <v>142480438</v>
      </c>
      <c r="BL14" s="31"/>
      <c r="BM14" s="33"/>
      <c r="BN14" s="325"/>
      <c r="BO14" s="325"/>
      <c r="BP14" s="315">
        <f>BK18</f>
        <v>141649872</v>
      </c>
      <c r="BQ14" s="31"/>
      <c r="BR14" s="33"/>
      <c r="BS14" s="325"/>
      <c r="BT14" s="325"/>
      <c r="BU14" s="417">
        <f>M14</f>
        <v>191125443</v>
      </c>
      <c r="BV14" s="31"/>
      <c r="BW14" s="33"/>
      <c r="BX14" s="325"/>
      <c r="BY14" s="325"/>
      <c r="BZ14" s="315">
        <v>174717635</v>
      </c>
      <c r="CA14" s="31"/>
      <c r="CB14" s="33"/>
      <c r="CC14" s="325"/>
      <c r="CD14" s="325"/>
      <c r="CE14" s="315">
        <v>174717635</v>
      </c>
      <c r="CF14" s="31"/>
      <c r="CG14" s="33"/>
      <c r="CH14" s="325"/>
      <c r="CI14" s="325"/>
      <c r="CJ14" s="315">
        <f>CE18</f>
        <v>171432024</v>
      </c>
      <c r="CK14" s="31"/>
      <c r="CL14" s="33"/>
      <c r="CM14" s="325"/>
      <c r="CN14" s="325"/>
      <c r="CO14" s="315">
        <f>CJ18</f>
        <v>159100607</v>
      </c>
      <c r="CP14" s="31"/>
      <c r="CQ14" s="33"/>
      <c r="CR14" s="325"/>
      <c r="CS14" s="325"/>
      <c r="CT14" s="315">
        <f>CO18</f>
        <v>157556488</v>
      </c>
      <c r="CU14" s="31"/>
      <c r="CV14" s="33"/>
      <c r="CW14" s="325"/>
      <c r="CX14" s="325"/>
      <c r="CY14" s="315">
        <f>CT18</f>
        <v>154393121</v>
      </c>
      <c r="CZ14" s="31"/>
      <c r="DA14" s="33"/>
      <c r="DB14" s="325"/>
      <c r="DC14" s="325"/>
      <c r="DD14" s="315">
        <f>CY18</f>
        <v>153790115</v>
      </c>
      <c r="DE14" s="31"/>
      <c r="DF14" s="33"/>
      <c r="DG14" s="325"/>
      <c r="DH14" s="325"/>
      <c r="DI14" s="315">
        <f>DD18</f>
        <v>226475319</v>
      </c>
      <c r="DJ14" s="31"/>
      <c r="DK14" s="33"/>
      <c r="DL14" s="325"/>
      <c r="DM14" s="325"/>
      <c r="DN14" s="315">
        <f>DI18</f>
        <v>223710506</v>
      </c>
      <c r="DO14" s="31"/>
      <c r="DP14" s="33"/>
      <c r="DQ14" s="325"/>
      <c r="DR14" s="325"/>
      <c r="DS14" s="315">
        <f>DN18</f>
        <v>222808884</v>
      </c>
      <c r="DT14" s="31"/>
      <c r="DU14" s="33"/>
      <c r="DV14" s="325"/>
      <c r="DW14" s="325"/>
      <c r="DX14" s="315">
        <f>DS18</f>
        <v>216296990</v>
      </c>
      <c r="DY14" s="31"/>
      <c r="DZ14" s="33"/>
      <c r="EA14" s="325"/>
      <c r="EB14" s="325"/>
      <c r="EC14" s="315">
        <f>DX18</f>
        <v>214990489</v>
      </c>
      <c r="ED14" s="31"/>
      <c r="EE14" s="33"/>
      <c r="EF14" s="325"/>
      <c r="EG14" s="325"/>
      <c r="EH14" s="315">
        <f>EC18</f>
        <v>214239939</v>
      </c>
      <c r="EI14" s="31"/>
      <c r="EJ14" s="33"/>
      <c r="EK14" s="325"/>
      <c r="EL14" s="325"/>
      <c r="EM14" s="315">
        <f>CE14</f>
        <v>174717635</v>
      </c>
      <c r="EN14" s="31"/>
      <c r="EO14" s="33"/>
      <c r="EP14" s="73"/>
    </row>
    <row r="15" spans="4:148" x14ac:dyDescent="0.2">
      <c r="D15" s="244" t="s">
        <v>491</v>
      </c>
      <c r="F15" s="82"/>
      <c r="G15" s="82"/>
      <c r="H15" s="214">
        <v>44536225</v>
      </c>
      <c r="I15" s="31"/>
      <c r="J15" s="33"/>
      <c r="K15" s="325"/>
      <c r="L15" s="325"/>
      <c r="M15" s="214">
        <v>44536225</v>
      </c>
      <c r="N15" s="31"/>
      <c r="O15" s="33"/>
      <c r="P15" s="325"/>
      <c r="Q15" s="325"/>
      <c r="R15" s="214">
        <f>M19</f>
        <v>65747013</v>
      </c>
      <c r="S15" s="31"/>
      <c r="T15" s="33"/>
      <c r="U15" s="325"/>
      <c r="V15" s="325"/>
      <c r="W15" s="214">
        <f>R19</f>
        <v>66829447</v>
      </c>
      <c r="X15" s="31"/>
      <c r="Y15" s="33"/>
      <c r="Z15" s="325"/>
      <c r="AA15" s="325"/>
      <c r="AB15" s="214">
        <f>W19</f>
        <v>98982577</v>
      </c>
      <c r="AC15" s="31"/>
      <c r="AD15" s="33"/>
      <c r="AE15" s="325"/>
      <c r="AF15" s="325"/>
      <c r="AG15" s="214">
        <f>AB19</f>
        <v>110425495</v>
      </c>
      <c r="AH15" s="31"/>
      <c r="AI15" s="33"/>
      <c r="AJ15" s="325"/>
      <c r="AK15" s="325"/>
      <c r="AL15" s="214">
        <f>AG19</f>
        <v>106552857</v>
      </c>
      <c r="AM15" s="31"/>
      <c r="AN15" s="33"/>
      <c r="AO15" s="325"/>
      <c r="AP15" s="325"/>
      <c r="AQ15" s="214">
        <f>AL19</f>
        <v>135858716</v>
      </c>
      <c r="AR15" s="31"/>
      <c r="AS15" s="33"/>
      <c r="AT15" s="325"/>
      <c r="AU15" s="325"/>
      <c r="AV15" s="214">
        <f>AQ19</f>
        <v>188882167</v>
      </c>
      <c r="AW15" s="31"/>
      <c r="AX15" s="33"/>
      <c r="AY15" s="325"/>
      <c r="AZ15" s="325"/>
      <c r="BA15" s="214">
        <f>AV19</f>
        <v>209069607</v>
      </c>
      <c r="BB15" s="31"/>
      <c r="BC15" s="33"/>
      <c r="BD15" s="325"/>
      <c r="BE15" s="325"/>
      <c r="BF15" s="214">
        <f>BA19</f>
        <v>234179335</v>
      </c>
      <c r="BG15" s="31"/>
      <c r="BH15" s="33"/>
      <c r="BI15" s="325"/>
      <c r="BJ15" s="325"/>
      <c r="BK15" s="214">
        <f>BF19</f>
        <v>235884810</v>
      </c>
      <c r="BL15" s="31"/>
      <c r="BM15" s="33"/>
      <c r="BN15" s="325"/>
      <c r="BO15" s="325"/>
      <c r="BP15" s="214">
        <f>BK19</f>
        <v>248701670</v>
      </c>
      <c r="BQ15" s="31"/>
      <c r="BR15" s="33"/>
      <c r="BS15" s="325"/>
      <c r="BT15" s="325"/>
      <c r="BU15" s="35">
        <f>M15</f>
        <v>44536225</v>
      </c>
      <c r="BV15" s="31"/>
      <c r="BW15" s="33"/>
      <c r="BX15" s="325"/>
      <c r="BY15" s="325"/>
      <c r="BZ15" s="214">
        <v>63418018</v>
      </c>
      <c r="CA15" s="31"/>
      <c r="CB15" s="33"/>
      <c r="CC15" s="325"/>
      <c r="CD15" s="325"/>
      <c r="CE15" s="214">
        <v>63418018</v>
      </c>
      <c r="CF15" s="31"/>
      <c r="CG15" s="33"/>
      <c r="CH15" s="325"/>
      <c r="CI15" s="325"/>
      <c r="CJ15" s="214">
        <f>CE19</f>
        <v>27541644</v>
      </c>
      <c r="CK15" s="31"/>
      <c r="CL15" s="33"/>
      <c r="CM15" s="325"/>
      <c r="CN15" s="325"/>
      <c r="CO15" s="214">
        <f>CJ19</f>
        <v>33339485</v>
      </c>
      <c r="CP15" s="31"/>
      <c r="CQ15" s="33"/>
      <c r="CR15" s="325"/>
      <c r="CS15" s="325"/>
      <c r="CT15" s="214">
        <f>CO19</f>
        <v>115078441</v>
      </c>
      <c r="CU15" s="31"/>
      <c r="CV15" s="33"/>
      <c r="CW15" s="325"/>
      <c r="CX15" s="325"/>
      <c r="CY15" s="214">
        <f>CT19</f>
        <v>46756026</v>
      </c>
      <c r="CZ15" s="31"/>
      <c r="DA15" s="33"/>
      <c r="DB15" s="325"/>
      <c r="DC15" s="325"/>
      <c r="DD15" s="214">
        <f>CY19</f>
        <v>36843796</v>
      </c>
      <c r="DE15" s="31"/>
      <c r="DF15" s="33"/>
      <c r="DG15" s="325"/>
      <c r="DH15" s="325"/>
      <c r="DI15" s="214">
        <f>DD19</f>
        <v>68686871</v>
      </c>
      <c r="DJ15" s="31"/>
      <c r="DK15" s="33"/>
      <c r="DL15" s="325"/>
      <c r="DM15" s="325"/>
      <c r="DN15" s="214">
        <f>DI19</f>
        <v>68719811</v>
      </c>
      <c r="DO15" s="31"/>
      <c r="DP15" s="33"/>
      <c r="DQ15" s="325"/>
      <c r="DR15" s="325"/>
      <c r="DS15" s="214">
        <f>DN19</f>
        <v>78991172</v>
      </c>
      <c r="DT15" s="31"/>
      <c r="DU15" s="33"/>
      <c r="DV15" s="325"/>
      <c r="DW15" s="325"/>
      <c r="DX15" s="214">
        <f>DS19</f>
        <v>93399589</v>
      </c>
      <c r="DY15" s="31"/>
      <c r="DZ15" s="33"/>
      <c r="EA15" s="325"/>
      <c r="EB15" s="325"/>
      <c r="EC15" s="214">
        <f>DX19</f>
        <v>61341436</v>
      </c>
      <c r="ED15" s="31"/>
      <c r="EE15" s="33"/>
      <c r="EF15" s="325"/>
      <c r="EG15" s="325"/>
      <c r="EH15" s="214">
        <f>EC19</f>
        <v>90031748</v>
      </c>
      <c r="EI15" s="31"/>
      <c r="EJ15" s="33"/>
      <c r="EK15" s="325"/>
      <c r="EL15" s="325"/>
      <c r="EM15" s="214">
        <f>CE15</f>
        <v>63418018</v>
      </c>
      <c r="EN15" s="31"/>
      <c r="EO15" s="33"/>
      <c r="EP15" s="73"/>
    </row>
    <row r="16" spans="4:148" x14ac:dyDescent="0.2">
      <c r="D16" s="244"/>
      <c r="F16" s="82"/>
      <c r="G16" s="82"/>
      <c r="H16" s="33"/>
      <c r="I16" s="31"/>
      <c r="J16" s="33"/>
      <c r="K16" s="325"/>
      <c r="L16" s="325"/>
      <c r="M16" s="33"/>
      <c r="N16" s="31"/>
      <c r="O16" s="33"/>
      <c r="P16" s="325"/>
      <c r="Q16" s="325"/>
      <c r="R16" s="33"/>
      <c r="S16" s="31"/>
      <c r="T16" s="33"/>
      <c r="U16" s="325"/>
      <c r="V16" s="325"/>
      <c r="W16" s="33"/>
      <c r="X16" s="31"/>
      <c r="Y16" s="33"/>
      <c r="Z16" s="325"/>
      <c r="AA16" s="325"/>
      <c r="AB16" s="33"/>
      <c r="AC16" s="31"/>
      <c r="AD16" s="33"/>
      <c r="AE16" s="325"/>
      <c r="AF16" s="325"/>
      <c r="AG16" s="33"/>
      <c r="AH16" s="31"/>
      <c r="AI16" s="33"/>
      <c r="AJ16" s="325"/>
      <c r="AK16" s="325"/>
      <c r="AL16" s="33"/>
      <c r="AM16" s="31"/>
      <c r="AN16" s="33"/>
      <c r="AO16" s="325"/>
      <c r="AP16" s="325"/>
      <c r="AQ16" s="33"/>
      <c r="AR16" s="31"/>
      <c r="AS16" s="33"/>
      <c r="AT16" s="325"/>
      <c r="AU16" s="325"/>
      <c r="AV16" s="33"/>
      <c r="AW16" s="31"/>
      <c r="AX16" s="33"/>
      <c r="AY16" s="325"/>
      <c r="AZ16" s="325"/>
      <c r="BA16" s="33"/>
      <c r="BB16" s="31"/>
      <c r="BC16" s="33"/>
      <c r="BD16" s="325"/>
      <c r="BE16" s="325"/>
      <c r="BF16" s="33"/>
      <c r="BG16" s="31"/>
      <c r="BH16" s="33"/>
      <c r="BI16" s="325"/>
      <c r="BJ16" s="325"/>
      <c r="BK16" s="33"/>
      <c r="BL16" s="31"/>
      <c r="BM16" s="33"/>
      <c r="BN16" s="325"/>
      <c r="BO16" s="325"/>
      <c r="BP16" s="33"/>
      <c r="BQ16" s="31"/>
      <c r="BR16" s="33"/>
      <c r="BS16" s="325"/>
      <c r="BT16" s="325"/>
      <c r="BU16" s="33"/>
      <c r="BV16" s="31"/>
      <c r="BW16" s="33"/>
      <c r="BX16" s="325"/>
      <c r="BY16" s="325"/>
      <c r="BZ16" s="33"/>
      <c r="CA16" s="31"/>
      <c r="CB16" s="33"/>
      <c r="CC16" s="325"/>
      <c r="CD16" s="325"/>
      <c r="CE16" s="33"/>
      <c r="CF16" s="31"/>
      <c r="CG16" s="33"/>
      <c r="CH16" s="325"/>
      <c r="CI16" s="325"/>
      <c r="CJ16" s="33"/>
      <c r="CK16" s="31"/>
      <c r="CL16" s="33"/>
      <c r="CM16" s="325"/>
      <c r="CN16" s="325"/>
      <c r="CO16" s="33"/>
      <c r="CP16" s="31"/>
      <c r="CQ16" s="33"/>
      <c r="CR16" s="325"/>
      <c r="CS16" s="325"/>
      <c r="CT16" s="33"/>
      <c r="CU16" s="31"/>
      <c r="CV16" s="33"/>
      <c r="CW16" s="325"/>
      <c r="CX16" s="325"/>
      <c r="CY16" s="33"/>
      <c r="CZ16" s="31"/>
      <c r="DA16" s="33"/>
      <c r="DB16" s="325"/>
      <c r="DC16" s="325"/>
      <c r="DD16" s="33"/>
      <c r="DE16" s="31"/>
      <c r="DF16" s="33"/>
      <c r="DG16" s="325"/>
      <c r="DH16" s="325"/>
      <c r="DI16" s="33"/>
      <c r="DJ16" s="31"/>
      <c r="DK16" s="33"/>
      <c r="DL16" s="325"/>
      <c r="DM16" s="325"/>
      <c r="DN16" s="33"/>
      <c r="DO16" s="31"/>
      <c r="DP16" s="33"/>
      <c r="DQ16" s="325"/>
      <c r="DR16" s="325"/>
      <c r="DS16" s="33"/>
      <c r="DT16" s="31"/>
      <c r="DU16" s="33"/>
      <c r="DV16" s="325"/>
      <c r="DW16" s="325"/>
      <c r="DX16" s="33"/>
      <c r="DY16" s="31"/>
      <c r="DZ16" s="33"/>
      <c r="EA16" s="325"/>
      <c r="EB16" s="325"/>
      <c r="EC16" s="33"/>
      <c r="ED16" s="31"/>
      <c r="EE16" s="33"/>
      <c r="EF16" s="325"/>
      <c r="EG16" s="325"/>
      <c r="EH16" s="33"/>
      <c r="EI16" s="31"/>
      <c r="EJ16" s="33"/>
      <c r="EK16" s="325"/>
      <c r="EL16" s="325"/>
      <c r="EM16" s="33"/>
      <c r="EN16" s="31"/>
      <c r="EO16" s="33"/>
      <c r="EP16" s="73"/>
      <c r="ER16" s="451"/>
    </row>
    <row r="17" spans="4:154" x14ac:dyDescent="0.2">
      <c r="D17" s="244" t="s">
        <v>492</v>
      </c>
      <c r="F17" s="82"/>
      <c r="G17" s="82"/>
      <c r="H17" s="33">
        <f>SUM(H18:H19)</f>
        <v>294618000</v>
      </c>
      <c r="I17" s="31"/>
      <c r="J17" s="33"/>
      <c r="K17" s="325"/>
      <c r="L17" s="325"/>
      <c r="M17" s="33">
        <f>SUM(M18:M19)</f>
        <v>254145838</v>
      </c>
      <c r="N17" s="31"/>
      <c r="O17" s="33"/>
      <c r="P17" s="325"/>
      <c r="Q17" s="325"/>
      <c r="R17" s="33">
        <f>SUM(R18:R19)</f>
        <v>250795984</v>
      </c>
      <c r="S17" s="31"/>
      <c r="T17" s="33"/>
      <c r="U17" s="325"/>
      <c r="V17" s="325"/>
      <c r="W17" s="33">
        <f>SUM(W18:W19)</f>
        <v>273768984</v>
      </c>
      <c r="X17" s="31"/>
      <c r="Y17" s="33"/>
      <c r="Z17" s="325"/>
      <c r="AA17" s="325"/>
      <c r="AB17" s="33">
        <f>SUM(AB18:AB19)</f>
        <v>327418771</v>
      </c>
      <c r="AC17" s="31"/>
      <c r="AD17" s="33"/>
      <c r="AE17" s="325"/>
      <c r="AF17" s="325"/>
      <c r="AG17" s="33">
        <f>SUM(AG18:AG19)</f>
        <v>285457337</v>
      </c>
      <c r="AH17" s="31"/>
      <c r="AI17" s="33"/>
      <c r="AJ17" s="325"/>
      <c r="AK17" s="325"/>
      <c r="AL17" s="33">
        <f>SUM(AL18:AL19)</f>
        <v>298709835</v>
      </c>
      <c r="AM17" s="31"/>
      <c r="AN17" s="33"/>
      <c r="AO17" s="325"/>
      <c r="AP17" s="325"/>
      <c r="AQ17" s="33">
        <f>SUM(AQ18:AQ19)</f>
        <v>339671820</v>
      </c>
      <c r="AR17" s="31"/>
      <c r="AS17" s="33"/>
      <c r="AT17" s="325"/>
      <c r="AU17" s="325"/>
      <c r="AV17" s="33">
        <f>SUM(AV18:AV19)</f>
        <v>359182012</v>
      </c>
      <c r="AW17" s="31"/>
      <c r="AX17" s="33"/>
      <c r="AY17" s="325"/>
      <c r="AZ17" s="325"/>
      <c r="BA17" s="33">
        <f>SUM(BA18:BA19)</f>
        <v>377944915</v>
      </c>
      <c r="BB17" s="31"/>
      <c r="BC17" s="33"/>
      <c r="BD17" s="325"/>
      <c r="BE17" s="325"/>
      <c r="BF17" s="33">
        <f>SUM(BF18:BF19)</f>
        <v>378365248</v>
      </c>
      <c r="BG17" s="31"/>
      <c r="BH17" s="33"/>
      <c r="BI17" s="325"/>
      <c r="BJ17" s="325"/>
      <c r="BK17" s="33">
        <f>SUM(BK18:BK19)</f>
        <v>390351542</v>
      </c>
      <c r="BL17" s="31"/>
      <c r="BM17" s="33"/>
      <c r="BN17" s="325"/>
      <c r="BO17" s="325"/>
      <c r="BP17" s="33">
        <f>SUM(BP18:BP19)</f>
        <v>337603680</v>
      </c>
      <c r="BQ17" s="31"/>
      <c r="BR17" s="33"/>
      <c r="BS17" s="325"/>
      <c r="BT17" s="325"/>
      <c r="BU17" s="33">
        <f>SUM(BU18:BU19)</f>
        <v>337603680</v>
      </c>
      <c r="BV17" s="31"/>
      <c r="BW17" s="33"/>
      <c r="BX17" s="325"/>
      <c r="BY17" s="325"/>
      <c r="BZ17" s="33">
        <f>SUM(BZ18:BZ19)</f>
        <v>235661668</v>
      </c>
      <c r="CA17" s="31"/>
      <c r="CB17" s="33"/>
      <c r="CC17" s="325"/>
      <c r="CD17" s="325"/>
      <c r="CE17" s="33">
        <f>SUM(CE18:CE19)</f>
        <v>198973668</v>
      </c>
      <c r="CF17" s="31"/>
      <c r="CG17" s="33"/>
      <c r="CH17" s="325"/>
      <c r="CI17" s="325"/>
      <c r="CJ17" s="33">
        <f>SUM(CJ18:CJ19)</f>
        <v>192440092</v>
      </c>
      <c r="CK17" s="31"/>
      <c r="CL17" s="33"/>
      <c r="CM17" s="325"/>
      <c r="CN17" s="325"/>
      <c r="CO17" s="33">
        <f>SUM(CO18:CO19)</f>
        <v>272634929</v>
      </c>
      <c r="CP17" s="31"/>
      <c r="CQ17" s="33"/>
      <c r="CR17" s="325"/>
      <c r="CS17" s="325"/>
      <c r="CT17" s="33">
        <f>SUM(CT18:CT19)</f>
        <v>201149147</v>
      </c>
      <c r="CU17" s="31"/>
      <c r="CV17" s="33"/>
      <c r="CW17" s="325"/>
      <c r="CX17" s="325"/>
      <c r="CY17" s="33">
        <f>SUM(CY18:CY19)</f>
        <v>190633911</v>
      </c>
      <c r="CZ17" s="31"/>
      <c r="DA17" s="33"/>
      <c r="DB17" s="325"/>
      <c r="DC17" s="325"/>
      <c r="DD17" s="33">
        <f>SUM(DD18:DD19)</f>
        <v>295162190</v>
      </c>
      <c r="DE17" s="31"/>
      <c r="DF17" s="33"/>
      <c r="DG17" s="325"/>
      <c r="DH17" s="325"/>
      <c r="DI17" s="33">
        <f>SUM(DI18:DI19)</f>
        <v>292430317</v>
      </c>
      <c r="DJ17" s="31"/>
      <c r="DK17" s="33"/>
      <c r="DL17" s="325"/>
      <c r="DM17" s="325"/>
      <c r="DN17" s="33">
        <f>SUM(DN18:DN19)</f>
        <v>301800056</v>
      </c>
      <c r="DO17" s="31"/>
      <c r="DP17" s="33"/>
      <c r="DQ17" s="325"/>
      <c r="DR17" s="325"/>
      <c r="DS17" s="33">
        <f>SUM(DS18:DS19)</f>
        <v>309696579</v>
      </c>
      <c r="DT17" s="31"/>
      <c r="DU17" s="33"/>
      <c r="DV17" s="325"/>
      <c r="DW17" s="325"/>
      <c r="DX17" s="33">
        <f>SUM(DX18:DX19)</f>
        <v>276331925</v>
      </c>
      <c r="DY17" s="31"/>
      <c r="DZ17" s="33"/>
      <c r="EA17" s="325"/>
      <c r="EB17" s="325"/>
      <c r="EC17" s="33">
        <f>SUM(EC18:EC19)</f>
        <v>304271687</v>
      </c>
      <c r="ED17" s="31"/>
      <c r="EE17" s="33"/>
      <c r="EF17" s="325"/>
      <c r="EG17" s="325"/>
      <c r="EH17" s="33">
        <f>SUM(EH18:EH19)</f>
        <v>235661668</v>
      </c>
      <c r="EI17" s="31"/>
      <c r="EJ17" s="33"/>
      <c r="EK17" s="325"/>
      <c r="EL17" s="325"/>
      <c r="EM17" s="33">
        <f>SUM(EM18:EM19)</f>
        <v>235661668</v>
      </c>
      <c r="EN17" s="31"/>
      <c r="EO17" s="33"/>
      <c r="EP17" s="73"/>
      <c r="ER17" s="451"/>
    </row>
    <row r="18" spans="4:154" x14ac:dyDescent="0.2">
      <c r="D18" s="244" t="s">
        <v>490</v>
      </c>
      <c r="F18" s="82"/>
      <c r="G18" s="82"/>
      <c r="H18" s="315">
        <v>160266000</v>
      </c>
      <c r="I18" s="31"/>
      <c r="J18" s="33"/>
      <c r="K18" s="325"/>
      <c r="L18" s="325"/>
      <c r="M18" s="315">
        <v>188398825</v>
      </c>
      <c r="N18" s="31"/>
      <c r="O18" s="33"/>
      <c r="P18" s="325"/>
      <c r="Q18" s="325"/>
      <c r="R18" s="315">
        <v>183966537</v>
      </c>
      <c r="S18" s="31"/>
      <c r="T18" s="33"/>
      <c r="U18" s="325"/>
      <c r="V18" s="325"/>
      <c r="W18" s="315">
        <v>174786407</v>
      </c>
      <c r="X18" s="31"/>
      <c r="Y18" s="33"/>
      <c r="Z18" s="325"/>
      <c r="AA18" s="325"/>
      <c r="AB18" s="315">
        <v>216993276</v>
      </c>
      <c r="AC18" s="31"/>
      <c r="AD18" s="33"/>
      <c r="AE18" s="325"/>
      <c r="AF18" s="325"/>
      <c r="AG18" s="315">
        <v>178904480</v>
      </c>
      <c r="AH18" s="31"/>
      <c r="AI18" s="33"/>
      <c r="AJ18" s="325"/>
      <c r="AK18" s="325"/>
      <c r="AL18" s="315">
        <v>162851119</v>
      </c>
      <c r="AM18" s="31"/>
      <c r="AN18" s="33"/>
      <c r="AO18" s="325"/>
      <c r="AP18" s="325"/>
      <c r="AQ18" s="315">
        <v>150789653</v>
      </c>
      <c r="AR18" s="31"/>
      <c r="AS18" s="33"/>
      <c r="AT18" s="325"/>
      <c r="AU18" s="325"/>
      <c r="AV18" s="315">
        <v>150112405</v>
      </c>
      <c r="AW18" s="31"/>
      <c r="AX18" s="33"/>
      <c r="AY18" s="325"/>
      <c r="AZ18" s="325"/>
      <c r="BA18" s="315">
        <v>143765580</v>
      </c>
      <c r="BB18" s="31"/>
      <c r="BC18" s="33"/>
      <c r="BD18" s="325"/>
      <c r="BE18" s="325"/>
      <c r="BF18" s="315">
        <v>142480438</v>
      </c>
      <c r="BG18" s="31"/>
      <c r="BH18" s="33"/>
      <c r="BI18" s="325"/>
      <c r="BJ18" s="325"/>
      <c r="BK18" s="315">
        <v>141649872</v>
      </c>
      <c r="BL18" s="31"/>
      <c r="BM18" s="33"/>
      <c r="BN18" s="325"/>
      <c r="BO18" s="325"/>
      <c r="BP18" s="315">
        <v>139049630</v>
      </c>
      <c r="BQ18" s="31"/>
      <c r="BR18" s="33"/>
      <c r="BS18" s="325"/>
      <c r="BT18" s="325"/>
      <c r="BU18" s="315">
        <f>BP18</f>
        <v>139049630</v>
      </c>
      <c r="BV18" s="31"/>
      <c r="BW18" s="33"/>
      <c r="BX18" s="325"/>
      <c r="BY18" s="325"/>
      <c r="BZ18" s="315">
        <v>191125443</v>
      </c>
      <c r="CA18" s="31"/>
      <c r="CB18" s="33"/>
      <c r="CC18" s="325"/>
      <c r="CD18" s="325"/>
      <c r="CE18" s="315">
        <v>171432024</v>
      </c>
      <c r="CF18" s="31"/>
      <c r="CG18" s="33"/>
      <c r="CH18" s="325"/>
      <c r="CI18" s="325"/>
      <c r="CJ18" s="315">
        <v>159100607</v>
      </c>
      <c r="CK18" s="31"/>
      <c r="CL18" s="33"/>
      <c r="CM18" s="325"/>
      <c r="CN18" s="325"/>
      <c r="CO18" s="315">
        <v>157556488</v>
      </c>
      <c r="CP18" s="31"/>
      <c r="CQ18" s="33"/>
      <c r="CR18" s="325"/>
      <c r="CS18" s="325"/>
      <c r="CT18" s="315">
        <v>154393121</v>
      </c>
      <c r="CU18" s="31"/>
      <c r="CV18" s="33"/>
      <c r="CW18" s="325"/>
      <c r="CX18" s="325"/>
      <c r="CY18" s="315">
        <v>153790115</v>
      </c>
      <c r="CZ18" s="31"/>
      <c r="DA18" s="33"/>
      <c r="DB18" s="325"/>
      <c r="DC18" s="325"/>
      <c r="DD18" s="315">
        <v>226475319</v>
      </c>
      <c r="DE18" s="31"/>
      <c r="DF18" s="33"/>
      <c r="DG18" s="325"/>
      <c r="DH18" s="325"/>
      <c r="DI18" s="315">
        <v>223710506</v>
      </c>
      <c r="DJ18" s="31"/>
      <c r="DK18" s="33"/>
      <c r="DL18" s="325"/>
      <c r="DM18" s="325"/>
      <c r="DN18" s="315">
        <v>222808884</v>
      </c>
      <c r="DO18" s="31"/>
      <c r="DP18" s="33"/>
      <c r="DQ18" s="325"/>
      <c r="DR18" s="325"/>
      <c r="DS18" s="315">
        <v>216296990</v>
      </c>
      <c r="DT18" s="31"/>
      <c r="DU18" s="33"/>
      <c r="DV18" s="325"/>
      <c r="DW18" s="325"/>
      <c r="DX18" s="315">
        <v>214990489</v>
      </c>
      <c r="DY18" s="31"/>
      <c r="DZ18" s="33"/>
      <c r="EA18" s="325"/>
      <c r="EB18" s="325"/>
      <c r="EC18" s="315">
        <v>214239939</v>
      </c>
      <c r="ED18" s="31"/>
      <c r="EE18" s="33"/>
      <c r="EF18" s="325"/>
      <c r="EG18" s="325"/>
      <c r="EH18" s="315">
        <v>191125443</v>
      </c>
      <c r="EI18" s="31"/>
      <c r="EJ18" s="33"/>
      <c r="EK18" s="325"/>
      <c r="EL18" s="325"/>
      <c r="EM18" s="315">
        <f>EH18</f>
        <v>191125443</v>
      </c>
      <c r="EN18" s="31"/>
      <c r="EO18" s="33"/>
      <c r="EP18" s="73"/>
      <c r="ER18" s="451"/>
    </row>
    <row r="19" spans="4:154" x14ac:dyDescent="0.2">
      <c r="D19" s="244" t="s">
        <v>491</v>
      </c>
      <c r="F19" s="82"/>
      <c r="G19" s="82"/>
      <c r="H19" s="214">
        <v>134352000</v>
      </c>
      <c r="I19" s="31"/>
      <c r="J19" s="33"/>
      <c r="K19" s="325"/>
      <c r="L19" s="325"/>
      <c r="M19" s="214">
        <v>65747013</v>
      </c>
      <c r="N19" s="31"/>
      <c r="O19" s="33"/>
      <c r="P19" s="325"/>
      <c r="Q19" s="325"/>
      <c r="R19" s="214">
        <v>66829447</v>
      </c>
      <c r="S19" s="31"/>
      <c r="T19" s="33"/>
      <c r="U19" s="325"/>
      <c r="V19" s="325"/>
      <c r="W19" s="214">
        <v>98982577</v>
      </c>
      <c r="X19" s="31"/>
      <c r="Y19" s="33"/>
      <c r="Z19" s="325"/>
      <c r="AA19" s="325"/>
      <c r="AB19" s="214">
        <v>110425495</v>
      </c>
      <c r="AC19" s="31"/>
      <c r="AD19" s="33"/>
      <c r="AE19" s="325"/>
      <c r="AF19" s="325"/>
      <c r="AG19" s="214">
        <v>106552857</v>
      </c>
      <c r="AH19" s="31"/>
      <c r="AI19" s="33"/>
      <c r="AJ19" s="325"/>
      <c r="AK19" s="325"/>
      <c r="AL19" s="214">
        <v>135858716</v>
      </c>
      <c r="AM19" s="31"/>
      <c r="AN19" s="33"/>
      <c r="AO19" s="325"/>
      <c r="AP19" s="325"/>
      <c r="AQ19" s="214">
        <v>188882167</v>
      </c>
      <c r="AR19" s="31"/>
      <c r="AS19" s="33"/>
      <c r="AT19" s="325"/>
      <c r="AU19" s="325"/>
      <c r="AV19" s="214">
        <v>209069607</v>
      </c>
      <c r="AW19" s="31"/>
      <c r="AX19" s="33"/>
      <c r="AY19" s="325"/>
      <c r="AZ19" s="325"/>
      <c r="BA19" s="214">
        <v>234179335</v>
      </c>
      <c r="BB19" s="31"/>
      <c r="BC19" s="33"/>
      <c r="BD19" s="325"/>
      <c r="BE19" s="325"/>
      <c r="BF19" s="214">
        <v>235884810</v>
      </c>
      <c r="BG19" s="31"/>
      <c r="BH19" s="33"/>
      <c r="BI19" s="325"/>
      <c r="BJ19" s="325"/>
      <c r="BK19" s="214">
        <v>248701670</v>
      </c>
      <c r="BL19" s="31"/>
      <c r="BM19" s="33"/>
      <c r="BN19" s="325"/>
      <c r="BO19" s="325"/>
      <c r="BP19" s="214">
        <v>198554050</v>
      </c>
      <c r="BQ19" s="31"/>
      <c r="BR19" s="33"/>
      <c r="BS19" s="325"/>
      <c r="BT19" s="325"/>
      <c r="BU19" s="214">
        <f>BP19</f>
        <v>198554050</v>
      </c>
      <c r="BV19" s="31"/>
      <c r="BW19" s="33"/>
      <c r="BX19" s="325"/>
      <c r="BY19" s="325"/>
      <c r="BZ19" s="214">
        <v>44536225</v>
      </c>
      <c r="CA19" s="31"/>
      <c r="CB19" s="33"/>
      <c r="CC19" s="325"/>
      <c r="CD19" s="325"/>
      <c r="CE19" s="214">
        <v>27541644</v>
      </c>
      <c r="CF19" s="31"/>
      <c r="CG19" s="33"/>
      <c r="CH19" s="325"/>
      <c r="CI19" s="325"/>
      <c r="CJ19" s="214">
        <v>33339485</v>
      </c>
      <c r="CK19" s="31"/>
      <c r="CL19" s="33"/>
      <c r="CM19" s="325"/>
      <c r="CN19" s="325"/>
      <c r="CO19" s="214">
        <v>115078441</v>
      </c>
      <c r="CP19" s="31"/>
      <c r="CQ19" s="33"/>
      <c r="CR19" s="325"/>
      <c r="CS19" s="325"/>
      <c r="CT19" s="214">
        <v>46756026</v>
      </c>
      <c r="CU19" s="31"/>
      <c r="CV19" s="33"/>
      <c r="CW19" s="325"/>
      <c r="CX19" s="325"/>
      <c r="CY19" s="214">
        <v>36843796</v>
      </c>
      <c r="CZ19" s="31"/>
      <c r="DA19" s="33"/>
      <c r="DB19" s="325"/>
      <c r="DC19" s="325"/>
      <c r="DD19" s="214">
        <v>68686871</v>
      </c>
      <c r="DE19" s="31"/>
      <c r="DF19" s="33"/>
      <c r="DG19" s="325"/>
      <c r="DH19" s="325"/>
      <c r="DI19" s="214">
        <v>68719811</v>
      </c>
      <c r="DJ19" s="31"/>
      <c r="DK19" s="33"/>
      <c r="DL19" s="325"/>
      <c r="DM19" s="325"/>
      <c r="DN19" s="214">
        <v>78991172</v>
      </c>
      <c r="DO19" s="31"/>
      <c r="DP19" s="33"/>
      <c r="DQ19" s="325"/>
      <c r="DR19" s="325"/>
      <c r="DS19" s="214">
        <v>93399589</v>
      </c>
      <c r="DT19" s="31"/>
      <c r="DU19" s="33"/>
      <c r="DV19" s="325"/>
      <c r="DW19" s="325"/>
      <c r="DX19" s="214">
        <v>61341436</v>
      </c>
      <c r="DY19" s="31"/>
      <c r="DZ19" s="33"/>
      <c r="EA19" s="325"/>
      <c r="EB19" s="325"/>
      <c r="EC19" s="214">
        <v>90031748</v>
      </c>
      <c r="ED19" s="31"/>
      <c r="EE19" s="33"/>
      <c r="EF19" s="325"/>
      <c r="EG19" s="325"/>
      <c r="EH19" s="214">
        <v>44536225</v>
      </c>
      <c r="EI19" s="31"/>
      <c r="EJ19" s="33"/>
      <c r="EK19" s="325"/>
      <c r="EL19" s="325"/>
      <c r="EM19" s="214">
        <f>EH19</f>
        <v>44536225</v>
      </c>
      <c r="EN19" s="31"/>
      <c r="EO19" s="33"/>
      <c r="EP19" s="73"/>
      <c r="ER19" s="451"/>
    </row>
    <row r="20" spans="4:154" x14ac:dyDescent="0.2">
      <c r="D20" s="244"/>
      <c r="F20" s="82"/>
      <c r="G20" s="276"/>
      <c r="H20" s="369"/>
      <c r="I20" s="470"/>
      <c r="J20" s="33"/>
      <c r="K20" s="325"/>
      <c r="L20" s="269"/>
      <c r="M20" s="369"/>
      <c r="N20" s="470"/>
      <c r="O20" s="33"/>
      <c r="P20" s="325"/>
      <c r="Q20" s="269"/>
      <c r="R20" s="369"/>
      <c r="S20" s="470"/>
      <c r="T20" s="33"/>
      <c r="U20" s="325"/>
      <c r="V20" s="269"/>
      <c r="W20" s="369"/>
      <c r="X20" s="470"/>
      <c r="Y20" s="33"/>
      <c r="Z20" s="325"/>
      <c r="AA20" s="269"/>
      <c r="AB20" s="369"/>
      <c r="AC20" s="470"/>
      <c r="AD20" s="33"/>
      <c r="AE20" s="325"/>
      <c r="AF20" s="269"/>
      <c r="AG20" s="369"/>
      <c r="AH20" s="470"/>
      <c r="AI20" s="33"/>
      <c r="AJ20" s="325"/>
      <c r="AK20" s="269"/>
      <c r="AL20" s="369"/>
      <c r="AM20" s="470"/>
      <c r="AN20" s="33"/>
      <c r="AO20" s="325"/>
      <c r="AP20" s="269"/>
      <c r="AQ20" s="369"/>
      <c r="AR20" s="470"/>
      <c r="AS20" s="33"/>
      <c r="AT20" s="325"/>
      <c r="AU20" s="269"/>
      <c r="AV20" s="369"/>
      <c r="AW20" s="470"/>
      <c r="AX20" s="33"/>
      <c r="AY20" s="325"/>
      <c r="AZ20" s="269"/>
      <c r="BA20" s="369"/>
      <c r="BB20" s="470"/>
      <c r="BC20" s="33"/>
      <c r="BD20" s="325"/>
      <c r="BE20" s="269"/>
      <c r="BF20" s="369"/>
      <c r="BG20" s="470"/>
      <c r="BH20" s="33"/>
      <c r="BI20" s="325"/>
      <c r="BJ20" s="269"/>
      <c r="BK20" s="369"/>
      <c r="BL20" s="470"/>
      <c r="BM20" s="33"/>
      <c r="BN20" s="325"/>
      <c r="BO20" s="269"/>
      <c r="BP20" s="369"/>
      <c r="BQ20" s="470"/>
      <c r="BR20" s="33"/>
      <c r="BS20" s="325"/>
      <c r="BT20" s="269"/>
      <c r="BU20" s="369"/>
      <c r="BV20" s="470"/>
      <c r="BW20" s="33"/>
      <c r="BX20" s="325"/>
      <c r="BY20" s="269"/>
      <c r="BZ20" s="369"/>
      <c r="CA20" s="470"/>
      <c r="CB20" s="33"/>
      <c r="CC20" s="325"/>
      <c r="CD20" s="269"/>
      <c r="CE20" s="369"/>
      <c r="CF20" s="470"/>
      <c r="CG20" s="33"/>
      <c r="CH20" s="325"/>
      <c r="CI20" s="269"/>
      <c r="CJ20" s="369"/>
      <c r="CK20" s="470"/>
      <c r="CL20" s="33"/>
      <c r="CM20" s="325"/>
      <c r="CN20" s="269"/>
      <c r="CO20" s="369"/>
      <c r="CP20" s="470"/>
      <c r="CQ20" s="33"/>
      <c r="CR20" s="325"/>
      <c r="CS20" s="269"/>
      <c r="CT20" s="369"/>
      <c r="CU20" s="470"/>
      <c r="CV20" s="33"/>
      <c r="CW20" s="325"/>
      <c r="CX20" s="269"/>
      <c r="CY20" s="369"/>
      <c r="CZ20" s="470"/>
      <c r="DA20" s="33"/>
      <c r="DB20" s="325"/>
      <c r="DC20" s="269"/>
      <c r="DD20" s="369"/>
      <c r="DE20" s="470"/>
      <c r="DF20" s="33"/>
      <c r="DG20" s="325"/>
      <c r="DH20" s="269"/>
      <c r="DI20" s="369"/>
      <c r="DJ20" s="470"/>
      <c r="DK20" s="33"/>
      <c r="DL20" s="325"/>
      <c r="DM20" s="269"/>
      <c r="DN20" s="369"/>
      <c r="DO20" s="470"/>
      <c r="DP20" s="33"/>
      <c r="DQ20" s="325"/>
      <c r="DR20" s="269"/>
      <c r="DS20" s="369"/>
      <c r="DT20" s="470"/>
      <c r="DU20" s="33"/>
      <c r="DV20" s="325"/>
      <c r="DW20" s="269"/>
      <c r="DX20" s="369"/>
      <c r="DY20" s="470"/>
      <c r="DZ20" s="33"/>
      <c r="EA20" s="325"/>
      <c r="EB20" s="269"/>
      <c r="EC20" s="369"/>
      <c r="ED20" s="470"/>
      <c r="EE20" s="33"/>
      <c r="EF20" s="325"/>
      <c r="EG20" s="269"/>
      <c r="EH20" s="369"/>
      <c r="EI20" s="470"/>
      <c r="EJ20" s="33"/>
      <c r="EK20" s="325"/>
      <c r="EL20" s="269"/>
      <c r="EM20" s="369"/>
      <c r="EN20" s="470"/>
      <c r="EO20" s="33"/>
      <c r="EP20" s="73"/>
      <c r="ER20" s="451"/>
    </row>
    <row r="21" spans="4:154" x14ac:dyDescent="0.2">
      <c r="D21" s="244"/>
      <c r="F21" s="82"/>
      <c r="H21" s="93"/>
      <c r="I21" s="93"/>
      <c r="J21" s="93"/>
      <c r="K21" s="122"/>
      <c r="L21" s="93"/>
      <c r="M21" s="93"/>
      <c r="N21" s="93"/>
      <c r="O21" s="93"/>
      <c r="P21" s="122"/>
      <c r="Q21" s="93"/>
      <c r="R21" s="93"/>
      <c r="S21" s="93"/>
      <c r="T21" s="93"/>
      <c r="U21" s="122"/>
      <c r="V21" s="93"/>
      <c r="W21" s="93"/>
      <c r="X21" s="93"/>
      <c r="Y21" s="93"/>
      <c r="Z21" s="122"/>
      <c r="AA21" s="93"/>
      <c r="AB21" s="93"/>
      <c r="AC21" s="93"/>
      <c r="AD21" s="93"/>
      <c r="AE21" s="122"/>
      <c r="AF21" s="93"/>
      <c r="AG21" s="93"/>
      <c r="AH21" s="93"/>
      <c r="AI21" s="93"/>
      <c r="AJ21" s="122"/>
      <c r="AK21" s="93"/>
      <c r="AL21" s="93"/>
      <c r="AM21" s="93"/>
      <c r="AN21" s="93"/>
      <c r="AO21" s="122"/>
      <c r="AP21" s="93"/>
      <c r="AQ21" s="93"/>
      <c r="AR21" s="93"/>
      <c r="AS21" s="93"/>
      <c r="AT21" s="122"/>
      <c r="AU21" s="93"/>
      <c r="AV21" s="93"/>
      <c r="AW21" s="93"/>
      <c r="AX21" s="93"/>
      <c r="AY21" s="122"/>
      <c r="AZ21" s="93"/>
      <c r="BA21" s="93"/>
      <c r="BB21" s="93"/>
      <c r="BC21" s="93"/>
      <c r="BD21" s="122"/>
      <c r="BE21" s="93"/>
      <c r="BF21" s="93"/>
      <c r="BG21" s="93"/>
      <c r="BH21" s="93"/>
      <c r="BI21" s="122"/>
      <c r="BJ21" s="93"/>
      <c r="BK21" s="93"/>
      <c r="BL21" s="93"/>
      <c r="BM21" s="93"/>
      <c r="BN21" s="122"/>
      <c r="BO21" s="93"/>
      <c r="BP21" s="93"/>
      <c r="BQ21" s="93"/>
      <c r="BR21" s="93"/>
      <c r="BS21" s="122"/>
      <c r="BT21" s="93"/>
      <c r="BU21" s="93"/>
      <c r="BV21" s="93"/>
      <c r="BW21" s="93"/>
      <c r="BX21" s="122"/>
      <c r="BY21" s="93"/>
      <c r="BZ21" s="93"/>
      <c r="CA21" s="93"/>
      <c r="CB21" s="93"/>
      <c r="CC21" s="122"/>
      <c r="CD21" s="93"/>
      <c r="CE21" s="93"/>
      <c r="CF21" s="93"/>
      <c r="CG21" s="93"/>
      <c r="CH21" s="122"/>
      <c r="CI21" s="93"/>
      <c r="CJ21" s="93"/>
      <c r="CK21" s="93"/>
      <c r="CL21" s="93"/>
      <c r="CM21" s="122"/>
      <c r="CN21" s="93"/>
      <c r="CO21" s="93"/>
      <c r="CP21" s="93"/>
      <c r="CQ21" s="93"/>
      <c r="CR21" s="122"/>
      <c r="CS21" s="93"/>
      <c r="CT21" s="93"/>
      <c r="CU21" s="93"/>
      <c r="CV21" s="93"/>
      <c r="CW21" s="122"/>
      <c r="CX21" s="93"/>
      <c r="CY21" s="93"/>
      <c r="CZ21" s="93"/>
      <c r="DA21" s="93"/>
      <c r="DB21" s="122"/>
      <c r="DC21" s="93"/>
      <c r="DD21" s="93"/>
      <c r="DE21" s="93"/>
      <c r="DF21" s="93"/>
      <c r="DG21" s="122"/>
      <c r="DH21" s="93"/>
      <c r="DI21" s="93"/>
      <c r="DJ21" s="93"/>
      <c r="DK21" s="93"/>
      <c r="DL21" s="122"/>
      <c r="DM21" s="93"/>
      <c r="DN21" s="93"/>
      <c r="DO21" s="93"/>
      <c r="DP21" s="93"/>
      <c r="DQ21" s="122"/>
      <c r="DR21" s="93"/>
      <c r="DS21" s="93"/>
      <c r="DT21" s="93"/>
      <c r="DU21" s="93"/>
      <c r="DV21" s="122"/>
      <c r="DW21" s="93"/>
      <c r="DX21" s="93"/>
      <c r="DY21" s="93"/>
      <c r="DZ21" s="93"/>
      <c r="EA21" s="122"/>
      <c r="EB21" s="93"/>
      <c r="EC21" s="93"/>
      <c r="ED21" s="93"/>
      <c r="EE21" s="93"/>
      <c r="EF21" s="122"/>
      <c r="EG21" s="93"/>
      <c r="EH21" s="93"/>
      <c r="EI21" s="93"/>
      <c r="EJ21" s="93"/>
      <c r="EK21" s="122"/>
      <c r="EL21" s="93"/>
      <c r="EM21" s="467"/>
      <c r="EN21" s="93"/>
      <c r="EO21" s="93"/>
      <c r="EP21" s="366"/>
      <c r="ER21" s="451"/>
    </row>
    <row r="22" spans="4:154" s="451" customFormat="1" x14ac:dyDescent="0.2">
      <c r="D22" s="484"/>
      <c r="E22" s="38"/>
      <c r="F22" s="138"/>
      <c r="H22" s="283"/>
      <c r="I22" s="283"/>
      <c r="J22" s="283"/>
      <c r="K22" s="83"/>
      <c r="L22" s="283"/>
      <c r="M22" s="283"/>
      <c r="N22" s="283"/>
      <c r="O22" s="283"/>
      <c r="P22" s="83"/>
      <c r="Q22" s="283"/>
      <c r="R22" s="283"/>
      <c r="S22" s="283"/>
      <c r="T22" s="283"/>
      <c r="U22" s="83"/>
      <c r="V22" s="283"/>
      <c r="W22" s="283"/>
      <c r="X22" s="283"/>
      <c r="Y22" s="283"/>
      <c r="Z22" s="83"/>
      <c r="AA22" s="283"/>
      <c r="AB22" s="283"/>
      <c r="AC22" s="283"/>
      <c r="AD22" s="283"/>
      <c r="AE22" s="83"/>
      <c r="AF22" s="283"/>
      <c r="AG22" s="283"/>
      <c r="AH22" s="283"/>
      <c r="AI22" s="283"/>
      <c r="AJ22" s="83"/>
      <c r="AK22" s="283"/>
      <c r="AL22" s="283"/>
      <c r="AM22" s="283"/>
      <c r="AN22" s="283"/>
      <c r="AO22" s="83"/>
      <c r="AP22" s="283"/>
      <c r="AQ22" s="283"/>
      <c r="AR22" s="283"/>
      <c r="AS22" s="283"/>
      <c r="AT22" s="83"/>
      <c r="AU22" s="283"/>
      <c r="AV22" s="283"/>
      <c r="AW22" s="283"/>
      <c r="AX22" s="283"/>
      <c r="AY22" s="83"/>
      <c r="AZ22" s="283"/>
      <c r="BA22" s="283"/>
      <c r="BB22" s="283"/>
      <c r="BC22" s="283"/>
      <c r="BD22" s="83"/>
      <c r="BE22" s="283"/>
      <c r="BF22" s="283"/>
      <c r="BG22" s="283"/>
      <c r="BH22" s="283"/>
      <c r="BI22" s="83"/>
      <c r="BJ22" s="283"/>
      <c r="BK22" s="283"/>
      <c r="BL22" s="283"/>
      <c r="BM22" s="283"/>
      <c r="BN22" s="83"/>
      <c r="BO22" s="283"/>
      <c r="BP22" s="283"/>
      <c r="BQ22" s="283"/>
      <c r="BR22" s="283"/>
      <c r="BS22" s="83"/>
      <c r="BT22" s="283"/>
      <c r="BU22" s="283"/>
      <c r="BV22" s="283"/>
      <c r="BW22" s="283"/>
      <c r="BX22" s="83"/>
      <c r="BY22" s="283"/>
      <c r="BZ22" s="283"/>
      <c r="CA22" s="283"/>
      <c r="CB22" s="283"/>
      <c r="CC22" s="83"/>
      <c r="CD22" s="283"/>
      <c r="CE22" s="283"/>
      <c r="CF22" s="283"/>
      <c r="CG22" s="283"/>
      <c r="CH22" s="83"/>
      <c r="CI22" s="283"/>
      <c r="CJ22" s="283"/>
      <c r="CK22" s="283"/>
      <c r="CL22" s="283"/>
      <c r="CM22" s="83"/>
      <c r="CN22" s="283"/>
      <c r="CO22" s="283"/>
      <c r="CP22" s="283"/>
      <c r="CQ22" s="283"/>
      <c r="CR22" s="83"/>
      <c r="CS22" s="283"/>
      <c r="CT22" s="283"/>
      <c r="CU22" s="283"/>
      <c r="CV22" s="283"/>
      <c r="CW22" s="83"/>
      <c r="CX22" s="283"/>
      <c r="CY22" s="283"/>
      <c r="CZ22" s="283"/>
      <c r="DA22" s="283"/>
      <c r="DB22" s="83"/>
      <c r="DC22" s="283"/>
      <c r="DD22" s="283"/>
      <c r="DE22" s="283"/>
      <c r="DF22" s="283"/>
      <c r="DG22" s="83"/>
      <c r="DH22" s="283"/>
      <c r="DI22" s="283"/>
      <c r="DJ22" s="283"/>
      <c r="DK22" s="283"/>
      <c r="DL22" s="83"/>
      <c r="DM22" s="283"/>
      <c r="DN22" s="283"/>
      <c r="DO22" s="283"/>
      <c r="DP22" s="283"/>
      <c r="DQ22" s="83"/>
      <c r="DR22" s="283"/>
      <c r="DS22" s="283"/>
      <c r="DT22" s="283"/>
      <c r="DU22" s="283"/>
      <c r="DV22" s="83"/>
      <c r="DW22" s="283"/>
      <c r="DX22" s="283"/>
      <c r="DY22" s="283"/>
      <c r="DZ22" s="283"/>
      <c r="EA22" s="83"/>
      <c r="EB22" s="283"/>
      <c r="EC22" s="283"/>
      <c r="ED22" s="283"/>
      <c r="EE22" s="283"/>
      <c r="EF22" s="83"/>
      <c r="EG22" s="283"/>
      <c r="EH22" s="283"/>
      <c r="EI22" s="283"/>
      <c r="EJ22" s="283"/>
      <c r="EK22" s="83"/>
      <c r="EL22" s="283"/>
      <c r="EM22" s="283"/>
      <c r="EN22" s="283"/>
      <c r="EO22" s="283"/>
      <c r="EP22" s="410"/>
    </row>
    <row r="23" spans="4:154" s="451" customFormat="1" x14ac:dyDescent="0.2">
      <c r="D23" s="393" t="s">
        <v>493</v>
      </c>
      <c r="E23" s="38"/>
      <c r="F23" s="138"/>
      <c r="H23" s="22">
        <v>0</v>
      </c>
      <c r="I23" s="22"/>
      <c r="J23" s="22"/>
      <c r="K23" s="186"/>
      <c r="L23" s="22"/>
      <c r="M23" s="22">
        <v>34143659</v>
      </c>
      <c r="N23" s="22"/>
      <c r="O23" s="22"/>
      <c r="P23" s="186"/>
      <c r="Q23" s="22"/>
      <c r="R23" s="22">
        <v>-4349966</v>
      </c>
      <c r="S23" s="22"/>
      <c r="T23" s="22"/>
      <c r="U23" s="186"/>
      <c r="V23" s="22"/>
      <c r="W23" s="22">
        <v>2527515</v>
      </c>
      <c r="X23" s="22"/>
      <c r="Y23" s="22"/>
      <c r="Z23" s="186"/>
      <c r="AA23" s="22"/>
      <c r="AB23" s="22">
        <v>-24856159</v>
      </c>
      <c r="AC23" s="22"/>
      <c r="AD23" s="22"/>
      <c r="AE23" s="186"/>
      <c r="AF23" s="22"/>
      <c r="AG23" s="22">
        <v>26866570</v>
      </c>
      <c r="AH23" s="22"/>
      <c r="AI23" s="22"/>
      <c r="AJ23" s="186"/>
      <c r="AK23" s="22"/>
      <c r="AL23" s="22">
        <v>-5977613</v>
      </c>
      <c r="AM23" s="22"/>
      <c r="AN23" s="22"/>
      <c r="AO23" s="186"/>
      <c r="AP23" s="22"/>
      <c r="AQ23" s="22">
        <v>15416167</v>
      </c>
      <c r="AR23" s="22"/>
      <c r="AS23" s="22"/>
      <c r="AT23" s="186"/>
      <c r="AU23" s="22"/>
      <c r="AV23" s="22">
        <v>-315227</v>
      </c>
      <c r="AW23" s="22"/>
      <c r="AX23" s="22"/>
      <c r="AY23" s="186"/>
      <c r="AZ23" s="22"/>
      <c r="BA23" s="22">
        <v>-6539100</v>
      </c>
      <c r="BB23" s="22"/>
      <c r="BC23" s="22"/>
      <c r="BD23" s="186"/>
      <c r="BE23" s="22"/>
      <c r="BF23" s="22">
        <v>59957836</v>
      </c>
      <c r="BG23" s="22"/>
      <c r="BH23" s="22"/>
      <c r="BI23" s="186"/>
      <c r="BJ23" s="22"/>
      <c r="BK23" s="22">
        <v>-1550683</v>
      </c>
      <c r="BL23" s="22"/>
      <c r="BM23" s="22"/>
      <c r="BN23" s="186"/>
      <c r="BO23" s="22"/>
      <c r="BP23" s="22">
        <v>-80682653</v>
      </c>
      <c r="BQ23" s="22"/>
      <c r="BR23" s="22"/>
      <c r="BS23" s="186"/>
      <c r="BT23" s="22"/>
      <c r="BU23" s="22">
        <f>SUM(M23:BP23)</f>
        <v>14640346</v>
      </c>
      <c r="BV23" s="22"/>
      <c r="BW23" s="22"/>
      <c r="BX23" s="186"/>
      <c r="BY23" s="22"/>
      <c r="BZ23" s="22">
        <v>-17008126</v>
      </c>
      <c r="CA23" s="22"/>
      <c r="CB23" s="22"/>
      <c r="CC23" s="186"/>
      <c r="CD23" s="22"/>
      <c r="CE23" s="22">
        <v>-17895405</v>
      </c>
      <c r="CF23" s="22"/>
      <c r="CG23" s="22"/>
      <c r="CH23" s="186"/>
      <c r="CI23" s="22"/>
      <c r="CJ23" s="22">
        <v>-2162772</v>
      </c>
      <c r="CK23" s="22"/>
      <c r="CL23" s="22"/>
      <c r="CM23" s="186"/>
      <c r="CN23" s="22"/>
      <c r="CO23" s="22">
        <v>1746060</v>
      </c>
      <c r="CP23" s="22"/>
      <c r="CQ23" s="22"/>
      <c r="CR23" s="186"/>
      <c r="CS23" s="22"/>
      <c r="CT23" s="22">
        <v>9207825</v>
      </c>
      <c r="CU23" s="22"/>
      <c r="CV23" s="22"/>
      <c r="CW23" s="186"/>
      <c r="CX23" s="22"/>
      <c r="CY23" s="22">
        <f>-8222766</f>
        <v>-8222766</v>
      </c>
      <c r="CZ23" s="22"/>
      <c r="DA23" s="22"/>
      <c r="DB23" s="186"/>
      <c r="DC23" s="22"/>
      <c r="DD23" s="22">
        <v>21412052</v>
      </c>
      <c r="DE23" s="22"/>
      <c r="DF23" s="22"/>
      <c r="DG23" s="186"/>
      <c r="DH23" s="22"/>
      <c r="DI23" s="22">
        <v>67094</v>
      </c>
      <c r="DJ23" s="22"/>
      <c r="DK23" s="22"/>
      <c r="DL23" s="186"/>
      <c r="DM23" s="22"/>
      <c r="DN23" s="22">
        <v>5423083</v>
      </c>
      <c r="DO23" s="22"/>
      <c r="DP23" s="22"/>
      <c r="DQ23" s="186"/>
      <c r="DR23" s="22"/>
      <c r="DS23" s="22">
        <v>3006040</v>
      </c>
      <c r="DT23" s="22"/>
      <c r="DU23" s="22"/>
      <c r="DV23" s="186"/>
      <c r="DW23" s="22"/>
      <c r="DX23" s="22">
        <f>484408</f>
        <v>484408</v>
      </c>
      <c r="DY23" s="22"/>
      <c r="DZ23" s="22"/>
      <c r="EA23" s="186"/>
      <c r="EB23" s="22"/>
      <c r="EC23" s="22">
        <v>4553332</v>
      </c>
      <c r="ED23" s="22"/>
      <c r="EE23" s="22"/>
      <c r="EF23" s="186"/>
      <c r="EG23" s="22"/>
      <c r="EH23" s="22">
        <f>-34627078+1</f>
        <v>-34627077</v>
      </c>
      <c r="EI23" s="22"/>
      <c r="EJ23" s="22"/>
      <c r="EK23" s="186"/>
      <c r="EL23" s="22"/>
      <c r="EM23" s="22">
        <f>SUM(CE23:EH23)</f>
        <v>-17008126</v>
      </c>
      <c r="EN23" s="22"/>
      <c r="EO23" s="22"/>
      <c r="EP23" s="124"/>
    </row>
    <row r="24" spans="4:154" x14ac:dyDescent="0.2">
      <c r="D24" s="244"/>
      <c r="F24" s="82"/>
      <c r="H24" s="93"/>
      <c r="I24" s="93"/>
      <c r="J24" s="93"/>
      <c r="K24" s="122"/>
      <c r="L24" s="93"/>
      <c r="M24" s="93"/>
      <c r="N24" s="93"/>
      <c r="O24" s="93"/>
      <c r="P24" s="122"/>
      <c r="Q24" s="93"/>
      <c r="R24" s="93"/>
      <c r="S24" s="93"/>
      <c r="T24" s="93"/>
      <c r="U24" s="122"/>
      <c r="V24" s="93"/>
      <c r="W24" s="93"/>
      <c r="X24" s="93"/>
      <c r="Y24" s="93"/>
      <c r="Z24" s="122"/>
      <c r="AA24" s="93"/>
      <c r="AB24" s="93"/>
      <c r="AC24" s="93"/>
      <c r="AD24" s="93"/>
      <c r="AE24" s="122"/>
      <c r="AF24" s="93"/>
      <c r="AG24" s="93"/>
      <c r="AH24" s="93"/>
      <c r="AI24" s="93"/>
      <c r="AJ24" s="122"/>
      <c r="AK24" s="93"/>
      <c r="AL24" s="93"/>
      <c r="AM24" s="93"/>
      <c r="AN24" s="93"/>
      <c r="AO24" s="122"/>
      <c r="AP24" s="93"/>
      <c r="AQ24" s="93"/>
      <c r="AR24" s="93"/>
      <c r="AS24" s="93"/>
      <c r="AT24" s="122"/>
      <c r="AU24" s="93"/>
      <c r="AV24" s="93"/>
      <c r="AW24" s="93"/>
      <c r="AX24" s="93"/>
      <c r="AY24" s="122"/>
      <c r="AZ24" s="93"/>
      <c r="BA24" s="93"/>
      <c r="BB24" s="93"/>
      <c r="BC24" s="93"/>
      <c r="BD24" s="122"/>
      <c r="BE24" s="93"/>
      <c r="BF24" s="93"/>
      <c r="BG24" s="93"/>
      <c r="BH24" s="93"/>
      <c r="BI24" s="122"/>
      <c r="BJ24" s="93"/>
      <c r="BK24" s="93"/>
      <c r="BL24" s="93"/>
      <c r="BM24" s="93"/>
      <c r="BN24" s="122"/>
      <c r="BO24" s="93"/>
      <c r="BP24" s="93"/>
      <c r="BQ24" s="93"/>
      <c r="BR24" s="93"/>
      <c r="BS24" s="122"/>
      <c r="BT24" s="93"/>
      <c r="BX24" s="82"/>
      <c r="BZ24" s="93"/>
      <c r="CA24" s="93"/>
      <c r="CB24" s="93"/>
      <c r="CC24" s="122"/>
      <c r="CD24" s="93"/>
      <c r="CE24" s="93"/>
      <c r="CF24" s="93"/>
      <c r="CG24" s="93"/>
      <c r="CH24" s="122"/>
      <c r="CI24" s="93"/>
      <c r="CJ24" s="93"/>
      <c r="CK24" s="93"/>
      <c r="CL24" s="93"/>
      <c r="CM24" s="122"/>
      <c r="CN24" s="93"/>
      <c r="CO24" s="93"/>
      <c r="CP24" s="93"/>
      <c r="CQ24" s="93"/>
      <c r="CR24" s="122"/>
      <c r="CS24" s="93"/>
      <c r="CT24" s="93"/>
      <c r="CU24" s="93"/>
      <c r="CV24" s="93"/>
      <c r="CW24" s="122"/>
      <c r="CX24" s="93"/>
      <c r="CY24" s="93"/>
      <c r="CZ24" s="93"/>
      <c r="DA24" s="93"/>
      <c r="DB24" s="122"/>
      <c r="DC24" s="93"/>
      <c r="DD24" s="93"/>
      <c r="DE24" s="93"/>
      <c r="DF24" s="93"/>
      <c r="DG24" s="122"/>
      <c r="DH24" s="93"/>
      <c r="DI24" s="93"/>
      <c r="DJ24" s="93"/>
      <c r="DK24" s="93"/>
      <c r="DL24" s="122"/>
      <c r="DM24" s="93"/>
      <c r="DN24" s="93"/>
      <c r="DO24" s="93"/>
      <c r="DP24" s="93"/>
      <c r="DQ24" s="122"/>
      <c r="DR24" s="93"/>
      <c r="DS24" s="93"/>
      <c r="DT24" s="93"/>
      <c r="DU24" s="93"/>
      <c r="DV24" s="122"/>
      <c r="DW24" s="93"/>
      <c r="DX24" s="93"/>
      <c r="DY24" s="93"/>
      <c r="DZ24" s="93"/>
      <c r="EA24" s="122"/>
      <c r="EB24" s="93"/>
      <c r="EC24" s="93"/>
      <c r="ED24" s="93"/>
      <c r="EE24" s="93"/>
      <c r="EF24" s="122"/>
      <c r="EG24" s="93"/>
      <c r="EH24" s="93"/>
      <c r="EI24" s="93"/>
      <c r="EJ24" s="93"/>
      <c r="EK24" s="122"/>
      <c r="EL24" s="93"/>
      <c r="EP24" s="244"/>
      <c r="ER24" s="451"/>
    </row>
    <row r="25" spans="4:154" s="451" customFormat="1" x14ac:dyDescent="0.2">
      <c r="D25" s="484" t="s">
        <v>494</v>
      </c>
      <c r="E25" s="38"/>
      <c r="F25" s="138"/>
      <c r="H25" s="283">
        <v>0</v>
      </c>
      <c r="I25" s="283"/>
      <c r="J25" s="283"/>
      <c r="K25" s="83"/>
      <c r="L25" s="283"/>
      <c r="M25" s="283">
        <v>0</v>
      </c>
      <c r="N25" s="283"/>
      <c r="O25" s="283"/>
      <c r="P25" s="83"/>
      <c r="Q25" s="283"/>
      <c r="R25" s="283">
        <v>0</v>
      </c>
      <c r="S25" s="283"/>
      <c r="T25" s="283"/>
      <c r="U25" s="83"/>
      <c r="V25" s="283"/>
      <c r="W25" s="283">
        <v>0</v>
      </c>
      <c r="X25" s="283"/>
      <c r="Y25" s="283"/>
      <c r="Z25" s="83"/>
      <c r="AA25" s="283"/>
      <c r="AB25" s="283">
        <v>0</v>
      </c>
      <c r="AC25" s="283"/>
      <c r="AD25" s="283"/>
      <c r="AE25" s="83"/>
      <c r="AF25" s="283"/>
      <c r="AG25" s="283">
        <v>0</v>
      </c>
      <c r="AH25" s="283"/>
      <c r="AI25" s="283"/>
      <c r="AJ25" s="83"/>
      <c r="AK25" s="283"/>
      <c r="AL25" s="283">
        <v>0</v>
      </c>
      <c r="AM25" s="283"/>
      <c r="AN25" s="283"/>
      <c r="AO25" s="83"/>
      <c r="AP25" s="283"/>
      <c r="AQ25" s="283">
        <v>0</v>
      </c>
      <c r="AR25" s="283"/>
      <c r="AS25" s="283"/>
      <c r="AT25" s="83"/>
      <c r="AU25" s="283"/>
      <c r="AV25" s="283">
        <v>0</v>
      </c>
      <c r="AW25" s="283"/>
      <c r="AX25" s="283"/>
      <c r="AY25" s="83"/>
      <c r="AZ25" s="283"/>
      <c r="BA25" s="283">
        <v>0</v>
      </c>
      <c r="BB25" s="283"/>
      <c r="BC25" s="283"/>
      <c r="BD25" s="83"/>
      <c r="BE25" s="283"/>
      <c r="BF25" s="283">
        <v>0</v>
      </c>
      <c r="BG25" s="283"/>
      <c r="BH25" s="283"/>
      <c r="BI25" s="83"/>
      <c r="BJ25" s="283"/>
      <c r="BK25" s="283">
        <v>0</v>
      </c>
      <c r="BL25" s="283"/>
      <c r="BM25" s="283"/>
      <c r="BN25" s="83"/>
      <c r="BO25" s="283"/>
      <c r="BP25" s="283">
        <v>0</v>
      </c>
      <c r="BQ25" s="283"/>
      <c r="BR25" s="283"/>
      <c r="BS25" s="83"/>
      <c r="BT25" s="283"/>
      <c r="BU25" s="22">
        <f>SUM(M25:BP25)</f>
        <v>0</v>
      </c>
      <c r="BX25" s="138"/>
      <c r="BZ25" s="283">
        <v>2087301.7651195501</v>
      </c>
      <c r="CA25" s="283"/>
      <c r="CB25" s="283"/>
      <c r="CC25" s="83"/>
      <c r="CD25" s="283"/>
      <c r="CE25" s="283">
        <v>0</v>
      </c>
      <c r="CF25" s="283"/>
      <c r="CG25" s="283"/>
      <c r="CH25" s="83"/>
      <c r="CI25" s="283"/>
      <c r="CJ25" s="283">
        <v>0</v>
      </c>
      <c r="CK25" s="283"/>
      <c r="CL25" s="283"/>
      <c r="CM25" s="83"/>
      <c r="CN25" s="283"/>
      <c r="CO25" s="283">
        <v>0</v>
      </c>
      <c r="CP25" s="283"/>
      <c r="CQ25" s="283"/>
      <c r="CR25" s="83"/>
      <c r="CS25" s="283"/>
      <c r="CT25" s="283">
        <v>0</v>
      </c>
      <c r="CU25" s="283"/>
      <c r="CV25" s="283"/>
      <c r="CW25" s="83"/>
      <c r="CX25" s="283"/>
      <c r="CY25" s="283">
        <v>0</v>
      </c>
      <c r="CZ25" s="283"/>
      <c r="DA25" s="283"/>
      <c r="DB25" s="83"/>
      <c r="DC25" s="283"/>
      <c r="DD25" s="283">
        <v>0</v>
      </c>
      <c r="DE25" s="283"/>
      <c r="DF25" s="283"/>
      <c r="DG25" s="83"/>
      <c r="DH25" s="283"/>
      <c r="DI25" s="283">
        <v>0</v>
      </c>
      <c r="DJ25" s="283"/>
      <c r="DK25" s="283"/>
      <c r="DL25" s="83"/>
      <c r="DM25" s="283"/>
      <c r="DN25" s="283">
        <v>0</v>
      </c>
      <c r="DO25" s="283"/>
      <c r="DP25" s="283"/>
      <c r="DQ25" s="83"/>
      <c r="DR25" s="283"/>
      <c r="DS25" s="283">
        <v>0</v>
      </c>
      <c r="DT25" s="283"/>
      <c r="DU25" s="283"/>
      <c r="DV25" s="83"/>
      <c r="DW25" s="283"/>
      <c r="DX25" s="283">
        <v>0</v>
      </c>
      <c r="DY25" s="283"/>
      <c r="DZ25" s="283"/>
      <c r="EA25" s="83"/>
      <c r="EB25" s="283"/>
      <c r="EC25" s="283">
        <v>0</v>
      </c>
      <c r="ED25" s="283"/>
      <c r="EE25" s="283"/>
      <c r="EF25" s="83"/>
      <c r="EG25" s="283"/>
      <c r="EH25" s="283">
        <v>2087301.7651195501</v>
      </c>
      <c r="EI25" s="283"/>
      <c r="EJ25" s="283"/>
      <c r="EK25" s="83"/>
      <c r="EL25" s="283"/>
      <c r="EM25" s="22">
        <f>SUM(CE25:EH25)</f>
        <v>2087301.7651195501</v>
      </c>
      <c r="EP25" s="484"/>
      <c r="EX25" s="168"/>
    </row>
    <row r="26" spans="4:154" x14ac:dyDescent="0.2">
      <c r="D26" s="244"/>
      <c r="F26" s="82"/>
      <c r="H26" s="93"/>
      <c r="I26" s="93"/>
      <c r="J26" s="93"/>
      <c r="K26" s="122"/>
      <c r="L26" s="93"/>
      <c r="M26" s="93"/>
      <c r="N26" s="93"/>
      <c r="O26" s="93"/>
      <c r="P26" s="122"/>
      <c r="Q26" s="93"/>
      <c r="R26" s="93"/>
      <c r="S26" s="93"/>
      <c r="T26" s="93"/>
      <c r="U26" s="122"/>
      <c r="V26" s="93"/>
      <c r="W26" s="93"/>
      <c r="X26" s="93"/>
      <c r="Y26" s="93"/>
      <c r="Z26" s="122"/>
      <c r="AA26" s="93"/>
      <c r="AB26" s="93"/>
      <c r="AC26" s="93"/>
      <c r="AD26" s="93"/>
      <c r="AE26" s="122"/>
      <c r="AF26" s="93"/>
      <c r="AG26" s="93"/>
      <c r="AH26" s="93"/>
      <c r="AI26" s="93"/>
      <c r="AJ26" s="122"/>
      <c r="AK26" s="93"/>
      <c r="AL26" s="93"/>
      <c r="AM26" s="93"/>
      <c r="AN26" s="93"/>
      <c r="AO26" s="122"/>
      <c r="AP26" s="93"/>
      <c r="AQ26" s="93"/>
      <c r="AR26" s="93"/>
      <c r="AS26" s="93"/>
      <c r="AT26" s="122"/>
      <c r="AU26" s="93"/>
      <c r="AV26" s="93"/>
      <c r="AW26" s="93"/>
      <c r="AX26" s="93"/>
      <c r="AY26" s="122"/>
      <c r="AZ26" s="93"/>
      <c r="BA26" s="93"/>
      <c r="BB26" s="93"/>
      <c r="BC26" s="93"/>
      <c r="BD26" s="122"/>
      <c r="BE26" s="93"/>
      <c r="BF26" s="93"/>
      <c r="BG26" s="93"/>
      <c r="BH26" s="93"/>
      <c r="BI26" s="122"/>
      <c r="BJ26" s="93"/>
      <c r="BK26" s="93"/>
      <c r="BL26" s="93"/>
      <c r="BM26" s="93"/>
      <c r="BN26" s="122"/>
      <c r="BO26" s="93"/>
      <c r="BP26" s="93"/>
      <c r="BQ26" s="93"/>
      <c r="BR26" s="93"/>
      <c r="BS26" s="122"/>
      <c r="BT26" s="93"/>
      <c r="BU26" s="93"/>
      <c r="BV26" s="93"/>
      <c r="BW26" s="93"/>
      <c r="BX26" s="122"/>
      <c r="BY26" s="93"/>
      <c r="BZ26" s="93"/>
      <c r="CA26" s="93"/>
      <c r="CB26" s="93"/>
      <c r="CC26" s="122"/>
      <c r="CD26" s="93"/>
      <c r="CE26" s="93"/>
      <c r="CF26" s="93"/>
      <c r="CG26" s="93"/>
      <c r="CH26" s="122"/>
      <c r="CI26" s="93"/>
      <c r="CJ26" s="93"/>
      <c r="CK26" s="93"/>
      <c r="CL26" s="93"/>
      <c r="CM26" s="122"/>
      <c r="CN26" s="93"/>
      <c r="CO26" s="93"/>
      <c r="CP26" s="93"/>
      <c r="CQ26" s="93"/>
      <c r="CR26" s="122"/>
      <c r="CS26" s="93"/>
      <c r="CT26" s="93"/>
      <c r="CU26" s="93"/>
      <c r="CV26" s="93"/>
      <c r="CW26" s="122"/>
      <c r="CX26" s="93"/>
      <c r="CY26" s="93"/>
      <c r="CZ26" s="93"/>
      <c r="DA26" s="93"/>
      <c r="DB26" s="122"/>
      <c r="DC26" s="93"/>
      <c r="DD26" s="93"/>
      <c r="DE26" s="93"/>
      <c r="DF26" s="93"/>
      <c r="DG26" s="122"/>
      <c r="DH26" s="93"/>
      <c r="DI26" s="93"/>
      <c r="DJ26" s="93"/>
      <c r="DK26" s="93"/>
      <c r="DL26" s="122"/>
      <c r="DM26" s="93"/>
      <c r="DN26" s="93"/>
      <c r="DO26" s="93"/>
      <c r="DP26" s="93"/>
      <c r="DQ26" s="122"/>
      <c r="DR26" s="93"/>
      <c r="DS26" s="93"/>
      <c r="DT26" s="93"/>
      <c r="DU26" s="93"/>
      <c r="DV26" s="122"/>
      <c r="DW26" s="93"/>
      <c r="DX26" s="93"/>
      <c r="DY26" s="93"/>
      <c r="DZ26" s="93"/>
      <c r="EA26" s="122"/>
      <c r="EB26" s="93"/>
      <c r="EC26" s="93"/>
      <c r="ED26" s="93"/>
      <c r="EE26" s="93"/>
      <c r="EF26" s="122"/>
      <c r="EG26" s="93"/>
      <c r="EH26" s="93"/>
      <c r="EI26" s="93"/>
      <c r="EJ26" s="93"/>
      <c r="EK26" s="122"/>
      <c r="EL26" s="93"/>
      <c r="EM26" s="93"/>
      <c r="EN26" s="93"/>
      <c r="EO26" s="93"/>
      <c r="EP26" s="366"/>
      <c r="ER26" s="451"/>
    </row>
    <row r="27" spans="4:154" s="451" customFormat="1" x14ac:dyDescent="0.2">
      <c r="D27" s="484" t="s">
        <v>495</v>
      </c>
      <c r="E27" s="402" t="s">
        <v>75</v>
      </c>
      <c r="F27" s="82"/>
      <c r="G27" s="12"/>
      <c r="H27" s="22">
        <f>SUM(H28:H29)</f>
        <v>6516232.0023469981</v>
      </c>
      <c r="I27" s="22"/>
      <c r="J27" s="22"/>
      <c r="K27" s="186"/>
      <c r="L27" s="22"/>
      <c r="M27" s="22">
        <f>SUM(M28:M29)</f>
        <v>0</v>
      </c>
      <c r="N27" s="22"/>
      <c r="O27" s="22"/>
      <c r="P27" s="186"/>
      <c r="Q27" s="22"/>
      <c r="R27" s="22">
        <f>SUM(R28:R29)</f>
        <v>871744.25600000005</v>
      </c>
      <c r="S27" s="22"/>
      <c r="T27" s="22"/>
      <c r="U27" s="186"/>
      <c r="V27" s="22"/>
      <c r="W27" s="22">
        <f>SUM(W28:W29)</f>
        <v>0</v>
      </c>
      <c r="X27" s="22"/>
      <c r="Y27" s="22"/>
      <c r="Z27" s="186"/>
      <c r="AA27" s="22"/>
      <c r="AB27" s="22">
        <f>SUM(AB28:AB29)</f>
        <v>126224</v>
      </c>
      <c r="AC27" s="22"/>
      <c r="AD27" s="22"/>
      <c r="AE27" s="186"/>
      <c r="AF27" s="22"/>
      <c r="AG27" s="22">
        <f>SUM(AG28:AG29)</f>
        <v>0</v>
      </c>
      <c r="AH27" s="22"/>
      <c r="AI27" s="22"/>
      <c r="AJ27" s="186"/>
      <c r="AK27" s="22"/>
      <c r="AL27" s="22">
        <f>SUM(AL28:AL29)</f>
        <v>3836</v>
      </c>
      <c r="AM27" s="22"/>
      <c r="AN27" s="22"/>
      <c r="AO27" s="186"/>
      <c r="AP27" s="22"/>
      <c r="AQ27" s="22">
        <f>SUM(AQ28:AQ29)</f>
        <v>1831061</v>
      </c>
      <c r="AR27" s="22"/>
      <c r="AS27" s="22"/>
      <c r="AT27" s="186"/>
      <c r="AU27" s="22"/>
      <c r="AV27" s="22">
        <f>SUM(AV28:AV29)</f>
        <v>2236273</v>
      </c>
      <c r="AW27" s="22"/>
      <c r="AX27" s="22"/>
      <c r="AY27" s="186"/>
      <c r="AZ27" s="22"/>
      <c r="BA27" s="22">
        <f>SUM(BA28:BA29)</f>
        <v>1620990</v>
      </c>
      <c r="BB27" s="22"/>
      <c r="BC27" s="22"/>
      <c r="BD27" s="186"/>
      <c r="BE27" s="22"/>
      <c r="BF27" s="22">
        <f>SUM(BF28:BF29)</f>
        <v>89678</v>
      </c>
      <c r="BG27" s="22"/>
      <c r="BH27" s="22"/>
      <c r="BI27" s="186"/>
      <c r="BJ27" s="22"/>
      <c r="BK27" s="22">
        <f>SUM(BK28:BK29)</f>
        <v>1022787</v>
      </c>
      <c r="BL27" s="22"/>
      <c r="BM27" s="22"/>
      <c r="BN27" s="186"/>
      <c r="BO27" s="22"/>
      <c r="BP27" s="22">
        <f>SUM(BP28:BP29)</f>
        <v>6347564</v>
      </c>
      <c r="BQ27" s="22"/>
      <c r="BR27" s="22"/>
      <c r="BS27" s="186"/>
      <c r="BT27" s="22"/>
      <c r="BU27" s="22">
        <f>SUM(BU28:BU29)</f>
        <v>14150157.256000001</v>
      </c>
      <c r="BV27" s="22"/>
      <c r="BW27" s="22"/>
      <c r="BX27" s="186"/>
      <c r="BY27" s="22"/>
      <c r="BZ27" s="22">
        <f>SUM(BZ28:BZ29)</f>
        <v>11826596</v>
      </c>
      <c r="CA27" s="22"/>
      <c r="CB27" s="22"/>
      <c r="CC27" s="186"/>
      <c r="CD27" s="22"/>
      <c r="CE27" s="22">
        <f>SUM(CE28:CE29)</f>
        <v>1285536</v>
      </c>
      <c r="CF27" s="22"/>
      <c r="CG27" s="22"/>
      <c r="CH27" s="186"/>
      <c r="CI27" s="22"/>
      <c r="CJ27" s="22">
        <f>SUM(CJ28:CJ29)</f>
        <v>0</v>
      </c>
      <c r="CK27" s="22"/>
      <c r="CL27" s="22"/>
      <c r="CM27" s="186"/>
      <c r="CN27" s="22"/>
      <c r="CO27" s="22">
        <f>SUM(CO28:CO29)</f>
        <v>12272</v>
      </c>
      <c r="CP27" s="22"/>
      <c r="CQ27" s="22"/>
      <c r="CR27" s="186"/>
      <c r="CS27" s="22"/>
      <c r="CT27" s="22">
        <f>SUM(CT28:CT29)</f>
        <v>0</v>
      </c>
      <c r="CU27" s="22"/>
      <c r="CV27" s="22"/>
      <c r="CW27" s="186"/>
      <c r="CX27" s="22"/>
      <c r="CY27" s="22">
        <f>SUM(CY28:CY29)</f>
        <v>1736919</v>
      </c>
      <c r="CZ27" s="22"/>
      <c r="DA27" s="22"/>
      <c r="DB27" s="186"/>
      <c r="DC27" s="22"/>
      <c r="DD27" s="22">
        <f>SUM(DD28:DD29)</f>
        <v>245929</v>
      </c>
      <c r="DE27" s="22"/>
      <c r="DF27" s="22"/>
      <c r="DG27" s="186"/>
      <c r="DH27" s="22"/>
      <c r="DI27" s="22">
        <f>SUM(DI28:DI29)</f>
        <v>2261765</v>
      </c>
      <c r="DJ27" s="22"/>
      <c r="DK27" s="22"/>
      <c r="DL27" s="186"/>
      <c r="DM27" s="22"/>
      <c r="DN27" s="22">
        <f>SUM(DN28:DN29)</f>
        <v>1146180</v>
      </c>
      <c r="DO27" s="22"/>
      <c r="DP27" s="22"/>
      <c r="DQ27" s="186"/>
      <c r="DR27" s="22"/>
      <c r="DS27" s="22">
        <f>SUM(DS28:DS29)</f>
        <v>1005353</v>
      </c>
      <c r="DT27" s="22"/>
      <c r="DU27" s="22"/>
      <c r="DV27" s="186"/>
      <c r="DW27" s="22"/>
      <c r="DX27" s="22">
        <f>SUM(DX28:DX29)</f>
        <v>41798</v>
      </c>
      <c r="DY27" s="22"/>
      <c r="DZ27" s="22"/>
      <c r="EA27" s="186"/>
      <c r="EB27" s="22"/>
      <c r="EC27" s="22">
        <f>SUM(EC28:EC29)</f>
        <v>360442</v>
      </c>
      <c r="ED27" s="22"/>
      <c r="EE27" s="22"/>
      <c r="EF27" s="186"/>
      <c r="EG27" s="22"/>
      <c r="EH27" s="22">
        <f>SUM(EH28:EH29)</f>
        <v>3730402</v>
      </c>
      <c r="EI27" s="22"/>
      <c r="EJ27" s="22"/>
      <c r="EK27" s="186"/>
      <c r="EL27" s="22"/>
      <c r="EM27" s="344">
        <f>SUM(EM28:EM29)</f>
        <v>11826596</v>
      </c>
      <c r="EN27" s="22"/>
      <c r="EO27" s="22"/>
      <c r="EP27" s="124"/>
    </row>
    <row r="28" spans="4:154" s="451" customFormat="1" x14ac:dyDescent="0.2">
      <c r="D28" s="114" t="s">
        <v>496</v>
      </c>
      <c r="E28" s="38"/>
      <c r="F28" s="212"/>
      <c r="G28" s="86"/>
      <c r="H28" s="285">
        <f>4082765.44774151+3285278.22071958-851811.666114092</f>
        <v>6516232.0023469981</v>
      </c>
      <c r="I28" s="285"/>
      <c r="J28" s="30"/>
      <c r="K28" s="30"/>
      <c r="L28" s="285"/>
      <c r="M28" s="285">
        <v>0</v>
      </c>
      <c r="N28" s="285"/>
      <c r="O28" s="30"/>
      <c r="P28" s="30"/>
      <c r="Q28" s="285"/>
      <c r="R28" s="285">
        <v>871744.25600000005</v>
      </c>
      <c r="S28" s="285"/>
      <c r="T28" s="30"/>
      <c r="U28" s="30"/>
      <c r="V28" s="285"/>
      <c r="W28" s="285">
        <v>0</v>
      </c>
      <c r="X28" s="285"/>
      <c r="Y28" s="30"/>
      <c r="Z28" s="30"/>
      <c r="AA28" s="285"/>
      <c r="AB28" s="285">
        <v>126224</v>
      </c>
      <c r="AC28" s="285"/>
      <c r="AD28" s="30"/>
      <c r="AE28" s="30"/>
      <c r="AF28" s="285"/>
      <c r="AG28" s="285">
        <v>0</v>
      </c>
      <c r="AH28" s="285"/>
      <c r="AI28" s="30"/>
      <c r="AJ28" s="30"/>
      <c r="AK28" s="285"/>
      <c r="AL28" s="285">
        <v>3836</v>
      </c>
      <c r="AM28" s="285"/>
      <c r="AN28" s="30"/>
      <c r="AO28" s="30"/>
      <c r="AP28" s="285"/>
      <c r="AQ28" s="285">
        <v>1831061</v>
      </c>
      <c r="AR28" s="285"/>
      <c r="AS28" s="30"/>
      <c r="AT28" s="30"/>
      <c r="AU28" s="285"/>
      <c r="AV28" s="285">
        <v>2236273</v>
      </c>
      <c r="AW28" s="285"/>
      <c r="AX28" s="30"/>
      <c r="AY28" s="30"/>
      <c r="AZ28" s="285"/>
      <c r="BA28" s="285">
        <v>1620990</v>
      </c>
      <c r="BB28" s="81"/>
      <c r="BC28" s="30"/>
      <c r="BD28" s="30"/>
      <c r="BE28" s="81"/>
      <c r="BF28" s="285">
        <v>89678</v>
      </c>
      <c r="BG28" s="285"/>
      <c r="BH28" s="30"/>
      <c r="BI28" s="30"/>
      <c r="BJ28" s="285"/>
      <c r="BK28" s="285">
        <v>1022787</v>
      </c>
      <c r="BL28" s="285"/>
      <c r="BM28" s="30"/>
      <c r="BN28" s="30"/>
      <c r="BO28" s="285"/>
      <c r="BP28" s="285">
        <v>6347564</v>
      </c>
      <c r="BQ28" s="285"/>
      <c r="BR28" s="30"/>
      <c r="BS28" s="30"/>
      <c r="BT28" s="285"/>
      <c r="BU28" s="285">
        <f>SUM(M28:BP28)</f>
        <v>14150157.256000001</v>
      </c>
      <c r="BV28" s="285"/>
      <c r="BW28" s="30"/>
      <c r="BX28" s="30"/>
      <c r="BY28" s="285"/>
      <c r="BZ28" s="285">
        <v>11826596</v>
      </c>
      <c r="CA28" s="285"/>
      <c r="CB28" s="30"/>
      <c r="CC28" s="30"/>
      <c r="CD28" s="285"/>
      <c r="CE28" s="285">
        <v>1285536</v>
      </c>
      <c r="CF28" s="285"/>
      <c r="CG28" s="30"/>
      <c r="CH28" s="30"/>
      <c r="CI28" s="285"/>
      <c r="CJ28" s="285">
        <v>0</v>
      </c>
      <c r="CK28" s="285"/>
      <c r="CL28" s="30"/>
      <c r="CM28" s="30"/>
      <c r="CN28" s="285"/>
      <c r="CO28" s="285">
        <v>12272</v>
      </c>
      <c r="CP28" s="285"/>
      <c r="CQ28" s="30"/>
      <c r="CR28" s="30"/>
      <c r="CS28" s="285"/>
      <c r="CT28" s="285">
        <v>0</v>
      </c>
      <c r="CU28" s="285"/>
      <c r="CV28" s="30"/>
      <c r="CW28" s="30"/>
      <c r="CX28" s="285"/>
      <c r="CY28" s="285">
        <v>1736919</v>
      </c>
      <c r="CZ28" s="285"/>
      <c r="DA28" s="30"/>
      <c r="DB28" s="30"/>
      <c r="DC28" s="285"/>
      <c r="DD28" s="285">
        <v>245929</v>
      </c>
      <c r="DE28" s="285"/>
      <c r="DF28" s="30"/>
      <c r="DG28" s="30"/>
      <c r="DH28" s="285"/>
      <c r="DI28" s="285">
        <v>2261765</v>
      </c>
      <c r="DJ28" s="285"/>
      <c r="DK28" s="30"/>
      <c r="DL28" s="30"/>
      <c r="DM28" s="285"/>
      <c r="DN28" s="285">
        <v>1146180</v>
      </c>
      <c r="DO28" s="285"/>
      <c r="DP28" s="30"/>
      <c r="DQ28" s="30"/>
      <c r="DR28" s="285"/>
      <c r="DS28" s="285">
        <v>1005353</v>
      </c>
      <c r="DT28" s="81"/>
      <c r="DU28" s="30"/>
      <c r="DV28" s="30"/>
      <c r="DW28" s="81"/>
      <c r="DX28" s="285">
        <v>41798</v>
      </c>
      <c r="DY28" s="285"/>
      <c r="DZ28" s="30"/>
      <c r="EA28" s="30"/>
      <c r="EB28" s="285"/>
      <c r="EC28" s="285">
        <v>360442</v>
      </c>
      <c r="ED28" s="285"/>
      <c r="EE28" s="30"/>
      <c r="EF28" s="30"/>
      <c r="EG28" s="285"/>
      <c r="EH28" s="285">
        <v>3730402</v>
      </c>
      <c r="EI28" s="285"/>
      <c r="EJ28" s="30"/>
      <c r="EK28" s="30"/>
      <c r="EL28" s="391"/>
      <c r="EM28" s="285">
        <f>SUM(CE28:EH28)</f>
        <v>11826596</v>
      </c>
      <c r="EN28" s="182"/>
      <c r="EO28" s="24"/>
      <c r="EP28" s="124"/>
    </row>
    <row r="29" spans="4:154" hidden="1" x14ac:dyDescent="0.2">
      <c r="D29" s="6" t="s">
        <v>497</v>
      </c>
      <c r="F29" s="82"/>
      <c r="G29" s="276"/>
      <c r="H29" s="369">
        <v>0</v>
      </c>
      <c r="I29" s="470"/>
      <c r="J29" s="33"/>
      <c r="K29" s="325"/>
      <c r="L29" s="269"/>
      <c r="M29" s="369">
        <v>0</v>
      </c>
      <c r="N29" s="470"/>
      <c r="O29" s="33"/>
      <c r="P29" s="325"/>
      <c r="Q29" s="269"/>
      <c r="R29" s="369">
        <v>0</v>
      </c>
      <c r="S29" s="470"/>
      <c r="T29" s="33"/>
      <c r="U29" s="325"/>
      <c r="V29" s="269"/>
      <c r="W29" s="369">
        <v>0</v>
      </c>
      <c r="X29" s="470"/>
      <c r="Y29" s="33"/>
      <c r="Z29" s="325"/>
      <c r="AA29" s="269"/>
      <c r="AB29" s="369">
        <v>0</v>
      </c>
      <c r="AC29" s="470"/>
      <c r="AD29" s="33"/>
      <c r="AE29" s="325"/>
      <c r="AF29" s="269"/>
      <c r="AG29" s="369">
        <v>0</v>
      </c>
      <c r="AH29" s="470"/>
      <c r="AI29" s="33"/>
      <c r="AJ29" s="325"/>
      <c r="AK29" s="269"/>
      <c r="AL29" s="369">
        <v>0</v>
      </c>
      <c r="AM29" s="470"/>
      <c r="AN29" s="33"/>
      <c r="AO29" s="325"/>
      <c r="AP29" s="269"/>
      <c r="AQ29" s="369">
        <v>0</v>
      </c>
      <c r="AR29" s="470"/>
      <c r="AS29" s="33"/>
      <c r="AT29" s="325"/>
      <c r="AU29" s="269"/>
      <c r="AV29" s="369">
        <v>0</v>
      </c>
      <c r="AW29" s="470"/>
      <c r="AX29" s="33"/>
      <c r="AY29" s="325"/>
      <c r="AZ29" s="269"/>
      <c r="BA29" s="369">
        <v>0</v>
      </c>
      <c r="BB29" s="470"/>
      <c r="BC29" s="33"/>
      <c r="BD29" s="325"/>
      <c r="BE29" s="269"/>
      <c r="BF29" s="369">
        <v>0</v>
      </c>
      <c r="BG29" s="470"/>
      <c r="BH29" s="33"/>
      <c r="BI29" s="325"/>
      <c r="BJ29" s="269"/>
      <c r="BK29" s="369">
        <v>0</v>
      </c>
      <c r="BL29" s="470"/>
      <c r="BM29" s="33"/>
      <c r="BN29" s="325"/>
      <c r="BO29" s="269"/>
      <c r="BP29" s="369">
        <v>0</v>
      </c>
      <c r="BQ29" s="470"/>
      <c r="BR29" s="33"/>
      <c r="BS29" s="325"/>
      <c r="BT29" s="269"/>
      <c r="BU29" s="369">
        <f>SUM(M29:BP29)</f>
        <v>0</v>
      </c>
      <c r="BV29" s="470"/>
      <c r="BW29" s="33"/>
      <c r="BX29" s="325"/>
      <c r="BY29" s="269"/>
      <c r="BZ29" s="369">
        <v>0</v>
      </c>
      <c r="CA29" s="470"/>
      <c r="CB29" s="33"/>
      <c r="CC29" s="325"/>
      <c r="CD29" s="269"/>
      <c r="CE29" s="369">
        <v>0</v>
      </c>
      <c r="CF29" s="470"/>
      <c r="CG29" s="33"/>
      <c r="CH29" s="325"/>
      <c r="CI29" s="269"/>
      <c r="CJ29" s="369">
        <v>0</v>
      </c>
      <c r="CK29" s="470"/>
      <c r="CL29" s="33"/>
      <c r="CM29" s="325"/>
      <c r="CN29" s="269"/>
      <c r="CO29" s="369">
        <v>0</v>
      </c>
      <c r="CP29" s="470"/>
      <c r="CQ29" s="33"/>
      <c r="CR29" s="325"/>
      <c r="CS29" s="269"/>
      <c r="CT29" s="369">
        <v>0</v>
      </c>
      <c r="CU29" s="470"/>
      <c r="CV29" s="33"/>
      <c r="CW29" s="325"/>
      <c r="CX29" s="269"/>
      <c r="CY29" s="369">
        <v>0</v>
      </c>
      <c r="CZ29" s="470"/>
      <c r="DA29" s="33"/>
      <c r="DB29" s="325"/>
      <c r="DC29" s="269"/>
      <c r="DD29" s="369">
        <v>0</v>
      </c>
      <c r="DE29" s="470"/>
      <c r="DF29" s="33"/>
      <c r="DG29" s="325"/>
      <c r="DH29" s="269"/>
      <c r="DI29" s="369">
        <v>0</v>
      </c>
      <c r="DJ29" s="470"/>
      <c r="DK29" s="33"/>
      <c r="DL29" s="325"/>
      <c r="DM29" s="269"/>
      <c r="DN29" s="369">
        <v>0</v>
      </c>
      <c r="DO29" s="470"/>
      <c r="DP29" s="33"/>
      <c r="DQ29" s="325"/>
      <c r="DR29" s="269"/>
      <c r="DS29" s="369">
        <v>0</v>
      </c>
      <c r="DT29" s="470"/>
      <c r="DU29" s="33"/>
      <c r="DV29" s="325"/>
      <c r="DW29" s="269"/>
      <c r="DX29" s="369">
        <v>0</v>
      </c>
      <c r="DY29" s="470"/>
      <c r="DZ29" s="33"/>
      <c r="EA29" s="325"/>
      <c r="EB29" s="269"/>
      <c r="EC29" s="369">
        <v>0</v>
      </c>
      <c r="ED29" s="470"/>
      <c r="EE29" s="33"/>
      <c r="EF29" s="325"/>
      <c r="EG29" s="269"/>
      <c r="EH29" s="369">
        <v>0</v>
      </c>
      <c r="EI29" s="470"/>
      <c r="EJ29" s="33"/>
      <c r="EK29" s="325"/>
      <c r="EL29" s="269"/>
      <c r="EM29" s="338">
        <f>SUM(CE29:DD29)</f>
        <v>0</v>
      </c>
      <c r="EN29" s="470"/>
      <c r="EO29" s="33"/>
      <c r="EP29" s="73"/>
      <c r="ER29" s="451"/>
    </row>
    <row r="30" spans="4:154" x14ac:dyDescent="0.2">
      <c r="D30" s="244"/>
      <c r="F30" s="82"/>
      <c r="K30" s="82"/>
      <c r="P30" s="82"/>
      <c r="U30" s="82"/>
      <c r="Z30" s="82"/>
      <c r="AE30" s="82"/>
      <c r="AJ30" s="82"/>
      <c r="AO30" s="82"/>
      <c r="AT30" s="82"/>
      <c r="AY30" s="82"/>
      <c r="BD30" s="82"/>
      <c r="BI30" s="82"/>
      <c r="BN30" s="82"/>
      <c r="BS30" s="82"/>
      <c r="BW30" s="33"/>
      <c r="BX30" s="325"/>
      <c r="BY30" s="33"/>
      <c r="CC30" s="82"/>
      <c r="CH30" s="82"/>
      <c r="CM30" s="82"/>
      <c r="CR30" s="82"/>
      <c r="CW30" s="82"/>
      <c r="DB30" s="82"/>
      <c r="DG30" s="82"/>
      <c r="DL30" s="82"/>
      <c r="DQ30" s="82"/>
      <c r="DV30" s="82"/>
      <c r="EA30" s="82"/>
      <c r="EF30" s="82"/>
      <c r="EK30" s="82"/>
      <c r="EM30" s="457"/>
      <c r="EN30" s="33"/>
      <c r="EO30" s="33"/>
      <c r="EP30" s="73"/>
      <c r="ER30" s="451"/>
    </row>
    <row r="31" spans="4:154" x14ac:dyDescent="0.2">
      <c r="D31" s="244"/>
      <c r="F31" s="82"/>
      <c r="H31" s="93"/>
      <c r="I31" s="93"/>
      <c r="J31" s="93"/>
      <c r="K31" s="122"/>
      <c r="L31" s="93"/>
      <c r="M31" s="93"/>
      <c r="N31" s="93"/>
      <c r="O31" s="93"/>
      <c r="P31" s="122"/>
      <c r="Q31" s="93"/>
      <c r="R31" s="93"/>
      <c r="S31" s="93"/>
      <c r="T31" s="93"/>
      <c r="U31" s="122"/>
      <c r="V31" s="93"/>
      <c r="W31" s="93"/>
      <c r="X31" s="93"/>
      <c r="Y31" s="93"/>
      <c r="Z31" s="122"/>
      <c r="AA31" s="93"/>
      <c r="AB31" s="93"/>
      <c r="AC31" s="93"/>
      <c r="AD31" s="93"/>
      <c r="AE31" s="122"/>
      <c r="AF31" s="93"/>
      <c r="AG31" s="93"/>
      <c r="AH31" s="93"/>
      <c r="AI31" s="93"/>
      <c r="AJ31" s="122"/>
      <c r="AK31" s="93"/>
      <c r="AL31" s="93"/>
      <c r="AM31" s="93"/>
      <c r="AN31" s="93"/>
      <c r="AO31" s="122"/>
      <c r="AP31" s="93"/>
      <c r="AQ31" s="93"/>
      <c r="AR31" s="93"/>
      <c r="AS31" s="93"/>
      <c r="AT31" s="122"/>
      <c r="AU31" s="93"/>
      <c r="AV31" s="93"/>
      <c r="AW31" s="93"/>
      <c r="AX31" s="93"/>
      <c r="AY31" s="122"/>
      <c r="AZ31" s="93"/>
      <c r="BA31" s="93"/>
      <c r="BB31" s="93"/>
      <c r="BC31" s="93"/>
      <c r="BD31" s="122"/>
      <c r="BE31" s="93"/>
      <c r="BF31" s="93"/>
      <c r="BG31" s="93"/>
      <c r="BH31" s="93"/>
      <c r="BI31" s="122"/>
      <c r="BJ31" s="93"/>
      <c r="BK31" s="93"/>
      <c r="BL31" s="93"/>
      <c r="BM31" s="93"/>
      <c r="BN31" s="122"/>
      <c r="BO31" s="93"/>
      <c r="BP31" s="93"/>
      <c r="BQ31" s="93"/>
      <c r="BR31" s="93"/>
      <c r="BS31" s="122"/>
      <c r="BT31" s="93"/>
      <c r="BU31" s="93"/>
      <c r="BV31" s="93"/>
      <c r="BW31" s="93"/>
      <c r="BX31" s="122"/>
      <c r="BY31" s="93"/>
      <c r="BZ31" s="93"/>
      <c r="CA31" s="93"/>
      <c r="CB31" s="93"/>
      <c r="CC31" s="122"/>
      <c r="CD31" s="93"/>
      <c r="CE31" s="93"/>
      <c r="CF31" s="93"/>
      <c r="CG31" s="93"/>
      <c r="CH31" s="122"/>
      <c r="CI31" s="93"/>
      <c r="CJ31" s="93"/>
      <c r="CK31" s="93"/>
      <c r="CL31" s="93"/>
      <c r="CM31" s="122"/>
      <c r="CN31" s="93"/>
      <c r="CO31" s="93"/>
      <c r="CP31" s="93"/>
      <c r="CQ31" s="93"/>
      <c r="CR31" s="122"/>
      <c r="CS31" s="93"/>
      <c r="CT31" s="93"/>
      <c r="CU31" s="93"/>
      <c r="CV31" s="93"/>
      <c r="CW31" s="122"/>
      <c r="CX31" s="93"/>
      <c r="CY31" s="93"/>
      <c r="CZ31" s="93"/>
      <c r="DA31" s="93"/>
      <c r="DB31" s="122"/>
      <c r="DC31" s="93"/>
      <c r="DD31" s="93"/>
      <c r="DE31" s="93"/>
      <c r="DF31" s="93"/>
      <c r="DG31" s="122"/>
      <c r="DH31" s="93"/>
      <c r="DI31" s="93"/>
      <c r="DJ31" s="93"/>
      <c r="DK31" s="93"/>
      <c r="DL31" s="122"/>
      <c r="DM31" s="93"/>
      <c r="DN31" s="93"/>
      <c r="DO31" s="93"/>
      <c r="DP31" s="93"/>
      <c r="DQ31" s="122"/>
      <c r="DR31" s="93"/>
      <c r="DS31" s="93"/>
      <c r="DT31" s="93"/>
      <c r="DU31" s="93"/>
      <c r="DV31" s="122"/>
      <c r="DW31" s="93"/>
      <c r="DX31" s="93"/>
      <c r="DY31" s="93"/>
      <c r="DZ31" s="93"/>
      <c r="EA31" s="122"/>
      <c r="EB31" s="93"/>
      <c r="EC31" s="93"/>
      <c r="ED31" s="93"/>
      <c r="EE31" s="93"/>
      <c r="EF31" s="122"/>
      <c r="EG31" s="93"/>
      <c r="EH31" s="93"/>
      <c r="EI31" s="93"/>
      <c r="EJ31" s="93"/>
      <c r="EK31" s="122"/>
      <c r="EL31" s="93"/>
      <c r="EM31" s="93"/>
      <c r="EN31" s="93"/>
      <c r="EO31" s="93"/>
      <c r="EP31" s="366"/>
      <c r="ER31" s="451"/>
      <c r="EX31" s="440"/>
    </row>
    <row r="32" spans="4:154" s="451" customFormat="1" x14ac:dyDescent="0.2">
      <c r="D32" s="484" t="s">
        <v>498</v>
      </c>
      <c r="E32" s="402" t="s">
        <v>103</v>
      </c>
      <c r="F32" s="82"/>
      <c r="G32" s="22"/>
      <c r="H32" s="283">
        <f>SUM(H33:H34)</f>
        <v>0</v>
      </c>
      <c r="I32" s="22"/>
      <c r="J32" s="22"/>
      <c r="K32" s="186"/>
      <c r="L32" s="22"/>
      <c r="M32" s="22">
        <f>SUM(M33:M34)</f>
        <v>0</v>
      </c>
      <c r="N32" s="22"/>
      <c r="O32" s="22"/>
      <c r="P32" s="186"/>
      <c r="Q32" s="22"/>
      <c r="R32" s="22">
        <f>SUM(R33:R34)</f>
        <v>0</v>
      </c>
      <c r="S32" s="22"/>
      <c r="T32" s="22"/>
      <c r="U32" s="186"/>
      <c r="V32" s="22"/>
      <c r="W32" s="22">
        <f>SUM(W33:W34)</f>
        <v>0</v>
      </c>
      <c r="X32" s="22"/>
      <c r="Y32" s="22"/>
      <c r="Z32" s="186"/>
      <c r="AA32" s="22"/>
      <c r="AB32" s="22">
        <f>SUM(AB33:AB34)</f>
        <v>-22185</v>
      </c>
      <c r="AC32" s="22"/>
      <c r="AD32" s="22"/>
      <c r="AE32" s="186"/>
      <c r="AF32" s="22"/>
      <c r="AG32" s="22">
        <f>SUM(AG33:AG34)</f>
        <v>0</v>
      </c>
      <c r="AH32" s="22"/>
      <c r="AI32" s="22"/>
      <c r="AJ32" s="186"/>
      <c r="AK32" s="22"/>
      <c r="AL32" s="22">
        <f>SUM(AL33:AL34)</f>
        <v>0</v>
      </c>
      <c r="AM32" s="22"/>
      <c r="AN32" s="22"/>
      <c r="AO32" s="186"/>
      <c r="AP32" s="22"/>
      <c r="AQ32" s="22">
        <f>SUM(AQ33:AQ34)</f>
        <v>0</v>
      </c>
      <c r="AR32" s="22"/>
      <c r="AS32" s="22"/>
      <c r="AT32" s="186"/>
      <c r="AU32" s="22"/>
      <c r="AV32" s="22">
        <f>SUM(AV33:AV34)</f>
        <v>0</v>
      </c>
      <c r="AW32" s="22"/>
      <c r="AX32" s="22"/>
      <c r="AY32" s="186"/>
      <c r="AZ32" s="22"/>
      <c r="BA32" s="22">
        <f>SUM(BA33:BA34)</f>
        <v>0</v>
      </c>
      <c r="BB32" s="22"/>
      <c r="BC32" s="22"/>
      <c r="BD32" s="186"/>
      <c r="BE32" s="22"/>
      <c r="BF32" s="22">
        <f>SUM(BF33:BF34)</f>
        <v>0</v>
      </c>
      <c r="BG32" s="22"/>
      <c r="BH32" s="22"/>
      <c r="BI32" s="186"/>
      <c r="BJ32" s="22"/>
      <c r="BK32" s="22">
        <f>SUM(BK33:BK34)</f>
        <v>0</v>
      </c>
      <c r="BL32" s="22"/>
      <c r="BM32" s="22"/>
      <c r="BN32" s="186"/>
      <c r="BO32" s="22"/>
      <c r="BP32" s="22">
        <f>SUM(BP33:BP34)</f>
        <v>-510</v>
      </c>
      <c r="BQ32" s="283"/>
      <c r="BR32" s="283"/>
      <c r="BS32" s="83"/>
      <c r="BT32" s="22"/>
      <c r="BU32" s="283">
        <f>SUM(BU33:BU34)</f>
        <v>-22695</v>
      </c>
      <c r="BV32" s="22"/>
      <c r="BW32" s="283"/>
      <c r="BX32" s="83"/>
      <c r="BY32" s="22"/>
      <c r="BZ32" s="283">
        <f>SUM(BZ33:BZ34)</f>
        <v>-372703</v>
      </c>
      <c r="CA32" s="22"/>
      <c r="CB32" s="22"/>
      <c r="CC32" s="186"/>
      <c r="CD32" s="22"/>
      <c r="CE32" s="22">
        <f>SUM(CE33:CE34)</f>
        <v>0</v>
      </c>
      <c r="CF32" s="22"/>
      <c r="CG32" s="22"/>
      <c r="CH32" s="186"/>
      <c r="CI32" s="22"/>
      <c r="CJ32" s="22">
        <f>SUM(CJ33:CJ34)</f>
        <v>0</v>
      </c>
      <c r="CK32" s="22"/>
      <c r="CL32" s="22"/>
      <c r="CM32" s="186"/>
      <c r="CN32" s="22"/>
      <c r="CO32" s="22">
        <f>SUM(CO33:CO34)</f>
        <v>0</v>
      </c>
      <c r="CP32" s="22"/>
      <c r="CQ32" s="22"/>
      <c r="CR32" s="186"/>
      <c r="CS32" s="22"/>
      <c r="CT32" s="22">
        <f>SUM(CT33:CT34)</f>
        <v>0</v>
      </c>
      <c r="CU32" s="22"/>
      <c r="CV32" s="22"/>
      <c r="CW32" s="186"/>
      <c r="CX32" s="22"/>
      <c r="CY32" s="22">
        <f>SUM(CY33:CY34)</f>
        <v>-98</v>
      </c>
      <c r="CZ32" s="22"/>
      <c r="DA32" s="22"/>
      <c r="DB32" s="186"/>
      <c r="DC32" s="22"/>
      <c r="DD32" s="22">
        <f>SUM(DD33:DD34)</f>
        <v>0</v>
      </c>
      <c r="DE32" s="22"/>
      <c r="DF32" s="22"/>
      <c r="DG32" s="186"/>
      <c r="DH32" s="22"/>
      <c r="DI32" s="22">
        <f>SUM(DI33:DI34)</f>
        <v>-372528</v>
      </c>
      <c r="DJ32" s="22"/>
      <c r="DK32" s="22"/>
      <c r="DL32" s="186"/>
      <c r="DM32" s="22"/>
      <c r="DN32" s="22">
        <f>SUM(DN33:DN34)</f>
        <v>0</v>
      </c>
      <c r="DO32" s="22"/>
      <c r="DP32" s="22"/>
      <c r="DQ32" s="186"/>
      <c r="DR32" s="22"/>
      <c r="DS32" s="22">
        <f>SUM(DS33:DS34)</f>
        <v>0</v>
      </c>
      <c r="DT32" s="22"/>
      <c r="DU32" s="22"/>
      <c r="DV32" s="186"/>
      <c r="DW32" s="22"/>
      <c r="DX32" s="22">
        <f>SUM(DX33:DX34)</f>
        <v>0</v>
      </c>
      <c r="DY32" s="22"/>
      <c r="DZ32" s="22"/>
      <c r="EA32" s="186"/>
      <c r="EB32" s="22"/>
      <c r="EC32" s="22">
        <f>SUM(EC33:EC34)</f>
        <v>0</v>
      </c>
      <c r="ED32" s="22"/>
      <c r="EE32" s="22"/>
      <c r="EF32" s="186"/>
      <c r="EG32" s="22"/>
      <c r="EH32" s="22">
        <f>SUM(EH33:EH34)</f>
        <v>-77</v>
      </c>
      <c r="EI32" s="283"/>
      <c r="EJ32" s="283"/>
      <c r="EK32" s="83"/>
      <c r="EL32" s="22"/>
      <c r="EM32" s="184">
        <f>SUM(EM33:EM34)</f>
        <v>-372703</v>
      </c>
      <c r="EN32" s="22"/>
      <c r="EO32" s="283"/>
      <c r="EP32" s="410"/>
    </row>
    <row r="33" spans="4:148" s="451" customFormat="1" x14ac:dyDescent="0.2">
      <c r="D33" s="114" t="s">
        <v>499</v>
      </c>
      <c r="E33" s="38"/>
      <c r="F33" s="212"/>
      <c r="G33" s="86"/>
      <c r="H33" s="285">
        <v>0</v>
      </c>
      <c r="I33" s="285"/>
      <c r="J33" s="30"/>
      <c r="K33" s="30"/>
      <c r="L33" s="285"/>
      <c r="M33" s="285">
        <v>0</v>
      </c>
      <c r="N33" s="285"/>
      <c r="O33" s="30"/>
      <c r="P33" s="30"/>
      <c r="Q33" s="285"/>
      <c r="R33" s="285">
        <v>0</v>
      </c>
      <c r="S33" s="285"/>
      <c r="T33" s="30"/>
      <c r="U33" s="30"/>
      <c r="V33" s="285"/>
      <c r="W33" s="285">
        <v>0</v>
      </c>
      <c r="X33" s="285"/>
      <c r="Y33" s="30"/>
      <c r="Z33" s="30"/>
      <c r="AA33" s="285"/>
      <c r="AB33" s="285">
        <v>-22185</v>
      </c>
      <c r="AC33" s="285"/>
      <c r="AD33" s="30"/>
      <c r="AE33" s="30"/>
      <c r="AF33" s="285"/>
      <c r="AG33" s="285">
        <v>0</v>
      </c>
      <c r="AH33" s="285"/>
      <c r="AI33" s="30"/>
      <c r="AJ33" s="30"/>
      <c r="AK33" s="285"/>
      <c r="AL33" s="285">
        <v>0</v>
      </c>
      <c r="AM33" s="285"/>
      <c r="AN33" s="30"/>
      <c r="AO33" s="30"/>
      <c r="AP33" s="285"/>
      <c r="AQ33" s="285">
        <v>0</v>
      </c>
      <c r="AR33" s="285"/>
      <c r="AS33" s="30"/>
      <c r="AT33" s="30"/>
      <c r="AU33" s="285"/>
      <c r="AV33" s="285">
        <v>0</v>
      </c>
      <c r="AW33" s="285"/>
      <c r="AX33" s="30"/>
      <c r="AY33" s="30"/>
      <c r="AZ33" s="285"/>
      <c r="BA33" s="285">
        <v>0</v>
      </c>
      <c r="BB33" s="81"/>
      <c r="BC33" s="30"/>
      <c r="BD33" s="30"/>
      <c r="BE33" s="81"/>
      <c r="BF33" s="285">
        <v>0</v>
      </c>
      <c r="BG33" s="285"/>
      <c r="BH33" s="30"/>
      <c r="BI33" s="30"/>
      <c r="BJ33" s="285"/>
      <c r="BK33" s="285">
        <v>0</v>
      </c>
      <c r="BL33" s="285"/>
      <c r="BM33" s="30"/>
      <c r="BN33" s="30"/>
      <c r="BO33" s="285"/>
      <c r="BP33" s="285">
        <v>-510</v>
      </c>
      <c r="BQ33" s="285"/>
      <c r="BR33" s="30"/>
      <c r="BS33" s="30"/>
      <c r="BT33" s="285"/>
      <c r="BU33" s="285">
        <f>SUM(M33:BP33)</f>
        <v>-22695</v>
      </c>
      <c r="BV33" s="285"/>
      <c r="BW33" s="30"/>
      <c r="BX33" s="30"/>
      <c r="BY33" s="285"/>
      <c r="BZ33" s="285">
        <v>-372703</v>
      </c>
      <c r="CA33" s="285"/>
      <c r="CB33" s="30"/>
      <c r="CC33" s="30"/>
      <c r="CD33" s="285"/>
      <c r="CE33" s="285">
        <v>0</v>
      </c>
      <c r="CF33" s="285"/>
      <c r="CG33" s="30"/>
      <c r="CH33" s="30"/>
      <c r="CI33" s="285"/>
      <c r="CJ33" s="285">
        <v>0</v>
      </c>
      <c r="CK33" s="285"/>
      <c r="CL33" s="30"/>
      <c r="CM33" s="30"/>
      <c r="CN33" s="285"/>
      <c r="CO33" s="285">
        <v>0</v>
      </c>
      <c r="CP33" s="285"/>
      <c r="CQ33" s="30"/>
      <c r="CR33" s="30"/>
      <c r="CS33" s="285"/>
      <c r="CT33" s="285">
        <v>0</v>
      </c>
      <c r="CU33" s="285"/>
      <c r="CV33" s="30"/>
      <c r="CW33" s="30"/>
      <c r="CX33" s="285"/>
      <c r="CY33" s="285">
        <v>-98</v>
      </c>
      <c r="CZ33" s="285"/>
      <c r="DA33" s="30"/>
      <c r="DB33" s="30"/>
      <c r="DC33" s="285"/>
      <c r="DD33" s="285">
        <v>0</v>
      </c>
      <c r="DE33" s="285"/>
      <c r="DF33" s="30"/>
      <c r="DG33" s="30"/>
      <c r="DH33" s="285"/>
      <c r="DI33" s="285">
        <v>-372528</v>
      </c>
      <c r="DJ33" s="285"/>
      <c r="DK33" s="30"/>
      <c r="DL33" s="30"/>
      <c r="DM33" s="285"/>
      <c r="DN33" s="285">
        <v>0</v>
      </c>
      <c r="DO33" s="285"/>
      <c r="DP33" s="30"/>
      <c r="DQ33" s="30"/>
      <c r="DR33" s="285"/>
      <c r="DS33" s="285">
        <v>0</v>
      </c>
      <c r="DT33" s="81"/>
      <c r="DU33" s="30"/>
      <c r="DV33" s="30"/>
      <c r="DW33" s="81"/>
      <c r="DX33" s="285">
        <v>0</v>
      </c>
      <c r="DY33" s="285"/>
      <c r="DZ33" s="30"/>
      <c r="EA33" s="30"/>
      <c r="EB33" s="285"/>
      <c r="EC33" s="285">
        <v>0</v>
      </c>
      <c r="ED33" s="285"/>
      <c r="EE33" s="30"/>
      <c r="EF33" s="30"/>
      <c r="EG33" s="285"/>
      <c r="EH33" s="285">
        <v>-77</v>
      </c>
      <c r="EI33" s="285"/>
      <c r="EJ33" s="30"/>
      <c r="EK33" s="30"/>
      <c r="EL33" s="391"/>
      <c r="EM33" s="285">
        <f>SUM(CE33:EH33)</f>
        <v>-372703</v>
      </c>
      <c r="EN33" s="182"/>
      <c r="EO33" s="24"/>
      <c r="EP33" s="124"/>
    </row>
    <row r="34" spans="4:148" hidden="1" x14ac:dyDescent="0.2">
      <c r="D34" s="6" t="s">
        <v>497</v>
      </c>
      <c r="F34" s="82"/>
      <c r="G34" s="276"/>
      <c r="H34" s="369">
        <v>0</v>
      </c>
      <c r="I34" s="470"/>
      <c r="J34" s="33"/>
      <c r="K34" s="325"/>
      <c r="L34" s="276"/>
      <c r="M34" s="369">
        <v>0</v>
      </c>
      <c r="N34" s="470"/>
      <c r="O34" s="33"/>
      <c r="P34" s="325"/>
      <c r="Q34" s="269"/>
      <c r="R34" s="369">
        <v>0</v>
      </c>
      <c r="S34" s="470"/>
      <c r="T34" s="33"/>
      <c r="U34" s="325"/>
      <c r="V34" s="269"/>
      <c r="W34" s="369">
        <v>0</v>
      </c>
      <c r="X34" s="470"/>
      <c r="Y34" s="33"/>
      <c r="Z34" s="325"/>
      <c r="AA34" s="269"/>
      <c r="AB34" s="369">
        <v>0</v>
      </c>
      <c r="AC34" s="470"/>
      <c r="AD34" s="33"/>
      <c r="AE34" s="325"/>
      <c r="AF34" s="269"/>
      <c r="AG34" s="369">
        <v>0</v>
      </c>
      <c r="AH34" s="470"/>
      <c r="AI34" s="33"/>
      <c r="AJ34" s="325"/>
      <c r="AK34" s="269"/>
      <c r="AL34" s="369">
        <v>0</v>
      </c>
      <c r="AM34" s="470"/>
      <c r="AN34" s="33"/>
      <c r="AO34" s="325"/>
      <c r="AP34" s="269"/>
      <c r="AQ34" s="369">
        <v>0</v>
      </c>
      <c r="AR34" s="470"/>
      <c r="AS34" s="33"/>
      <c r="AT34" s="325"/>
      <c r="AU34" s="269"/>
      <c r="AV34" s="369">
        <v>0</v>
      </c>
      <c r="AW34" s="470"/>
      <c r="AX34" s="33"/>
      <c r="AY34" s="325"/>
      <c r="AZ34" s="269"/>
      <c r="BA34" s="369">
        <v>0</v>
      </c>
      <c r="BB34" s="470"/>
      <c r="BC34" s="33"/>
      <c r="BD34" s="325"/>
      <c r="BE34" s="269"/>
      <c r="BF34" s="369">
        <v>0</v>
      </c>
      <c r="BG34" s="470"/>
      <c r="BH34" s="33"/>
      <c r="BI34" s="325"/>
      <c r="BJ34" s="269"/>
      <c r="BK34" s="369">
        <v>0</v>
      </c>
      <c r="BL34" s="470"/>
      <c r="BM34" s="33"/>
      <c r="BN34" s="325"/>
      <c r="BO34" s="269"/>
      <c r="BP34" s="369">
        <v>0</v>
      </c>
      <c r="BQ34" s="470"/>
      <c r="BR34" s="93"/>
      <c r="BS34" s="122"/>
      <c r="BT34" s="276"/>
      <c r="BU34" s="369">
        <f>SUM(M34:BP34)</f>
        <v>0</v>
      </c>
      <c r="BV34" s="470"/>
      <c r="BW34" s="93"/>
      <c r="BX34" s="122"/>
      <c r="BY34" s="276"/>
      <c r="BZ34" s="369">
        <v>0</v>
      </c>
      <c r="CA34" s="470"/>
      <c r="CB34" s="33"/>
      <c r="CC34" s="325"/>
      <c r="CD34" s="276"/>
      <c r="CE34" s="369">
        <v>0</v>
      </c>
      <c r="CF34" s="470"/>
      <c r="CG34" s="33"/>
      <c r="CH34" s="325"/>
      <c r="CI34" s="269"/>
      <c r="CJ34" s="369">
        <v>0</v>
      </c>
      <c r="CK34" s="470"/>
      <c r="CL34" s="33"/>
      <c r="CM34" s="325"/>
      <c r="CN34" s="269"/>
      <c r="CO34" s="369">
        <v>0</v>
      </c>
      <c r="CP34" s="470"/>
      <c r="CQ34" s="33"/>
      <c r="CR34" s="325"/>
      <c r="CS34" s="269"/>
      <c r="CT34" s="369">
        <v>0</v>
      </c>
      <c r="CU34" s="470"/>
      <c r="CV34" s="33"/>
      <c r="CW34" s="325"/>
      <c r="CX34" s="269"/>
      <c r="CY34" s="369">
        <v>0</v>
      </c>
      <c r="CZ34" s="470"/>
      <c r="DA34" s="33"/>
      <c r="DB34" s="325"/>
      <c r="DC34" s="269"/>
      <c r="DD34" s="369">
        <v>0</v>
      </c>
      <c r="DE34" s="470"/>
      <c r="DF34" s="33"/>
      <c r="DG34" s="325"/>
      <c r="DH34" s="269"/>
      <c r="DI34" s="369">
        <v>0</v>
      </c>
      <c r="DJ34" s="470"/>
      <c r="DK34" s="33"/>
      <c r="DL34" s="325"/>
      <c r="DM34" s="269"/>
      <c r="DN34" s="369">
        <v>0</v>
      </c>
      <c r="DO34" s="470"/>
      <c r="DP34" s="33"/>
      <c r="DQ34" s="325"/>
      <c r="DR34" s="269"/>
      <c r="DS34" s="369">
        <v>0</v>
      </c>
      <c r="DT34" s="470"/>
      <c r="DU34" s="33"/>
      <c r="DV34" s="325"/>
      <c r="DW34" s="269"/>
      <c r="DX34" s="369">
        <v>0</v>
      </c>
      <c r="DY34" s="470"/>
      <c r="DZ34" s="33"/>
      <c r="EA34" s="325"/>
      <c r="EB34" s="269"/>
      <c r="EC34" s="369">
        <v>0</v>
      </c>
      <c r="ED34" s="470"/>
      <c r="EE34" s="33"/>
      <c r="EF34" s="325"/>
      <c r="EG34" s="269"/>
      <c r="EH34" s="369">
        <v>0</v>
      </c>
      <c r="EI34" s="470"/>
      <c r="EJ34" s="93"/>
      <c r="EK34" s="122"/>
      <c r="EL34" s="276"/>
      <c r="EM34" s="338">
        <f>SUM(CE34:DD34)</f>
        <v>0</v>
      </c>
      <c r="EN34" s="470"/>
      <c r="EO34" s="93"/>
      <c r="EP34" s="366"/>
      <c r="ER34" s="451"/>
    </row>
    <row r="35" spans="4:148" x14ac:dyDescent="0.2">
      <c r="D35" s="244"/>
      <c r="F35" s="82"/>
      <c r="H35" s="33"/>
      <c r="I35" s="33"/>
      <c r="J35" s="33"/>
      <c r="K35" s="325"/>
      <c r="L35" s="33"/>
      <c r="M35" s="33"/>
      <c r="N35" s="33"/>
      <c r="O35" s="33"/>
      <c r="P35" s="325"/>
      <c r="Q35" s="33"/>
      <c r="R35" s="33"/>
      <c r="S35" s="33"/>
      <c r="T35" s="33"/>
      <c r="U35" s="325"/>
      <c r="V35" s="33"/>
      <c r="W35" s="33"/>
      <c r="X35" s="33"/>
      <c r="Y35" s="33"/>
      <c r="Z35" s="325"/>
      <c r="AA35" s="33"/>
      <c r="AB35" s="33"/>
      <c r="AC35" s="33"/>
      <c r="AD35" s="33"/>
      <c r="AE35" s="325"/>
      <c r="AF35" s="33"/>
      <c r="AG35" s="33"/>
      <c r="AH35" s="33"/>
      <c r="AI35" s="33"/>
      <c r="AJ35" s="325"/>
      <c r="AK35" s="33"/>
      <c r="AL35" s="33"/>
      <c r="AM35" s="33"/>
      <c r="AN35" s="33"/>
      <c r="AO35" s="325"/>
      <c r="AP35" s="33"/>
      <c r="AQ35" s="33"/>
      <c r="AR35" s="33"/>
      <c r="AS35" s="33"/>
      <c r="AT35" s="325"/>
      <c r="AU35" s="33"/>
      <c r="AV35" s="33"/>
      <c r="AW35" s="446"/>
      <c r="AX35" s="33"/>
      <c r="AY35" s="325"/>
      <c r="AZ35" s="33"/>
      <c r="BA35" s="33"/>
      <c r="BB35" s="33"/>
      <c r="BC35" s="33"/>
      <c r="BD35" s="325"/>
      <c r="BE35" s="33"/>
      <c r="BF35" s="33"/>
      <c r="BG35" s="33"/>
      <c r="BH35" s="33"/>
      <c r="BI35" s="325"/>
      <c r="BJ35" s="33"/>
      <c r="BK35" s="33"/>
      <c r="BL35" s="33"/>
      <c r="BM35" s="33"/>
      <c r="BN35" s="325"/>
      <c r="BO35" s="446"/>
      <c r="BP35" s="33"/>
      <c r="BQ35" s="446"/>
      <c r="BR35" s="33"/>
      <c r="BS35" s="325"/>
      <c r="BT35" s="33"/>
      <c r="BU35" s="33"/>
      <c r="BV35" s="33"/>
      <c r="BW35" s="33"/>
      <c r="BX35" s="325"/>
      <c r="BY35" s="33"/>
      <c r="BZ35" s="33"/>
      <c r="CA35" s="33"/>
      <c r="CB35" s="33"/>
      <c r="CC35" s="325"/>
      <c r="CD35" s="33"/>
      <c r="CE35" s="33"/>
      <c r="CF35" s="33"/>
      <c r="CG35" s="33"/>
      <c r="CH35" s="325"/>
      <c r="CI35" s="33"/>
      <c r="CJ35" s="33"/>
      <c r="CK35" s="33"/>
      <c r="CL35" s="33"/>
      <c r="CM35" s="325"/>
      <c r="CN35" s="33"/>
      <c r="CO35" s="33"/>
      <c r="CP35" s="33"/>
      <c r="CQ35" s="33"/>
      <c r="CR35" s="325"/>
      <c r="CS35" s="33"/>
      <c r="CT35" s="33"/>
      <c r="CU35" s="33"/>
      <c r="CV35" s="33"/>
      <c r="CW35" s="325"/>
      <c r="CX35" s="33"/>
      <c r="CY35" s="33"/>
      <c r="CZ35" s="33"/>
      <c r="DA35" s="33"/>
      <c r="DB35" s="325"/>
      <c r="DC35" s="33"/>
      <c r="DD35" s="33"/>
      <c r="DE35" s="33"/>
      <c r="DF35" s="33"/>
      <c r="DG35" s="325"/>
      <c r="DH35" s="33"/>
      <c r="DI35" s="33"/>
      <c r="DJ35" s="33"/>
      <c r="DK35" s="33"/>
      <c r="DL35" s="325"/>
      <c r="DM35" s="33"/>
      <c r="DN35" s="33"/>
      <c r="DO35" s="446"/>
      <c r="DP35" s="33"/>
      <c r="DQ35" s="325"/>
      <c r="DR35" s="33"/>
      <c r="DS35" s="33"/>
      <c r="DT35" s="33"/>
      <c r="DU35" s="33"/>
      <c r="DV35" s="325"/>
      <c r="DW35" s="33"/>
      <c r="DX35" s="33"/>
      <c r="DY35" s="33"/>
      <c r="DZ35" s="33"/>
      <c r="EA35" s="325"/>
      <c r="EB35" s="33"/>
      <c r="EC35" s="33"/>
      <c r="ED35" s="33"/>
      <c r="EE35" s="33"/>
      <c r="EF35" s="325"/>
      <c r="EG35" s="446"/>
      <c r="EH35" s="33"/>
      <c r="EI35" s="446"/>
      <c r="EJ35" s="33"/>
      <c r="EK35" s="325"/>
      <c r="EL35" s="33"/>
      <c r="EM35" s="446"/>
      <c r="EN35" s="446"/>
      <c r="EO35" s="33"/>
      <c r="EP35" s="73"/>
      <c r="ER35" s="451"/>
    </row>
    <row r="36" spans="4:148" x14ac:dyDescent="0.2">
      <c r="D36" s="244"/>
      <c r="F36" s="82"/>
      <c r="H36" s="93"/>
      <c r="I36" s="93"/>
      <c r="J36" s="93"/>
      <c r="K36" s="122"/>
      <c r="L36" s="93"/>
      <c r="M36" s="93"/>
      <c r="N36" s="93"/>
      <c r="O36" s="93"/>
      <c r="P36" s="122"/>
      <c r="Q36" s="93"/>
      <c r="R36" s="93"/>
      <c r="S36" s="93"/>
      <c r="T36" s="93"/>
      <c r="U36" s="122"/>
      <c r="V36" s="93"/>
      <c r="W36" s="93"/>
      <c r="X36" s="93"/>
      <c r="Y36" s="93"/>
      <c r="Z36" s="122"/>
      <c r="AA36" s="93"/>
      <c r="AB36" s="93"/>
      <c r="AC36" s="93"/>
      <c r="AD36" s="93"/>
      <c r="AE36" s="122"/>
      <c r="AF36" s="93"/>
      <c r="AG36" s="93"/>
      <c r="AH36" s="93"/>
      <c r="AI36" s="93"/>
      <c r="AJ36" s="122"/>
      <c r="AK36" s="93"/>
      <c r="AL36" s="93"/>
      <c r="AM36" s="93"/>
      <c r="AN36" s="93"/>
      <c r="AO36" s="122"/>
      <c r="AP36" s="93"/>
      <c r="AQ36" s="93"/>
      <c r="AR36" s="93"/>
      <c r="AS36" s="93"/>
      <c r="AT36" s="122"/>
      <c r="AU36" s="93"/>
      <c r="AV36" s="93"/>
      <c r="AW36" s="93"/>
      <c r="AX36" s="93"/>
      <c r="AY36" s="122"/>
      <c r="AZ36" s="93"/>
      <c r="BA36" s="93"/>
      <c r="BB36" s="93"/>
      <c r="BC36" s="93"/>
      <c r="BD36" s="122"/>
      <c r="BE36" s="93"/>
      <c r="BF36" s="93"/>
      <c r="BG36" s="93"/>
      <c r="BH36" s="93"/>
      <c r="BI36" s="122"/>
      <c r="BJ36" s="93"/>
      <c r="BK36" s="93"/>
      <c r="BL36" s="93"/>
      <c r="BM36" s="93"/>
      <c r="BN36" s="122"/>
      <c r="BO36" s="93"/>
      <c r="BP36" s="93"/>
      <c r="BQ36" s="93"/>
      <c r="BR36" s="93"/>
      <c r="BS36" s="122"/>
      <c r="BT36" s="93"/>
      <c r="BU36" s="93"/>
      <c r="BV36" s="93"/>
      <c r="BW36" s="93"/>
      <c r="BX36" s="122"/>
      <c r="BY36" s="93"/>
      <c r="BZ36" s="93"/>
      <c r="CA36" s="93"/>
      <c r="CB36" s="93"/>
      <c r="CC36" s="122"/>
      <c r="CD36" s="93"/>
      <c r="CE36" s="93"/>
      <c r="CF36" s="93"/>
      <c r="CG36" s="93"/>
      <c r="CH36" s="122"/>
      <c r="CI36" s="93"/>
      <c r="CJ36" s="93"/>
      <c r="CK36" s="93"/>
      <c r="CL36" s="93"/>
      <c r="CM36" s="122"/>
      <c r="CN36" s="93"/>
      <c r="CO36" s="93"/>
      <c r="CP36" s="93"/>
      <c r="CQ36" s="93"/>
      <c r="CR36" s="122"/>
      <c r="CS36" s="93"/>
      <c r="CT36" s="93"/>
      <c r="CU36" s="93"/>
      <c r="CV36" s="93"/>
      <c r="CW36" s="122"/>
      <c r="CX36" s="93"/>
      <c r="CY36" s="93"/>
      <c r="CZ36" s="93"/>
      <c r="DA36" s="93"/>
      <c r="DB36" s="122"/>
      <c r="DC36" s="93"/>
      <c r="DD36" s="93"/>
      <c r="DE36" s="93"/>
      <c r="DF36" s="93"/>
      <c r="DG36" s="122"/>
      <c r="DH36" s="93"/>
      <c r="DI36" s="93"/>
      <c r="DJ36" s="93"/>
      <c r="DK36" s="93"/>
      <c r="DL36" s="122"/>
      <c r="DM36" s="93"/>
      <c r="DN36" s="93"/>
      <c r="DO36" s="93"/>
      <c r="DP36" s="93"/>
      <c r="DQ36" s="122"/>
      <c r="DR36" s="93"/>
      <c r="DS36" s="93"/>
      <c r="DT36" s="93"/>
      <c r="DU36" s="93"/>
      <c r="DV36" s="122"/>
      <c r="DW36" s="93"/>
      <c r="DX36" s="93"/>
      <c r="DY36" s="93"/>
      <c r="DZ36" s="93"/>
      <c r="EA36" s="122"/>
      <c r="EB36" s="93"/>
      <c r="EC36" s="93"/>
      <c r="ED36" s="93"/>
      <c r="EE36" s="93"/>
      <c r="EF36" s="122"/>
      <c r="EG36" s="93"/>
      <c r="EH36" s="93"/>
      <c r="EI36" s="93"/>
      <c r="EJ36" s="93"/>
      <c r="EK36" s="122"/>
      <c r="EL36" s="93"/>
      <c r="EM36" s="93"/>
      <c r="EN36" s="93"/>
      <c r="EO36" s="93"/>
      <c r="EP36" s="366"/>
      <c r="ER36" s="451"/>
    </row>
    <row r="37" spans="4:148" s="451" customFormat="1" hidden="1" x14ac:dyDescent="0.2">
      <c r="D37" s="484"/>
      <c r="E37" s="38"/>
      <c r="F37" s="138"/>
      <c r="H37" s="22"/>
      <c r="I37" s="22"/>
      <c r="J37" s="22"/>
      <c r="K37" s="186"/>
      <c r="L37" s="22"/>
      <c r="M37" s="22"/>
      <c r="N37" s="22"/>
      <c r="O37" s="22"/>
      <c r="P37" s="186"/>
      <c r="Q37" s="22"/>
      <c r="R37" s="22"/>
      <c r="S37" s="22"/>
      <c r="T37" s="22"/>
      <c r="U37" s="186"/>
      <c r="V37" s="22"/>
      <c r="W37" s="22"/>
      <c r="X37" s="22"/>
      <c r="Y37" s="22"/>
      <c r="Z37" s="186"/>
      <c r="AA37" s="22"/>
      <c r="AB37" s="22"/>
      <c r="AC37" s="22"/>
      <c r="AD37" s="22"/>
      <c r="AE37" s="186"/>
      <c r="AF37" s="22"/>
      <c r="AG37" s="22"/>
      <c r="AH37" s="22"/>
      <c r="AI37" s="22"/>
      <c r="AJ37" s="186"/>
      <c r="AK37" s="22"/>
      <c r="AL37" s="22"/>
      <c r="AM37" s="22"/>
      <c r="AN37" s="22"/>
      <c r="AO37" s="186"/>
      <c r="AP37" s="22"/>
      <c r="AQ37" s="22"/>
      <c r="AR37" s="22"/>
      <c r="AS37" s="22"/>
      <c r="AT37" s="186"/>
      <c r="AU37" s="22"/>
      <c r="AV37" s="22"/>
      <c r="AW37" s="22"/>
      <c r="AX37" s="22"/>
      <c r="AY37" s="186"/>
      <c r="AZ37" s="22"/>
      <c r="BA37" s="22"/>
      <c r="BB37" s="22"/>
      <c r="BC37" s="22"/>
      <c r="BD37" s="186"/>
      <c r="BE37" s="22"/>
      <c r="BF37" s="22"/>
      <c r="BG37" s="22"/>
      <c r="BH37" s="22"/>
      <c r="BI37" s="186"/>
      <c r="BJ37" s="22"/>
      <c r="BK37" s="22"/>
      <c r="BL37" s="22"/>
      <c r="BM37" s="22"/>
      <c r="BN37" s="186"/>
      <c r="BO37" s="22"/>
      <c r="BP37" s="22"/>
      <c r="BQ37" s="22"/>
      <c r="BR37" s="22"/>
      <c r="BS37" s="186"/>
      <c r="BT37" s="22"/>
      <c r="BU37" s="22"/>
      <c r="BV37" s="22"/>
      <c r="BW37" s="22"/>
      <c r="BX37" s="186"/>
      <c r="BY37" s="22"/>
      <c r="BZ37" s="22"/>
      <c r="CA37" s="22"/>
      <c r="CB37" s="22"/>
      <c r="CC37" s="186"/>
      <c r="CD37" s="22"/>
      <c r="CE37" s="22"/>
      <c r="CF37" s="22"/>
      <c r="CG37" s="22"/>
      <c r="CH37" s="186"/>
      <c r="CI37" s="22"/>
      <c r="CJ37" s="22"/>
      <c r="CK37" s="22"/>
      <c r="CL37" s="22"/>
      <c r="CM37" s="186"/>
      <c r="CN37" s="22"/>
      <c r="CO37" s="22"/>
      <c r="CP37" s="22"/>
      <c r="CQ37" s="22"/>
      <c r="CR37" s="186"/>
      <c r="CS37" s="22"/>
      <c r="CT37" s="22"/>
      <c r="CU37" s="22"/>
      <c r="CV37" s="22"/>
      <c r="CW37" s="186"/>
      <c r="CX37" s="22"/>
      <c r="CY37" s="22"/>
      <c r="CZ37" s="22"/>
      <c r="DA37" s="22"/>
      <c r="DB37" s="186"/>
      <c r="DC37" s="22"/>
      <c r="DD37" s="22"/>
      <c r="DE37" s="22"/>
      <c r="DF37" s="22"/>
      <c r="DG37" s="186"/>
      <c r="DH37" s="22"/>
      <c r="DI37" s="22"/>
      <c r="DJ37" s="22"/>
      <c r="DK37" s="22"/>
      <c r="DL37" s="186"/>
      <c r="DM37" s="22"/>
      <c r="DN37" s="22"/>
      <c r="DO37" s="22"/>
      <c r="DP37" s="22"/>
      <c r="DQ37" s="186"/>
      <c r="DR37" s="22"/>
      <c r="DS37" s="22"/>
      <c r="DT37" s="22"/>
      <c r="DU37" s="22"/>
      <c r="DV37" s="186"/>
      <c r="DW37" s="22"/>
      <c r="DX37" s="22"/>
      <c r="DY37" s="22"/>
      <c r="DZ37" s="22"/>
      <c r="EA37" s="186"/>
      <c r="EB37" s="22"/>
      <c r="EC37" s="22"/>
      <c r="ED37" s="22"/>
      <c r="EE37" s="22"/>
      <c r="EF37" s="186"/>
      <c r="EG37" s="22"/>
      <c r="EH37" s="22"/>
      <c r="EI37" s="22"/>
      <c r="EJ37" s="22"/>
      <c r="EK37" s="186"/>
      <c r="EL37" s="22"/>
      <c r="EM37" s="344"/>
      <c r="EN37" s="22"/>
      <c r="EO37" s="22"/>
      <c r="EP37" s="124"/>
    </row>
    <row r="38" spans="4:148" s="451" customFormat="1" x14ac:dyDescent="0.2">
      <c r="D38" s="484" t="s">
        <v>500</v>
      </c>
      <c r="E38" s="38"/>
      <c r="F38" s="212"/>
      <c r="G38" s="86"/>
      <c r="H38" s="235">
        <v>0</v>
      </c>
      <c r="I38" s="235"/>
      <c r="J38" s="21"/>
      <c r="K38" s="21"/>
      <c r="L38" s="235"/>
      <c r="M38" s="235">
        <f>-[54]original!$F$82</f>
        <v>-34158767.953769997</v>
      </c>
      <c r="N38" s="235"/>
      <c r="O38" s="21"/>
      <c r="P38" s="21"/>
      <c r="Q38" s="235"/>
      <c r="R38" s="235">
        <f>-[55]original!$G$82</f>
        <v>665778.1075699823</v>
      </c>
      <c r="S38" s="235"/>
      <c r="T38" s="21"/>
      <c r="U38" s="21"/>
      <c r="V38" s="235"/>
      <c r="W38" s="235">
        <f>-[56]original!$H$82</f>
        <v>-3529360.3766400218</v>
      </c>
      <c r="X38" s="235"/>
      <c r="Y38" s="21"/>
      <c r="Z38" s="21"/>
      <c r="AA38" s="235"/>
      <c r="AB38" s="235">
        <f>-[57]original!$I$82</f>
        <v>39129472.039829999</v>
      </c>
      <c r="AC38" s="235"/>
      <c r="AD38" s="21"/>
      <c r="AE38" s="21"/>
      <c r="AF38" s="235"/>
      <c r="AG38" s="235">
        <f>-[58]original!$J$82</f>
        <v>-36409361.543499991</v>
      </c>
      <c r="AH38" s="235"/>
      <c r="AI38" s="21"/>
      <c r="AJ38" s="21"/>
      <c r="AK38" s="235"/>
      <c r="AL38" s="235">
        <f>-[59]original!$K$82</f>
        <v>10350561.970830038</v>
      </c>
      <c r="AM38" s="235"/>
      <c r="AN38" s="21"/>
      <c r="AO38" s="21"/>
      <c r="AP38" s="235"/>
      <c r="AQ38" s="235">
        <f>-[60]original!$L$82</f>
        <v>-13234789.152860001</v>
      </c>
      <c r="AR38" s="235"/>
      <c r="AS38" s="21"/>
      <c r="AT38" s="21"/>
      <c r="AU38" s="235"/>
      <c r="AV38" s="235">
        <f>-[61]original!$M$82</f>
        <v>-507485.77358999848</v>
      </c>
      <c r="AW38" s="235"/>
      <c r="AX38" s="21"/>
      <c r="AY38" s="21"/>
      <c r="AZ38" s="235"/>
      <c r="BA38" s="235">
        <f>-[62]original!$N$82</f>
        <v>5933754.2305000126</v>
      </c>
      <c r="BB38" s="136"/>
      <c r="BC38" s="21"/>
      <c r="BD38" s="21"/>
      <c r="BE38" s="136"/>
      <c r="BF38" s="235">
        <f>-[63]original!$O$82</f>
        <v>-33766452.223689988</v>
      </c>
      <c r="BG38" s="235"/>
      <c r="BH38" s="21"/>
      <c r="BI38" s="21"/>
      <c r="BJ38" s="235"/>
      <c r="BK38" s="235">
        <f>-[64]original!$P$82</f>
        <v>-3541595.2070199698</v>
      </c>
      <c r="BL38" s="235"/>
      <c r="BM38" s="21"/>
      <c r="BN38" s="21"/>
      <c r="BO38" s="235"/>
      <c r="BP38" s="235">
        <f>-[65]original!$Q$82</f>
        <v>51076041.623150021</v>
      </c>
      <c r="BQ38" s="235"/>
      <c r="BR38" s="21"/>
      <c r="BS38" s="21"/>
      <c r="BT38" s="235"/>
      <c r="BU38" s="235">
        <f>SUM(M38:BP38)</f>
        <v>-17992204.259189919</v>
      </c>
      <c r="BV38" s="235"/>
      <c r="BW38" s="21"/>
      <c r="BX38" s="21"/>
      <c r="BY38" s="235"/>
      <c r="BZ38" s="235">
        <f>-[65]original!$V$82</f>
        <v>-676139.5121998759</v>
      </c>
      <c r="CA38" s="235"/>
      <c r="CB38" s="21"/>
      <c r="CC38" s="21"/>
      <c r="CD38" s="235"/>
      <c r="CE38" s="235">
        <f>-[65]original!$W$82</f>
        <v>-9617047.0857300311</v>
      </c>
      <c r="CF38" s="235"/>
      <c r="CG38" s="21"/>
      <c r="CH38" s="21"/>
      <c r="CI38" s="235"/>
      <c r="CJ38" s="235">
        <f>-[65]original!$X$82</f>
        <v>1658010.930979982</v>
      </c>
      <c r="CK38" s="235"/>
      <c r="CL38" s="21"/>
      <c r="CM38" s="21"/>
      <c r="CN38" s="235"/>
      <c r="CO38" s="235">
        <f>-[65]original!$Y$82</f>
        <v>13980252.202720001</v>
      </c>
      <c r="CP38" s="235"/>
      <c r="CQ38" s="21"/>
      <c r="CR38" s="21"/>
      <c r="CS38" s="235"/>
      <c r="CT38" s="235">
        <f>-[65]original!$Z$82</f>
        <v>-8777405.5292999893</v>
      </c>
      <c r="CU38" s="235"/>
      <c r="CV38" s="21"/>
      <c r="CW38" s="21"/>
      <c r="CX38" s="235"/>
      <c r="CY38" s="235">
        <f>-[65]original!$AA$82</f>
        <v>-9967884.6452499926</v>
      </c>
      <c r="CZ38" s="235"/>
      <c r="DA38" s="21"/>
      <c r="DB38" s="21"/>
      <c r="DC38" s="235"/>
      <c r="DD38" s="235">
        <f>-[65]original!$AB$82</f>
        <v>-4315544.2743200064</v>
      </c>
      <c r="DE38" s="235"/>
      <c r="DF38" s="21"/>
      <c r="DG38" s="21"/>
      <c r="DH38" s="235"/>
      <c r="DI38" s="235">
        <f>-[65]original!$AC$82</f>
        <v>-395955.53492997866</v>
      </c>
      <c r="DJ38" s="235"/>
      <c r="DK38" s="21"/>
      <c r="DL38" s="21"/>
      <c r="DM38" s="235"/>
      <c r="DN38" s="235">
        <f>-[65]original!$AD$82</f>
        <v>-18897629.034100011</v>
      </c>
      <c r="DO38" s="235"/>
      <c r="DP38" s="21"/>
      <c r="DQ38" s="21"/>
      <c r="DR38" s="235"/>
      <c r="DS38" s="235">
        <f>-[65]original!$AE$82</f>
        <v>-1291051.2250600038</v>
      </c>
      <c r="DT38" s="136"/>
      <c r="DU38" s="21"/>
      <c r="DV38" s="21"/>
      <c r="DW38" s="136"/>
      <c r="DX38" s="235">
        <f>-[66]original!$O$82</f>
        <v>-2746121.6662400216</v>
      </c>
      <c r="DY38" s="235"/>
      <c r="DZ38" s="21"/>
      <c r="EA38" s="21"/>
      <c r="EB38" s="235"/>
      <c r="EC38" s="235">
        <f>-[67]original!$P$82</f>
        <v>-5785998.0916399956</v>
      </c>
      <c r="ED38" s="235"/>
      <c r="EE38" s="21"/>
      <c r="EF38" s="21"/>
      <c r="EG38" s="235"/>
      <c r="EH38" s="235">
        <f>-[65]original!$AH$82</f>
        <v>45480234.292400479</v>
      </c>
      <c r="EI38" s="235"/>
      <c r="EJ38" s="21"/>
      <c r="EK38" s="21"/>
      <c r="EL38" s="311"/>
      <c r="EM38" s="235">
        <f>SUM(CE38:EH38)</f>
        <v>-676139.66046956182</v>
      </c>
      <c r="EN38" s="182"/>
      <c r="EO38" s="24"/>
      <c r="EP38" s="124"/>
      <c r="ER38" s="414"/>
    </row>
    <row r="39" spans="4:148" x14ac:dyDescent="0.2">
      <c r="D39" s="244"/>
      <c r="E39" s="250"/>
      <c r="F39" s="82"/>
      <c r="H39" s="33"/>
      <c r="I39" s="33"/>
      <c r="J39" s="33"/>
      <c r="K39" s="325"/>
      <c r="L39" s="33"/>
      <c r="M39" s="33"/>
      <c r="N39" s="33"/>
      <c r="O39" s="33"/>
      <c r="P39" s="325"/>
      <c r="Q39" s="33"/>
      <c r="R39" s="33"/>
      <c r="S39" s="33"/>
      <c r="T39" s="33"/>
      <c r="U39" s="325"/>
      <c r="V39" s="33"/>
      <c r="W39" s="33"/>
      <c r="X39" s="33"/>
      <c r="Y39" s="33"/>
      <c r="Z39" s="325"/>
      <c r="AA39" s="33"/>
      <c r="AB39" s="33"/>
      <c r="AC39" s="33"/>
      <c r="AD39" s="33"/>
      <c r="AE39" s="325"/>
      <c r="AF39" s="33"/>
      <c r="AG39" s="33"/>
      <c r="AH39" s="33"/>
      <c r="AI39" s="33"/>
      <c r="AJ39" s="325"/>
      <c r="AK39" s="33"/>
      <c r="AL39" s="33"/>
      <c r="AM39" s="33"/>
      <c r="AN39" s="33"/>
      <c r="AO39" s="325"/>
      <c r="AP39" s="33"/>
      <c r="AQ39" s="33"/>
      <c r="AR39" s="33"/>
      <c r="AS39" s="33"/>
      <c r="AT39" s="325"/>
      <c r="AU39" s="33"/>
      <c r="AV39" s="33"/>
      <c r="AW39" s="33"/>
      <c r="AX39" s="33"/>
      <c r="AY39" s="325"/>
      <c r="AZ39" s="33"/>
      <c r="BA39" s="33"/>
      <c r="BB39" s="33"/>
      <c r="BC39" s="33"/>
      <c r="BD39" s="325"/>
      <c r="BE39" s="33"/>
      <c r="BF39" s="33"/>
      <c r="BG39" s="33"/>
      <c r="BH39" s="33"/>
      <c r="BI39" s="325"/>
      <c r="BJ39" s="33"/>
      <c r="BK39" s="33"/>
      <c r="BL39" s="33"/>
      <c r="BM39" s="33"/>
      <c r="BN39" s="325"/>
      <c r="BO39" s="33"/>
      <c r="BP39" s="33"/>
      <c r="BQ39" s="33"/>
      <c r="BR39" s="33"/>
      <c r="BS39" s="325"/>
      <c r="BT39" s="33"/>
      <c r="BU39" s="33"/>
      <c r="BV39" s="33"/>
      <c r="BW39" s="33"/>
      <c r="BX39" s="325"/>
      <c r="BY39" s="33"/>
      <c r="BZ39" s="33"/>
      <c r="CA39" s="33"/>
      <c r="CB39" s="33"/>
      <c r="CC39" s="325"/>
      <c r="CD39" s="33"/>
      <c r="CE39" s="33"/>
      <c r="CF39" s="33"/>
      <c r="CG39" s="33"/>
      <c r="CH39" s="325"/>
      <c r="CI39" s="33"/>
      <c r="CJ39" s="33"/>
      <c r="CK39" s="33"/>
      <c r="CL39" s="33"/>
      <c r="CM39" s="325"/>
      <c r="CN39" s="33"/>
      <c r="CO39" s="33"/>
      <c r="CP39" s="33"/>
      <c r="CQ39" s="33"/>
      <c r="CR39" s="325"/>
      <c r="CS39" s="33"/>
      <c r="CT39" s="33"/>
      <c r="CU39" s="33"/>
      <c r="CV39" s="33"/>
      <c r="CW39" s="325"/>
      <c r="CX39" s="33"/>
      <c r="CY39" s="33"/>
      <c r="CZ39" s="33"/>
      <c r="DA39" s="33"/>
      <c r="DB39" s="325"/>
      <c r="DC39" s="33"/>
      <c r="DD39" s="33"/>
      <c r="DE39" s="33"/>
      <c r="DF39" s="33"/>
      <c r="DG39" s="325"/>
      <c r="DH39" s="33"/>
      <c r="DI39" s="33"/>
      <c r="DJ39" s="33"/>
      <c r="DK39" s="33"/>
      <c r="DL39" s="325"/>
      <c r="DM39" s="33"/>
      <c r="DN39" s="33"/>
      <c r="DO39" s="33"/>
      <c r="DP39" s="33"/>
      <c r="DQ39" s="325"/>
      <c r="DR39" s="33"/>
      <c r="DS39" s="33"/>
      <c r="DT39" s="33"/>
      <c r="DU39" s="33"/>
      <c r="DV39" s="325"/>
      <c r="DW39" s="33"/>
      <c r="DX39" s="33"/>
      <c r="DY39" s="33"/>
      <c r="DZ39" s="33"/>
      <c r="EA39" s="325"/>
      <c r="EB39" s="33"/>
      <c r="EC39" s="33"/>
      <c r="ED39" s="33"/>
      <c r="EE39" s="33"/>
      <c r="EF39" s="325"/>
      <c r="EG39" s="33"/>
      <c r="EH39" s="33"/>
      <c r="EI39" s="33"/>
      <c r="EJ39" s="33"/>
      <c r="EK39" s="325"/>
      <c r="EL39" s="33"/>
      <c r="EM39" s="33"/>
      <c r="EN39" s="285"/>
      <c r="EO39" s="33"/>
      <c r="EP39" s="73"/>
      <c r="ER39" s="210"/>
    </row>
    <row r="40" spans="4:148" s="451" customFormat="1" x14ac:dyDescent="0.2">
      <c r="D40" s="428" t="s">
        <v>501</v>
      </c>
      <c r="E40" s="365" t="s">
        <v>73</v>
      </c>
      <c r="F40" s="230"/>
      <c r="G40" s="50"/>
      <c r="H40" s="79">
        <f>+H12+H38+H32+H27+H23</f>
        <v>-52440099.997653</v>
      </c>
      <c r="I40" s="79"/>
      <c r="J40" s="79"/>
      <c r="K40" s="78"/>
      <c r="L40" s="79"/>
      <c r="M40" s="79">
        <f>+M12+M38+M32+M27+M23</f>
        <v>-18499278.953769997</v>
      </c>
      <c r="N40" s="79"/>
      <c r="O40" s="79"/>
      <c r="P40" s="78"/>
      <c r="Q40" s="79"/>
      <c r="R40" s="79">
        <f>+R12+R38+R32+R27+R23</f>
        <v>537410.36356998235</v>
      </c>
      <c r="S40" s="79"/>
      <c r="T40" s="79"/>
      <c r="U40" s="78"/>
      <c r="V40" s="79"/>
      <c r="W40" s="79">
        <f>+W12+W38+W32+W27+W23</f>
        <v>-23974845.376640022</v>
      </c>
      <c r="X40" s="79"/>
      <c r="Y40" s="79"/>
      <c r="Z40" s="78"/>
      <c r="AA40" s="79"/>
      <c r="AB40" s="79">
        <f>+AB12+AB38+AB32+AB27+AB23</f>
        <v>-39272434.960170001</v>
      </c>
      <c r="AC40" s="79"/>
      <c r="AD40" s="79"/>
      <c r="AE40" s="78"/>
      <c r="AF40" s="79"/>
      <c r="AG40" s="79">
        <f>+AG12+AG38+AG32+AG27+AG23</f>
        <v>32418642.456500009</v>
      </c>
      <c r="AH40" s="79"/>
      <c r="AI40" s="79"/>
      <c r="AJ40" s="78"/>
      <c r="AK40" s="79"/>
      <c r="AL40" s="79">
        <f>+AL12+AL38+AL32+AL27+AL23</f>
        <v>-8875713.0291699618</v>
      </c>
      <c r="AM40" s="79"/>
      <c r="AN40" s="79"/>
      <c r="AO40" s="78"/>
      <c r="AP40" s="79"/>
      <c r="AQ40" s="79">
        <f>+AQ12+AQ38+AQ32+AQ27+AQ23</f>
        <v>-36949546.152860001</v>
      </c>
      <c r="AR40" s="79"/>
      <c r="AS40" s="79"/>
      <c r="AT40" s="78"/>
      <c r="AU40" s="79"/>
      <c r="AV40" s="79">
        <f>+AV12+AV38+AV32+AV27+AV23</f>
        <v>-18096631.773589998</v>
      </c>
      <c r="AW40" s="79"/>
      <c r="AX40" s="79"/>
      <c r="AY40" s="78"/>
      <c r="AZ40" s="79"/>
      <c r="BA40" s="79">
        <f>+BA12+BA38+BA32+BA27+BA23</f>
        <v>-17747258.769499987</v>
      </c>
      <c r="BB40" s="79"/>
      <c r="BC40" s="79"/>
      <c r="BD40" s="78"/>
      <c r="BE40" s="79"/>
      <c r="BF40" s="79">
        <f>+BF12+BF23+BF25+BF27+BF32+BF38</f>
        <v>25860728.776310012</v>
      </c>
      <c r="BG40" s="79"/>
      <c r="BH40" s="79"/>
      <c r="BI40" s="78"/>
      <c r="BJ40" s="79"/>
      <c r="BK40" s="79">
        <f>+BK12+BK38+BK32+BK27+BK23</f>
        <v>-16055785.20701997</v>
      </c>
      <c r="BL40" s="79"/>
      <c r="BM40" s="79"/>
      <c r="BN40" s="78"/>
      <c r="BO40" s="79"/>
      <c r="BP40" s="79">
        <f>+BP12+BP38+BP32+BP27+BP23</f>
        <v>29488304.623150021</v>
      </c>
      <c r="BQ40" s="79"/>
      <c r="BR40" s="79"/>
      <c r="BS40" s="78"/>
      <c r="BT40" s="79"/>
      <c r="BU40" s="79">
        <f>+BU12+BU23+BU25+BU27+BU32+BU38</f>
        <v>-91166408.003189921</v>
      </c>
      <c r="BV40" s="79"/>
      <c r="BW40" s="79"/>
      <c r="BX40" s="78"/>
      <c r="BY40" s="79"/>
      <c r="BZ40" s="79">
        <f>+BZ12+BZ23+BZ25+BZ27+BZ32+BZ38</f>
        <v>-1669085.7470803251</v>
      </c>
      <c r="CA40" s="79"/>
      <c r="CB40" s="79"/>
      <c r="CC40" s="78"/>
      <c r="CD40" s="79"/>
      <c r="CE40" s="79">
        <f>+CE12+CE38+CE32+CE27+CE23</f>
        <v>12935068.914269969</v>
      </c>
      <c r="CF40" s="79"/>
      <c r="CG40" s="79"/>
      <c r="CH40" s="78"/>
      <c r="CI40" s="79"/>
      <c r="CJ40" s="79">
        <f>+CJ12+CJ38+CJ32+CJ27+CJ23</f>
        <v>6028814.930979982</v>
      </c>
      <c r="CK40" s="79"/>
      <c r="CL40" s="79"/>
      <c r="CM40" s="78"/>
      <c r="CN40" s="79"/>
      <c r="CO40" s="79">
        <f>+CO12+CO38+CO32+CO27+CO23</f>
        <v>-64456252.797279999</v>
      </c>
      <c r="CP40" s="79"/>
      <c r="CQ40" s="79"/>
      <c r="CR40" s="78"/>
      <c r="CS40" s="79"/>
      <c r="CT40" s="79">
        <f>+CT12+CT38+CT32+CT27+CT23</f>
        <v>71916201.470700011</v>
      </c>
      <c r="CU40" s="79"/>
      <c r="CV40" s="79"/>
      <c r="CW40" s="78"/>
      <c r="CX40" s="79"/>
      <c r="CY40" s="79">
        <f>+CY12+CY38+CY32+CY27+CY23</f>
        <v>-5938593.6452499926</v>
      </c>
      <c r="CZ40" s="79"/>
      <c r="DA40" s="79"/>
      <c r="DB40" s="78"/>
      <c r="DC40" s="79"/>
      <c r="DD40" s="79">
        <f>+DD12+DD38+DD32+DD27+DD23</f>
        <v>-87185842.274320006</v>
      </c>
      <c r="DE40" s="79"/>
      <c r="DF40" s="79"/>
      <c r="DG40" s="78"/>
      <c r="DH40" s="79"/>
      <c r="DI40" s="79">
        <f>+DI12+DI38+DI32+DI27+DI23</f>
        <v>4292248.4650700213</v>
      </c>
      <c r="DJ40" s="79"/>
      <c r="DK40" s="79"/>
      <c r="DL40" s="78"/>
      <c r="DM40" s="79"/>
      <c r="DN40" s="79">
        <f>+DN12+DN38+DN32+DN27+DN23</f>
        <v>-21698105.034100011</v>
      </c>
      <c r="DO40" s="79"/>
      <c r="DP40" s="79"/>
      <c r="DQ40" s="78"/>
      <c r="DR40" s="79"/>
      <c r="DS40" s="79">
        <f>+DS12+DS38+DS32+DS27+DS23</f>
        <v>-5176181.2250600047</v>
      </c>
      <c r="DT40" s="79"/>
      <c r="DU40" s="79"/>
      <c r="DV40" s="78"/>
      <c r="DW40" s="79"/>
      <c r="DX40" s="79">
        <f>+DX12+DX23+DX25+DX27+DX32+DX38</f>
        <v>31144738.333759978</v>
      </c>
      <c r="DY40" s="79"/>
      <c r="DZ40" s="79"/>
      <c r="EA40" s="78"/>
      <c r="EB40" s="79"/>
      <c r="EC40" s="79">
        <f>+EC12+EC23+EC25+EC27+EC32+EC38</f>
        <v>-28811986.091639996</v>
      </c>
      <c r="ED40" s="79"/>
      <c r="EE40" s="79"/>
      <c r="EF40" s="78"/>
      <c r="EG40" s="79"/>
      <c r="EH40" s="79">
        <f>+EH12+EH23+EH25+EH27+EH32+EH38</f>
        <v>85280803.057520032</v>
      </c>
      <c r="EI40" s="79"/>
      <c r="EJ40" s="79"/>
      <c r="EK40" s="78"/>
      <c r="EL40" s="79"/>
      <c r="EM40" s="79">
        <f>+EM12+EM23+EM25+EM27+EM32+EM38</f>
        <v>-1669085.8953500111</v>
      </c>
      <c r="EN40" s="362"/>
      <c r="EO40" s="22"/>
      <c r="EP40" s="124"/>
      <c r="ER40" s="414"/>
    </row>
    <row r="41" spans="4:148" x14ac:dyDescent="0.2">
      <c r="D41" s="791" t="s">
        <v>31</v>
      </c>
      <c r="E41" s="791"/>
      <c r="F41" s="791"/>
      <c r="G41" s="791"/>
      <c r="H41" s="791"/>
      <c r="I41" s="791"/>
      <c r="J41" s="791"/>
      <c r="K41" s="791"/>
      <c r="L41" s="791"/>
      <c r="M41" s="791"/>
      <c r="N41" s="791"/>
      <c r="O41" s="791"/>
      <c r="P41" s="791"/>
      <c r="Q41" s="791"/>
      <c r="R41" s="791"/>
      <c r="S41" s="791"/>
      <c r="T41" s="791"/>
      <c r="U41" s="791"/>
      <c r="V41" s="791"/>
      <c r="W41" s="791"/>
      <c r="X41" s="791"/>
      <c r="Y41" s="791"/>
      <c r="Z41" s="791"/>
      <c r="AA41" s="791"/>
      <c r="AB41" s="791"/>
      <c r="AC41" s="791"/>
      <c r="AD41" s="791"/>
      <c r="AE41" s="791"/>
      <c r="AF41" s="791"/>
      <c r="AG41" s="791"/>
      <c r="AH41" s="791"/>
      <c r="AI41" s="791"/>
      <c r="AJ41" s="791"/>
      <c r="AK41" s="791"/>
      <c r="AL41" s="791"/>
      <c r="AM41" s="791"/>
      <c r="AN41" s="791"/>
      <c r="AO41" s="791"/>
      <c r="AP41" s="791"/>
      <c r="AQ41" s="791"/>
      <c r="AR41" s="791"/>
      <c r="AS41" s="791"/>
      <c r="AT41" s="791"/>
      <c r="AU41" s="791"/>
      <c r="AV41" s="791"/>
      <c r="AW41" s="791"/>
      <c r="AX41" s="791"/>
      <c r="AY41" s="791"/>
      <c r="AZ41" s="791"/>
      <c r="BA41" s="791"/>
      <c r="BB41" s="791"/>
      <c r="BC41" s="791"/>
      <c r="BD41" s="791"/>
      <c r="BE41" s="791"/>
      <c r="BF41" s="791"/>
      <c r="BG41" s="791"/>
      <c r="BH41" s="791"/>
      <c r="BI41" s="791"/>
      <c r="BJ41" s="791"/>
      <c r="BK41" s="791"/>
      <c r="BL41" s="791"/>
      <c r="BM41" s="791"/>
      <c r="BN41" s="791"/>
      <c r="BO41" s="791"/>
      <c r="BP41" s="791"/>
      <c r="BQ41" s="791"/>
      <c r="BR41" s="791"/>
      <c r="BS41" s="791"/>
      <c r="BT41" s="791"/>
      <c r="BU41" s="791"/>
      <c r="BV41" s="172"/>
      <c r="BW41" s="172"/>
      <c r="BX41" s="172"/>
      <c r="BY41" s="172"/>
      <c r="BZ41" s="172"/>
      <c r="CA41" s="172"/>
      <c r="CB41" s="172"/>
      <c r="CC41" s="172"/>
      <c r="CD41" s="172"/>
      <c r="CE41" s="172"/>
      <c r="CF41" s="172"/>
      <c r="CG41" s="172"/>
      <c r="CH41" s="172"/>
      <c r="CI41" s="172"/>
      <c r="CJ41" s="172"/>
      <c r="CK41" s="172"/>
      <c r="CL41" s="172"/>
      <c r="CM41" s="172"/>
      <c r="CN41" s="172"/>
      <c r="CO41" s="172"/>
      <c r="CP41" s="172"/>
      <c r="CQ41" s="172"/>
      <c r="CR41" s="172"/>
      <c r="CS41" s="172"/>
      <c r="CT41" s="172"/>
      <c r="CU41" s="172"/>
      <c r="CV41" s="172"/>
      <c r="CW41" s="172"/>
      <c r="CX41" s="172"/>
      <c r="CY41" s="172"/>
      <c r="CZ41" s="172"/>
      <c r="DA41" s="172"/>
      <c r="DB41" s="172"/>
      <c r="DC41" s="172"/>
      <c r="DD41" s="172"/>
      <c r="DE41" s="172"/>
      <c r="DF41" s="172"/>
      <c r="DG41" s="172"/>
      <c r="DH41" s="172"/>
      <c r="DI41" s="172"/>
      <c r="DJ41" s="172"/>
      <c r="DK41" s="172"/>
      <c r="DL41" s="172"/>
      <c r="DM41" s="172"/>
      <c r="DN41" s="172"/>
      <c r="DO41" s="172"/>
      <c r="DP41" s="172"/>
      <c r="DQ41" s="172"/>
      <c r="DR41" s="172"/>
      <c r="DS41" s="172"/>
      <c r="DT41" s="172"/>
      <c r="DU41" s="172"/>
      <c r="DV41" s="172"/>
      <c r="DW41" s="172"/>
      <c r="DX41" s="172"/>
      <c r="DY41" s="172"/>
      <c r="DZ41" s="172"/>
      <c r="EA41" s="172"/>
      <c r="EB41" s="172"/>
      <c r="EC41" s="172"/>
      <c r="ED41" s="172"/>
      <c r="EE41" s="172"/>
      <c r="EF41" s="172"/>
      <c r="EG41" s="172"/>
      <c r="EH41" s="172"/>
      <c r="EI41" s="172"/>
      <c r="EJ41" s="172"/>
      <c r="EK41" s="172"/>
      <c r="EL41" s="172"/>
      <c r="EM41" s="172"/>
      <c r="EN41" s="172"/>
      <c r="EO41" s="172"/>
    </row>
    <row r="42" spans="4:148" hidden="1" x14ac:dyDescent="0.2">
      <c r="D42" s="263" t="s">
        <v>502</v>
      </c>
    </row>
    <row r="43" spans="4:148" hidden="1" x14ac:dyDescent="0.2">
      <c r="D43" s="263" t="s">
        <v>503</v>
      </c>
    </row>
    <row r="44" spans="4:148" hidden="1" x14ac:dyDescent="0.2">
      <c r="D44" s="263" t="s">
        <v>504</v>
      </c>
    </row>
    <row r="45" spans="4:148" hidden="1" x14ac:dyDescent="0.2">
      <c r="D45" s="263" t="s">
        <v>505</v>
      </c>
    </row>
    <row r="46" spans="4:148" x14ac:dyDescent="0.2">
      <c r="D46" s="263" t="s">
        <v>506</v>
      </c>
      <c r="CJ46" s="451"/>
    </row>
    <row r="47" spans="4:148" x14ac:dyDescent="0.2">
      <c r="D47" s="263" t="s">
        <v>507</v>
      </c>
      <c r="E47" s="164"/>
      <c r="F47" s="263"/>
      <c r="G47" s="263"/>
      <c r="BZ47" s="308"/>
    </row>
    <row r="48" spans="4:148" x14ac:dyDescent="0.2">
      <c r="E48" s="164"/>
      <c r="F48" s="263"/>
      <c r="G48" s="263"/>
      <c r="M48" s="110"/>
      <c r="CA48" s="12">
        <v>2087353.7651195501</v>
      </c>
      <c r="DN48" s="33"/>
      <c r="DO48" s="33"/>
      <c r="DP48" s="33"/>
      <c r="DQ48" s="33"/>
      <c r="DR48" s="33"/>
    </row>
    <row r="49" spans="4:118" x14ac:dyDescent="0.2">
      <c r="E49" s="164"/>
      <c r="F49" s="263"/>
      <c r="G49" s="263"/>
      <c r="DN49" s="12">
        <f>+BZ38-EM38</f>
        <v>0.14826968591660261</v>
      </c>
    </row>
    <row r="50" spans="4:118" hidden="1" x14ac:dyDescent="0.2">
      <c r="BZ50" s="12">
        <v>3245038.1090099812</v>
      </c>
    </row>
    <row r="51" spans="4:118" hidden="1" x14ac:dyDescent="0.2">
      <c r="CO51" s="451">
        <f>CO38+4818384</f>
        <v>18798636.202720001</v>
      </c>
    </row>
    <row r="52" spans="4:118" hidden="1" x14ac:dyDescent="0.2">
      <c r="CJ52" s="12">
        <f>CJ38-1071906</f>
        <v>586104.93097998202</v>
      </c>
      <c r="CO52" s="295">
        <f>CO51/2</f>
        <v>9399318.1013600007</v>
      </c>
    </row>
    <row r="53" spans="4:118" hidden="1" x14ac:dyDescent="0.2">
      <c r="D53" s="400"/>
      <c r="M53" s="12">
        <f>M12-CE12</f>
        <v>-57646155</v>
      </c>
      <c r="N53" s="12">
        <f t="shared" ref="N53:BU57" si="0">N12-CF12</f>
        <v>0</v>
      </c>
      <c r="O53" s="12">
        <f t="shared" si="0"/>
        <v>0</v>
      </c>
      <c r="P53" s="12">
        <f t="shared" si="0"/>
        <v>0</v>
      </c>
      <c r="Q53" s="12">
        <f t="shared" si="0"/>
        <v>0</v>
      </c>
      <c r="R53" s="12">
        <f t="shared" si="0"/>
        <v>-3183722</v>
      </c>
      <c r="S53" s="12">
        <f t="shared" si="0"/>
        <v>0</v>
      </c>
      <c r="T53" s="12">
        <f t="shared" si="0"/>
        <v>0</v>
      </c>
      <c r="U53" s="12">
        <f t="shared" si="0"/>
        <v>0</v>
      </c>
      <c r="V53" s="12">
        <f t="shared" si="0"/>
        <v>0</v>
      </c>
      <c r="W53" s="12">
        <f t="shared" si="0"/>
        <v>57221837</v>
      </c>
      <c r="X53" s="12">
        <f t="shared" si="0"/>
        <v>0</v>
      </c>
      <c r="Y53" s="12">
        <f t="shared" si="0"/>
        <v>0</v>
      </c>
      <c r="Z53" s="12">
        <f t="shared" si="0"/>
        <v>0</v>
      </c>
      <c r="AA53" s="12">
        <f t="shared" si="0"/>
        <v>0</v>
      </c>
      <c r="AB53" s="12">
        <f t="shared" si="0"/>
        <v>-125135569</v>
      </c>
      <c r="AC53" s="12">
        <f t="shared" si="0"/>
        <v>0</v>
      </c>
      <c r="AD53" s="12">
        <f t="shared" si="0"/>
        <v>0</v>
      </c>
      <c r="AE53" s="12">
        <f t="shared" si="0"/>
        <v>0</v>
      </c>
      <c r="AF53" s="12">
        <f t="shared" si="0"/>
        <v>0</v>
      </c>
      <c r="AG53" s="12">
        <f t="shared" si="0"/>
        <v>31446198</v>
      </c>
      <c r="AH53" s="12">
        <f t="shared" si="0"/>
        <v>0</v>
      </c>
      <c r="AI53" s="12">
        <f t="shared" si="0"/>
        <v>0</v>
      </c>
      <c r="AJ53" s="12">
        <f t="shared" si="0"/>
        <v>0</v>
      </c>
      <c r="AK53" s="12">
        <f t="shared" si="0"/>
        <v>0</v>
      </c>
      <c r="AL53" s="12">
        <f t="shared" si="0"/>
        <v>91275781</v>
      </c>
      <c r="AM53" s="12">
        <f t="shared" si="0"/>
        <v>0</v>
      </c>
      <c r="AN53" s="12">
        <f t="shared" si="0"/>
        <v>0</v>
      </c>
      <c r="AO53" s="12">
        <f t="shared" si="0"/>
        <v>0</v>
      </c>
      <c r="AP53" s="12">
        <f t="shared" si="0"/>
        <v>0</v>
      </c>
      <c r="AQ53" s="12">
        <f t="shared" si="0"/>
        <v>-43693858</v>
      </c>
      <c r="AR53" s="12">
        <f t="shared" si="0"/>
        <v>0</v>
      </c>
      <c r="AS53" s="12">
        <f t="shared" si="0"/>
        <v>0</v>
      </c>
      <c r="AT53" s="12">
        <f t="shared" si="0"/>
        <v>0</v>
      </c>
      <c r="AU53" s="12">
        <f t="shared" si="0"/>
        <v>0</v>
      </c>
      <c r="AV53" s="12">
        <f t="shared" si="0"/>
        <v>-10140453</v>
      </c>
      <c r="AW53" s="12">
        <f t="shared" si="0"/>
        <v>0</v>
      </c>
      <c r="AX53" s="12">
        <f t="shared" si="0"/>
        <v>0</v>
      </c>
      <c r="AY53" s="12">
        <f t="shared" si="0"/>
        <v>0</v>
      </c>
      <c r="AZ53" s="12">
        <f t="shared" si="0"/>
        <v>0</v>
      </c>
      <c r="BA53" s="12">
        <f t="shared" si="0"/>
        <v>-10866380</v>
      </c>
      <c r="BB53" s="12">
        <f t="shared" si="0"/>
        <v>0</v>
      </c>
      <c r="BC53" s="12">
        <f t="shared" si="0"/>
        <v>0</v>
      </c>
      <c r="BD53" s="12">
        <f t="shared" si="0"/>
        <v>0</v>
      </c>
      <c r="BE53" s="12">
        <f t="shared" si="0"/>
        <v>0</v>
      </c>
      <c r="BF53" s="12">
        <f t="shared" si="0"/>
        <v>-33784987</v>
      </c>
      <c r="BG53" s="12">
        <f t="shared" si="0"/>
        <v>0</v>
      </c>
      <c r="BH53" s="12">
        <f t="shared" si="0"/>
        <v>0</v>
      </c>
      <c r="BI53" s="12">
        <f t="shared" si="0"/>
        <v>0</v>
      </c>
      <c r="BJ53" s="12">
        <f t="shared" si="0"/>
        <v>0</v>
      </c>
      <c r="BK53" s="12">
        <f t="shared" si="0"/>
        <v>15953468</v>
      </c>
      <c r="BL53" s="12">
        <f t="shared" si="0"/>
        <v>0</v>
      </c>
      <c r="BM53" s="12">
        <f t="shared" si="0"/>
        <v>0</v>
      </c>
      <c r="BN53" s="12">
        <f t="shared" si="0"/>
        <v>0</v>
      </c>
      <c r="BO53" s="12">
        <f t="shared" si="0"/>
        <v>0</v>
      </c>
      <c r="BP53" s="12">
        <f t="shared" si="0"/>
        <v>-15862157</v>
      </c>
      <c r="BQ53" s="12">
        <f t="shared" si="0"/>
        <v>0</v>
      </c>
      <c r="BR53" s="12">
        <f t="shared" si="0"/>
        <v>0</v>
      </c>
      <c r="BS53" s="12">
        <f t="shared" si="0"/>
        <v>0</v>
      </c>
      <c r="BT53" s="12">
        <f t="shared" si="0"/>
        <v>0</v>
      </c>
      <c r="BU53" s="12">
        <f t="shared" si="0"/>
        <v>-104415997</v>
      </c>
    </row>
    <row r="54" spans="4:118" hidden="1" x14ac:dyDescent="0.2">
      <c r="M54" s="12">
        <f t="shared" ref="M54:AB69" si="1">M13-CE13</f>
        <v>-2473985</v>
      </c>
      <c r="N54" s="12">
        <f t="shared" si="0"/>
        <v>0</v>
      </c>
      <c r="O54" s="12">
        <f t="shared" si="0"/>
        <v>0</v>
      </c>
      <c r="P54" s="12">
        <f t="shared" si="0"/>
        <v>0</v>
      </c>
      <c r="Q54" s="12">
        <f t="shared" si="0"/>
        <v>0</v>
      </c>
      <c r="R54" s="12">
        <f t="shared" si="0"/>
        <v>55172170</v>
      </c>
      <c r="S54" s="12">
        <f t="shared" si="0"/>
        <v>0</v>
      </c>
      <c r="T54" s="12">
        <f t="shared" si="0"/>
        <v>0</v>
      </c>
      <c r="U54" s="12">
        <f t="shared" si="0"/>
        <v>0</v>
      </c>
      <c r="V54" s="12">
        <f t="shared" si="0"/>
        <v>0</v>
      </c>
      <c r="W54" s="12">
        <f t="shared" si="0"/>
        <v>58355892</v>
      </c>
      <c r="X54" s="12">
        <f t="shared" si="0"/>
        <v>0</v>
      </c>
      <c r="Y54" s="12">
        <f t="shared" si="0"/>
        <v>0</v>
      </c>
      <c r="Z54" s="12">
        <f t="shared" si="0"/>
        <v>0</v>
      </c>
      <c r="AA54" s="12">
        <f t="shared" si="0"/>
        <v>0</v>
      </c>
      <c r="AB54" s="12">
        <f t="shared" si="0"/>
        <v>1134055</v>
      </c>
      <c r="AC54" s="12">
        <f t="shared" si="0"/>
        <v>0</v>
      </c>
      <c r="AD54" s="12">
        <f t="shared" si="0"/>
        <v>0</v>
      </c>
      <c r="AE54" s="12">
        <f t="shared" si="0"/>
        <v>0</v>
      </c>
      <c r="AF54" s="12">
        <f t="shared" si="0"/>
        <v>0</v>
      </c>
      <c r="AG54" s="12">
        <f t="shared" si="0"/>
        <v>126269624</v>
      </c>
      <c r="AH54" s="12">
        <f t="shared" si="0"/>
        <v>0</v>
      </c>
      <c r="AI54" s="12">
        <f t="shared" si="0"/>
        <v>0</v>
      </c>
      <c r="AJ54" s="12">
        <f t="shared" si="0"/>
        <v>0</v>
      </c>
      <c r="AK54" s="12">
        <f t="shared" si="0"/>
        <v>0</v>
      </c>
      <c r="AL54" s="12">
        <f t="shared" si="0"/>
        <v>94823426</v>
      </c>
      <c r="AM54" s="12">
        <f t="shared" si="0"/>
        <v>0</v>
      </c>
      <c r="AN54" s="12">
        <f t="shared" si="0"/>
        <v>0</v>
      </c>
      <c r="AO54" s="12">
        <f t="shared" si="0"/>
        <v>0</v>
      </c>
      <c r="AP54" s="12">
        <f t="shared" si="0"/>
        <v>0</v>
      </c>
      <c r="AQ54" s="12">
        <f t="shared" si="0"/>
        <v>3547645</v>
      </c>
      <c r="AR54" s="12">
        <f t="shared" si="0"/>
        <v>0</v>
      </c>
      <c r="AS54" s="12">
        <f t="shared" si="0"/>
        <v>0</v>
      </c>
      <c r="AT54" s="12">
        <f t="shared" si="0"/>
        <v>0</v>
      </c>
      <c r="AU54" s="12">
        <f t="shared" si="0"/>
        <v>0</v>
      </c>
      <c r="AV54" s="12">
        <f t="shared" si="0"/>
        <v>47241503</v>
      </c>
      <c r="AW54" s="12">
        <f t="shared" si="0"/>
        <v>0</v>
      </c>
      <c r="AX54" s="12">
        <f t="shared" si="0"/>
        <v>0</v>
      </c>
      <c r="AY54" s="12">
        <f t="shared" si="0"/>
        <v>0</v>
      </c>
      <c r="AZ54" s="12">
        <f t="shared" si="0"/>
        <v>0</v>
      </c>
      <c r="BA54" s="12">
        <f t="shared" si="0"/>
        <v>57381956</v>
      </c>
      <c r="BB54" s="12">
        <f t="shared" si="0"/>
        <v>0</v>
      </c>
      <c r="BC54" s="12">
        <f t="shared" si="0"/>
        <v>0</v>
      </c>
      <c r="BD54" s="12">
        <f t="shared" si="0"/>
        <v>0</v>
      </c>
      <c r="BE54" s="12">
        <f t="shared" si="0"/>
        <v>0</v>
      </c>
      <c r="BF54" s="12">
        <f t="shared" si="0"/>
        <v>68248336</v>
      </c>
      <c r="BG54" s="12">
        <f t="shared" si="0"/>
        <v>0</v>
      </c>
      <c r="BH54" s="12">
        <f t="shared" si="0"/>
        <v>0</v>
      </c>
      <c r="BI54" s="12">
        <f t="shared" si="0"/>
        <v>0</v>
      </c>
      <c r="BJ54" s="12">
        <f t="shared" si="0"/>
        <v>0</v>
      </c>
      <c r="BK54" s="12">
        <f t="shared" si="0"/>
        <v>102033323</v>
      </c>
      <c r="BL54" s="12">
        <f t="shared" si="0"/>
        <v>0</v>
      </c>
      <c r="BM54" s="12">
        <f t="shared" si="0"/>
        <v>0</v>
      </c>
      <c r="BN54" s="12">
        <f t="shared" si="0"/>
        <v>0</v>
      </c>
      <c r="BO54" s="12">
        <f t="shared" si="0"/>
        <v>0</v>
      </c>
      <c r="BP54" s="12">
        <f t="shared" si="0"/>
        <v>86079855</v>
      </c>
      <c r="BQ54" s="12">
        <f t="shared" si="0"/>
        <v>0</v>
      </c>
      <c r="BR54" s="12">
        <f t="shared" si="0"/>
        <v>0</v>
      </c>
      <c r="BS54" s="12">
        <f t="shared" si="0"/>
        <v>0</v>
      </c>
      <c r="BT54" s="12">
        <f t="shared" si="0"/>
        <v>0</v>
      </c>
      <c r="BU54" s="12">
        <f t="shared" si="0"/>
        <v>-2473985</v>
      </c>
      <c r="CO54" s="12">
        <f>CJ52-CO51</f>
        <v>-18212531.271740019</v>
      </c>
    </row>
    <row r="55" spans="4:118" hidden="1" x14ac:dyDescent="0.2">
      <c r="D55" s="191"/>
      <c r="M55" s="12">
        <f t="shared" si="1"/>
        <v>16407808</v>
      </c>
      <c r="N55" s="12">
        <f t="shared" si="0"/>
        <v>0</v>
      </c>
      <c r="O55" s="12">
        <f t="shared" si="0"/>
        <v>0</v>
      </c>
      <c r="P55" s="12">
        <f t="shared" si="0"/>
        <v>0</v>
      </c>
      <c r="Q55" s="12">
        <f t="shared" si="0"/>
        <v>0</v>
      </c>
      <c r="R55" s="12">
        <f t="shared" si="0"/>
        <v>16966801</v>
      </c>
      <c r="S55" s="12">
        <f t="shared" si="0"/>
        <v>0</v>
      </c>
      <c r="T55" s="12">
        <f t="shared" si="0"/>
        <v>0</v>
      </c>
      <c r="U55" s="12">
        <f t="shared" si="0"/>
        <v>0</v>
      </c>
      <c r="V55" s="12">
        <f t="shared" si="0"/>
        <v>0</v>
      </c>
      <c r="W55" s="12">
        <f t="shared" si="0"/>
        <v>24865930</v>
      </c>
      <c r="X55" s="12">
        <f t="shared" si="0"/>
        <v>0</v>
      </c>
      <c r="Y55" s="12">
        <f t="shared" si="0"/>
        <v>0</v>
      </c>
      <c r="Z55" s="12">
        <f t="shared" si="0"/>
        <v>0</v>
      </c>
      <c r="AA55" s="12">
        <f t="shared" si="0"/>
        <v>0</v>
      </c>
      <c r="AB55" s="12">
        <f t="shared" si="0"/>
        <v>17229919</v>
      </c>
      <c r="AC55" s="12">
        <f t="shared" si="0"/>
        <v>0</v>
      </c>
      <c r="AD55" s="12">
        <f t="shared" si="0"/>
        <v>0</v>
      </c>
      <c r="AE55" s="12">
        <f t="shared" si="0"/>
        <v>0</v>
      </c>
      <c r="AF55" s="12">
        <f t="shared" si="0"/>
        <v>0</v>
      </c>
      <c r="AG55" s="12">
        <f t="shared" si="0"/>
        <v>62600155</v>
      </c>
      <c r="AH55" s="12">
        <f t="shared" si="0"/>
        <v>0</v>
      </c>
      <c r="AI55" s="12">
        <f t="shared" si="0"/>
        <v>0</v>
      </c>
      <c r="AJ55" s="12">
        <f t="shared" si="0"/>
        <v>0</v>
      </c>
      <c r="AK55" s="12">
        <f t="shared" si="0"/>
        <v>0</v>
      </c>
      <c r="AL55" s="12">
        <f t="shared" si="0"/>
        <v>25114365</v>
      </c>
      <c r="AM55" s="12">
        <f t="shared" si="0"/>
        <v>0</v>
      </c>
      <c r="AN55" s="12">
        <f t="shared" si="0"/>
        <v>0</v>
      </c>
      <c r="AO55" s="12">
        <f t="shared" si="0"/>
        <v>0</v>
      </c>
      <c r="AP55" s="12">
        <f t="shared" si="0"/>
        <v>0</v>
      </c>
      <c r="AQ55" s="12">
        <f t="shared" si="0"/>
        <v>-63624200</v>
      </c>
      <c r="AR55" s="12">
        <f t="shared" si="0"/>
        <v>0</v>
      </c>
      <c r="AS55" s="12">
        <f t="shared" si="0"/>
        <v>0</v>
      </c>
      <c r="AT55" s="12">
        <f t="shared" si="0"/>
        <v>0</v>
      </c>
      <c r="AU55" s="12">
        <f t="shared" si="0"/>
        <v>0</v>
      </c>
      <c r="AV55" s="12">
        <f t="shared" si="0"/>
        <v>-72920853</v>
      </c>
      <c r="AW55" s="12">
        <f t="shared" si="0"/>
        <v>0</v>
      </c>
      <c r="AX55" s="12">
        <f t="shared" si="0"/>
        <v>0</v>
      </c>
      <c r="AY55" s="12">
        <f t="shared" si="0"/>
        <v>0</v>
      </c>
      <c r="AZ55" s="12">
        <f t="shared" si="0"/>
        <v>0</v>
      </c>
      <c r="BA55" s="12">
        <f t="shared" si="0"/>
        <v>-72696479</v>
      </c>
      <c r="BB55" s="12">
        <f t="shared" si="0"/>
        <v>0</v>
      </c>
      <c r="BC55" s="12">
        <f t="shared" si="0"/>
        <v>0</v>
      </c>
      <c r="BD55" s="12">
        <f t="shared" si="0"/>
        <v>0</v>
      </c>
      <c r="BE55" s="12">
        <f t="shared" si="0"/>
        <v>0</v>
      </c>
      <c r="BF55" s="12">
        <f t="shared" si="0"/>
        <v>-72531410</v>
      </c>
      <c r="BG55" s="12">
        <f t="shared" si="0"/>
        <v>0</v>
      </c>
      <c r="BH55" s="12">
        <f t="shared" si="0"/>
        <v>0</v>
      </c>
      <c r="BI55" s="12">
        <f t="shared" si="0"/>
        <v>0</v>
      </c>
      <c r="BJ55" s="12">
        <f t="shared" si="0"/>
        <v>0</v>
      </c>
      <c r="BK55" s="12">
        <f t="shared" si="0"/>
        <v>-72510051</v>
      </c>
      <c r="BL55" s="12">
        <f t="shared" si="0"/>
        <v>0</v>
      </c>
      <c r="BM55" s="12">
        <f t="shared" si="0"/>
        <v>0</v>
      </c>
      <c r="BN55" s="12">
        <f t="shared" si="0"/>
        <v>0</v>
      </c>
      <c r="BO55" s="12">
        <f t="shared" si="0"/>
        <v>0</v>
      </c>
      <c r="BP55" s="12">
        <f t="shared" si="0"/>
        <v>-72590067</v>
      </c>
      <c r="BQ55" s="12">
        <f t="shared" si="0"/>
        <v>0</v>
      </c>
      <c r="BR55" s="12">
        <f t="shared" si="0"/>
        <v>0</v>
      </c>
      <c r="BS55" s="12">
        <f t="shared" si="0"/>
        <v>0</v>
      </c>
      <c r="BT55" s="12">
        <f t="shared" si="0"/>
        <v>0</v>
      </c>
      <c r="BU55" s="12">
        <f t="shared" si="0"/>
        <v>16407808</v>
      </c>
    </row>
    <row r="56" spans="4:118" hidden="1" x14ac:dyDescent="0.2">
      <c r="D56" s="169"/>
      <c r="M56" s="12">
        <f t="shared" si="1"/>
        <v>-18881793</v>
      </c>
      <c r="N56" s="12">
        <f t="shared" si="0"/>
        <v>0</v>
      </c>
      <c r="O56" s="12">
        <f t="shared" si="0"/>
        <v>0</v>
      </c>
      <c r="P56" s="12">
        <f t="shared" si="0"/>
        <v>0</v>
      </c>
      <c r="Q56" s="12">
        <f t="shared" si="0"/>
        <v>0</v>
      </c>
      <c r="R56" s="12">
        <f t="shared" si="0"/>
        <v>38205369</v>
      </c>
      <c r="S56" s="12">
        <f t="shared" si="0"/>
        <v>0</v>
      </c>
      <c r="T56" s="12">
        <f t="shared" si="0"/>
        <v>0</v>
      </c>
      <c r="U56" s="12">
        <f t="shared" si="0"/>
        <v>0</v>
      </c>
      <c r="V56" s="12">
        <f t="shared" si="0"/>
        <v>0</v>
      </c>
      <c r="W56" s="12">
        <f t="shared" si="0"/>
        <v>33489962</v>
      </c>
      <c r="X56" s="12">
        <f t="shared" si="0"/>
        <v>0</v>
      </c>
      <c r="Y56" s="12">
        <f t="shared" si="0"/>
        <v>0</v>
      </c>
      <c r="Z56" s="12">
        <f t="shared" si="0"/>
        <v>0</v>
      </c>
      <c r="AA56" s="12">
        <f t="shared" si="0"/>
        <v>0</v>
      </c>
      <c r="AB56" s="12">
        <f t="shared" si="0"/>
        <v>-16095864</v>
      </c>
      <c r="AC56" s="12">
        <f t="shared" si="0"/>
        <v>0</v>
      </c>
      <c r="AD56" s="12">
        <f t="shared" si="0"/>
        <v>0</v>
      </c>
      <c r="AE56" s="12">
        <f t="shared" si="0"/>
        <v>0</v>
      </c>
      <c r="AF56" s="12">
        <f t="shared" si="0"/>
        <v>0</v>
      </c>
      <c r="AG56" s="12">
        <f t="shared" si="0"/>
        <v>63669469</v>
      </c>
      <c r="AH56" s="12">
        <f t="shared" si="0"/>
        <v>0</v>
      </c>
      <c r="AI56" s="12">
        <f t="shared" si="0"/>
        <v>0</v>
      </c>
      <c r="AJ56" s="12">
        <f t="shared" si="0"/>
        <v>0</v>
      </c>
      <c r="AK56" s="12">
        <f t="shared" si="0"/>
        <v>0</v>
      </c>
      <c r="AL56" s="12">
        <f t="shared" si="0"/>
        <v>69709061</v>
      </c>
      <c r="AM56" s="12">
        <f t="shared" si="0"/>
        <v>0</v>
      </c>
      <c r="AN56" s="12">
        <f t="shared" si="0"/>
        <v>0</v>
      </c>
      <c r="AO56" s="12">
        <f t="shared" si="0"/>
        <v>0</v>
      </c>
      <c r="AP56" s="12">
        <f t="shared" si="0"/>
        <v>0</v>
      </c>
      <c r="AQ56" s="12">
        <f t="shared" si="0"/>
        <v>67171845</v>
      </c>
      <c r="AR56" s="12">
        <f t="shared" si="0"/>
        <v>0</v>
      </c>
      <c r="AS56" s="12">
        <f t="shared" si="0"/>
        <v>0</v>
      </c>
      <c r="AT56" s="12">
        <f t="shared" si="0"/>
        <v>0</v>
      </c>
      <c r="AU56" s="12">
        <f t="shared" si="0"/>
        <v>0</v>
      </c>
      <c r="AV56" s="12">
        <f t="shared" si="0"/>
        <v>120162356</v>
      </c>
      <c r="AW56" s="12">
        <f t="shared" si="0"/>
        <v>0</v>
      </c>
      <c r="AX56" s="12">
        <f t="shared" si="0"/>
        <v>0</v>
      </c>
      <c r="AY56" s="12">
        <f t="shared" si="0"/>
        <v>0</v>
      </c>
      <c r="AZ56" s="12">
        <f t="shared" si="0"/>
        <v>0</v>
      </c>
      <c r="BA56" s="12">
        <f t="shared" si="0"/>
        <v>130078435</v>
      </c>
      <c r="BB56" s="12">
        <f t="shared" si="0"/>
        <v>0</v>
      </c>
      <c r="BC56" s="12">
        <f t="shared" si="0"/>
        <v>0</v>
      </c>
      <c r="BD56" s="12">
        <f t="shared" si="0"/>
        <v>0</v>
      </c>
      <c r="BE56" s="12">
        <f t="shared" si="0"/>
        <v>0</v>
      </c>
      <c r="BF56" s="12">
        <f t="shared" si="0"/>
        <v>140779746</v>
      </c>
      <c r="BG56" s="12">
        <f t="shared" si="0"/>
        <v>0</v>
      </c>
      <c r="BH56" s="12">
        <f t="shared" si="0"/>
        <v>0</v>
      </c>
      <c r="BI56" s="12">
        <f t="shared" si="0"/>
        <v>0</v>
      </c>
      <c r="BJ56" s="12">
        <f t="shared" si="0"/>
        <v>0</v>
      </c>
      <c r="BK56" s="12">
        <f t="shared" si="0"/>
        <v>174543374</v>
      </c>
      <c r="BL56" s="12">
        <f t="shared" si="0"/>
        <v>0</v>
      </c>
      <c r="BM56" s="12">
        <f t="shared" si="0"/>
        <v>0</v>
      </c>
      <c r="BN56" s="12">
        <f t="shared" si="0"/>
        <v>0</v>
      </c>
      <c r="BO56" s="12">
        <f t="shared" si="0"/>
        <v>0</v>
      </c>
      <c r="BP56" s="12">
        <f t="shared" si="0"/>
        <v>158669922</v>
      </c>
      <c r="BQ56" s="12">
        <f t="shared" si="0"/>
        <v>0</v>
      </c>
      <c r="BR56" s="12">
        <f t="shared" si="0"/>
        <v>0</v>
      </c>
      <c r="BS56" s="12">
        <f t="shared" si="0"/>
        <v>0</v>
      </c>
      <c r="BT56" s="12">
        <f t="shared" si="0"/>
        <v>0</v>
      </c>
      <c r="BU56" s="12">
        <f t="shared" si="0"/>
        <v>-18881793</v>
      </c>
    </row>
    <row r="57" spans="4:118" hidden="1" x14ac:dyDescent="0.2">
      <c r="D57" s="348"/>
      <c r="M57" s="12">
        <f t="shared" si="1"/>
        <v>0</v>
      </c>
      <c r="N57" s="12">
        <f t="shared" si="0"/>
        <v>0</v>
      </c>
      <c r="O57" s="12">
        <f t="shared" si="0"/>
        <v>0</v>
      </c>
      <c r="P57" s="12">
        <f t="shared" si="0"/>
        <v>0</v>
      </c>
      <c r="Q57" s="12">
        <f t="shared" si="0"/>
        <v>0</v>
      </c>
      <c r="R57" s="12">
        <f t="shared" si="0"/>
        <v>0</v>
      </c>
      <c r="S57" s="12">
        <f t="shared" si="0"/>
        <v>0</v>
      </c>
      <c r="T57" s="12">
        <f t="shared" si="0"/>
        <v>0</v>
      </c>
      <c r="U57" s="12">
        <f t="shared" si="0"/>
        <v>0</v>
      </c>
      <c r="V57" s="12">
        <f t="shared" si="0"/>
        <v>0</v>
      </c>
      <c r="W57" s="12">
        <f t="shared" si="0"/>
        <v>0</v>
      </c>
      <c r="X57" s="12">
        <f t="shared" si="0"/>
        <v>0</v>
      </c>
      <c r="Y57" s="12">
        <f t="shared" si="0"/>
        <v>0</v>
      </c>
      <c r="Z57" s="12">
        <f t="shared" si="0"/>
        <v>0</v>
      </c>
      <c r="AA57" s="12">
        <f t="shared" si="0"/>
        <v>0</v>
      </c>
      <c r="AB57" s="12">
        <f t="shared" si="0"/>
        <v>0</v>
      </c>
      <c r="AC57" s="12">
        <f t="shared" ref="AC57:BU62" si="2">AC16-CU16</f>
        <v>0</v>
      </c>
      <c r="AD57" s="12">
        <f t="shared" si="2"/>
        <v>0</v>
      </c>
      <c r="AE57" s="12">
        <f t="shared" si="2"/>
        <v>0</v>
      </c>
      <c r="AF57" s="12">
        <f t="shared" si="2"/>
        <v>0</v>
      </c>
      <c r="AG57" s="12">
        <f t="shared" si="2"/>
        <v>0</v>
      </c>
      <c r="AH57" s="12">
        <f t="shared" si="2"/>
        <v>0</v>
      </c>
      <c r="AI57" s="12">
        <f t="shared" si="2"/>
        <v>0</v>
      </c>
      <c r="AJ57" s="12">
        <f t="shared" si="2"/>
        <v>0</v>
      </c>
      <c r="AK57" s="12">
        <f t="shared" si="2"/>
        <v>0</v>
      </c>
      <c r="AL57" s="12">
        <f t="shared" si="2"/>
        <v>0</v>
      </c>
      <c r="AM57" s="12">
        <f t="shared" si="2"/>
        <v>0</v>
      </c>
      <c r="AN57" s="12">
        <f t="shared" si="2"/>
        <v>0</v>
      </c>
      <c r="AO57" s="12">
        <f t="shared" si="2"/>
        <v>0</v>
      </c>
      <c r="AP57" s="12">
        <f t="shared" si="2"/>
        <v>0</v>
      </c>
      <c r="AQ57" s="12">
        <f t="shared" si="2"/>
        <v>0</v>
      </c>
      <c r="AR57" s="12">
        <f t="shared" si="2"/>
        <v>0</v>
      </c>
      <c r="AS57" s="12">
        <f t="shared" si="2"/>
        <v>0</v>
      </c>
      <c r="AT57" s="12">
        <f t="shared" si="2"/>
        <v>0</v>
      </c>
      <c r="AU57" s="12">
        <f t="shared" si="2"/>
        <v>0</v>
      </c>
      <c r="AV57" s="12">
        <f t="shared" si="2"/>
        <v>0</v>
      </c>
      <c r="AW57" s="12">
        <f t="shared" si="2"/>
        <v>0</v>
      </c>
      <c r="AX57" s="12">
        <f t="shared" si="2"/>
        <v>0</v>
      </c>
      <c r="AY57" s="12">
        <f t="shared" si="2"/>
        <v>0</v>
      </c>
      <c r="AZ57" s="12">
        <f t="shared" si="2"/>
        <v>0</v>
      </c>
      <c r="BA57" s="12">
        <f t="shared" si="2"/>
        <v>0</v>
      </c>
      <c r="BB57" s="12">
        <f t="shared" si="2"/>
        <v>0</v>
      </c>
      <c r="BC57" s="12">
        <f t="shared" si="2"/>
        <v>0</v>
      </c>
      <c r="BD57" s="12">
        <f t="shared" si="2"/>
        <v>0</v>
      </c>
      <c r="BE57" s="12">
        <f t="shared" si="2"/>
        <v>0</v>
      </c>
      <c r="BF57" s="12">
        <f t="shared" si="2"/>
        <v>0</v>
      </c>
      <c r="BG57" s="12">
        <f t="shared" si="2"/>
        <v>0</v>
      </c>
      <c r="BH57" s="12">
        <f t="shared" si="2"/>
        <v>0</v>
      </c>
      <c r="BI57" s="12">
        <f t="shared" si="2"/>
        <v>0</v>
      </c>
      <c r="BJ57" s="12">
        <f t="shared" si="2"/>
        <v>0</v>
      </c>
      <c r="BK57" s="12">
        <f t="shared" si="2"/>
        <v>0</v>
      </c>
      <c r="BL57" s="12">
        <f t="shared" si="2"/>
        <v>0</v>
      </c>
      <c r="BM57" s="12">
        <f t="shared" si="2"/>
        <v>0</v>
      </c>
      <c r="BN57" s="12">
        <f t="shared" si="2"/>
        <v>0</v>
      </c>
      <c r="BO57" s="12">
        <f t="shared" si="2"/>
        <v>0</v>
      </c>
      <c r="BP57" s="12">
        <f t="shared" si="2"/>
        <v>0</v>
      </c>
      <c r="BQ57" s="12">
        <f t="shared" si="2"/>
        <v>0</v>
      </c>
      <c r="BR57" s="12">
        <f t="shared" si="2"/>
        <v>0</v>
      </c>
      <c r="BS57" s="12">
        <f t="shared" si="2"/>
        <v>0</v>
      </c>
      <c r="BT57" s="12">
        <f t="shared" si="2"/>
        <v>0</v>
      </c>
      <c r="BU57" s="12">
        <f t="shared" si="2"/>
        <v>0</v>
      </c>
      <c r="CJ57" s="452"/>
    </row>
    <row r="58" spans="4:118" hidden="1" x14ac:dyDescent="0.2">
      <c r="M58" s="12">
        <f t="shared" si="1"/>
        <v>55172170</v>
      </c>
      <c r="N58" s="12">
        <f t="shared" si="1"/>
        <v>0</v>
      </c>
      <c r="O58" s="12">
        <f t="shared" si="1"/>
        <v>0</v>
      </c>
      <c r="P58" s="12">
        <f t="shared" si="1"/>
        <v>0</v>
      </c>
      <c r="Q58" s="12">
        <f t="shared" si="1"/>
        <v>0</v>
      </c>
      <c r="R58" s="12">
        <f t="shared" si="1"/>
        <v>58355892</v>
      </c>
      <c r="S58" s="12">
        <f t="shared" si="1"/>
        <v>0</v>
      </c>
      <c r="T58" s="12">
        <f t="shared" si="1"/>
        <v>0</v>
      </c>
      <c r="U58" s="12">
        <f t="shared" si="1"/>
        <v>0</v>
      </c>
      <c r="V58" s="12">
        <f t="shared" si="1"/>
        <v>0</v>
      </c>
      <c r="W58" s="12">
        <f t="shared" si="1"/>
        <v>1134055</v>
      </c>
      <c r="X58" s="12">
        <f t="shared" si="1"/>
        <v>0</v>
      </c>
      <c r="Y58" s="12">
        <f t="shared" si="1"/>
        <v>0</v>
      </c>
      <c r="Z58" s="12">
        <f t="shared" si="1"/>
        <v>0</v>
      </c>
      <c r="AA58" s="12">
        <f t="shared" si="1"/>
        <v>0</v>
      </c>
      <c r="AB58" s="12">
        <f t="shared" si="1"/>
        <v>126269624</v>
      </c>
      <c r="AC58" s="12">
        <f t="shared" si="2"/>
        <v>0</v>
      </c>
      <c r="AD58" s="12">
        <f t="shared" si="2"/>
        <v>0</v>
      </c>
      <c r="AE58" s="12">
        <f t="shared" si="2"/>
        <v>0</v>
      </c>
      <c r="AF58" s="12">
        <f t="shared" si="2"/>
        <v>0</v>
      </c>
      <c r="AG58" s="12">
        <f t="shared" si="2"/>
        <v>94823426</v>
      </c>
      <c r="AH58" s="12">
        <f t="shared" si="2"/>
        <v>0</v>
      </c>
      <c r="AI58" s="12">
        <f t="shared" si="2"/>
        <v>0</v>
      </c>
      <c r="AJ58" s="12">
        <f t="shared" si="2"/>
        <v>0</v>
      </c>
      <c r="AK58" s="12">
        <f t="shared" si="2"/>
        <v>0</v>
      </c>
      <c r="AL58" s="12">
        <f t="shared" si="2"/>
        <v>3547645</v>
      </c>
      <c r="AM58" s="12">
        <f t="shared" si="2"/>
        <v>0</v>
      </c>
      <c r="AN58" s="12">
        <f t="shared" si="2"/>
        <v>0</v>
      </c>
      <c r="AO58" s="12">
        <f t="shared" si="2"/>
        <v>0</v>
      </c>
      <c r="AP58" s="12">
        <f t="shared" si="2"/>
        <v>0</v>
      </c>
      <c r="AQ58" s="12">
        <f t="shared" si="2"/>
        <v>47241503</v>
      </c>
      <c r="AR58" s="12">
        <f t="shared" si="2"/>
        <v>0</v>
      </c>
      <c r="AS58" s="12">
        <f t="shared" si="2"/>
        <v>0</v>
      </c>
      <c r="AT58" s="12">
        <f t="shared" si="2"/>
        <v>0</v>
      </c>
      <c r="AU58" s="12">
        <f t="shared" si="2"/>
        <v>0</v>
      </c>
      <c r="AV58" s="12">
        <f t="shared" si="2"/>
        <v>57381956</v>
      </c>
      <c r="AW58" s="12">
        <f t="shared" si="2"/>
        <v>0</v>
      </c>
      <c r="AX58" s="12">
        <f t="shared" si="2"/>
        <v>0</v>
      </c>
      <c r="AY58" s="12">
        <f t="shared" si="2"/>
        <v>0</v>
      </c>
      <c r="AZ58" s="12">
        <f t="shared" si="2"/>
        <v>0</v>
      </c>
      <c r="BA58" s="12">
        <f t="shared" si="2"/>
        <v>68248336</v>
      </c>
      <c r="BB58" s="12">
        <f t="shared" si="2"/>
        <v>0</v>
      </c>
      <c r="BC58" s="12">
        <f t="shared" si="2"/>
        <v>0</v>
      </c>
      <c r="BD58" s="12">
        <f t="shared" si="2"/>
        <v>0</v>
      </c>
      <c r="BE58" s="12">
        <f t="shared" si="2"/>
        <v>0</v>
      </c>
      <c r="BF58" s="12">
        <f t="shared" si="2"/>
        <v>102033323</v>
      </c>
      <c r="BG58" s="12">
        <f t="shared" si="2"/>
        <v>0</v>
      </c>
      <c r="BH58" s="12">
        <f t="shared" si="2"/>
        <v>0</v>
      </c>
      <c r="BI58" s="12">
        <f t="shared" si="2"/>
        <v>0</v>
      </c>
      <c r="BJ58" s="12">
        <f t="shared" si="2"/>
        <v>0</v>
      </c>
      <c r="BK58" s="12">
        <f t="shared" si="2"/>
        <v>86079855</v>
      </c>
      <c r="BL58" s="12">
        <f t="shared" si="2"/>
        <v>0</v>
      </c>
      <c r="BM58" s="12">
        <f t="shared" si="2"/>
        <v>0</v>
      </c>
      <c r="BN58" s="12">
        <f t="shared" si="2"/>
        <v>0</v>
      </c>
      <c r="BO58" s="12">
        <f t="shared" si="2"/>
        <v>0</v>
      </c>
      <c r="BP58" s="12">
        <f t="shared" si="2"/>
        <v>101942012</v>
      </c>
      <c r="BQ58" s="12">
        <f t="shared" si="2"/>
        <v>0</v>
      </c>
      <c r="BR58" s="12">
        <f t="shared" si="2"/>
        <v>0</v>
      </c>
      <c r="BS58" s="12">
        <f t="shared" si="2"/>
        <v>0</v>
      </c>
      <c r="BT58" s="12">
        <f t="shared" si="2"/>
        <v>0</v>
      </c>
      <c r="BU58" s="12">
        <f t="shared" si="2"/>
        <v>101942012</v>
      </c>
    </row>
    <row r="59" spans="4:118" hidden="1" x14ac:dyDescent="0.2">
      <c r="M59" s="12">
        <f t="shared" si="1"/>
        <v>16966801</v>
      </c>
      <c r="N59" s="12">
        <f t="shared" si="1"/>
        <v>0</v>
      </c>
      <c r="O59" s="12">
        <f t="shared" si="1"/>
        <v>0</v>
      </c>
      <c r="P59" s="12">
        <f t="shared" si="1"/>
        <v>0</v>
      </c>
      <c r="Q59" s="12">
        <f t="shared" si="1"/>
        <v>0</v>
      </c>
      <c r="R59" s="12">
        <f t="shared" si="1"/>
        <v>24865930</v>
      </c>
      <c r="S59" s="12">
        <f t="shared" si="1"/>
        <v>0</v>
      </c>
      <c r="T59" s="12">
        <f t="shared" si="1"/>
        <v>0</v>
      </c>
      <c r="U59" s="12">
        <f t="shared" si="1"/>
        <v>0</v>
      </c>
      <c r="V59" s="12">
        <f t="shared" si="1"/>
        <v>0</v>
      </c>
      <c r="W59" s="12">
        <f t="shared" si="1"/>
        <v>17229919</v>
      </c>
      <c r="X59" s="12">
        <f t="shared" si="1"/>
        <v>0</v>
      </c>
      <c r="Y59" s="12">
        <f t="shared" si="1"/>
        <v>0</v>
      </c>
      <c r="Z59" s="12">
        <f t="shared" si="1"/>
        <v>0</v>
      </c>
      <c r="AA59" s="12">
        <f t="shared" si="1"/>
        <v>0</v>
      </c>
      <c r="AB59" s="12">
        <f t="shared" si="1"/>
        <v>62600155</v>
      </c>
      <c r="AC59" s="12">
        <f t="shared" si="2"/>
        <v>0</v>
      </c>
      <c r="AD59" s="12">
        <f t="shared" si="2"/>
        <v>0</v>
      </c>
      <c r="AE59" s="12">
        <f t="shared" si="2"/>
        <v>0</v>
      </c>
      <c r="AF59" s="12">
        <f t="shared" si="2"/>
        <v>0</v>
      </c>
      <c r="AG59" s="12">
        <f t="shared" si="2"/>
        <v>25114365</v>
      </c>
      <c r="AH59" s="12">
        <f t="shared" si="2"/>
        <v>0</v>
      </c>
      <c r="AI59" s="12">
        <f t="shared" si="2"/>
        <v>0</v>
      </c>
      <c r="AJ59" s="12">
        <f t="shared" si="2"/>
        <v>0</v>
      </c>
      <c r="AK59" s="12">
        <f t="shared" si="2"/>
        <v>0</v>
      </c>
      <c r="AL59" s="12">
        <f t="shared" si="2"/>
        <v>-63624200</v>
      </c>
      <c r="AM59" s="12">
        <f t="shared" si="2"/>
        <v>0</v>
      </c>
      <c r="AN59" s="12">
        <f t="shared" si="2"/>
        <v>0</v>
      </c>
      <c r="AO59" s="12">
        <f t="shared" si="2"/>
        <v>0</v>
      </c>
      <c r="AP59" s="12">
        <f t="shared" si="2"/>
        <v>0</v>
      </c>
      <c r="AQ59" s="12">
        <f t="shared" si="2"/>
        <v>-72920853</v>
      </c>
      <c r="AR59" s="12">
        <f t="shared" si="2"/>
        <v>0</v>
      </c>
      <c r="AS59" s="12">
        <f t="shared" si="2"/>
        <v>0</v>
      </c>
      <c r="AT59" s="12">
        <f t="shared" si="2"/>
        <v>0</v>
      </c>
      <c r="AU59" s="12">
        <f t="shared" si="2"/>
        <v>0</v>
      </c>
      <c r="AV59" s="12">
        <f t="shared" si="2"/>
        <v>-72696479</v>
      </c>
      <c r="AW59" s="12">
        <f t="shared" si="2"/>
        <v>0</v>
      </c>
      <c r="AX59" s="12">
        <f t="shared" si="2"/>
        <v>0</v>
      </c>
      <c r="AY59" s="12">
        <f t="shared" si="2"/>
        <v>0</v>
      </c>
      <c r="AZ59" s="12">
        <f t="shared" si="2"/>
        <v>0</v>
      </c>
      <c r="BA59" s="12">
        <f t="shared" si="2"/>
        <v>-72531410</v>
      </c>
      <c r="BB59" s="12">
        <f t="shared" si="2"/>
        <v>0</v>
      </c>
      <c r="BC59" s="12">
        <f t="shared" si="2"/>
        <v>0</v>
      </c>
      <c r="BD59" s="12">
        <f t="shared" si="2"/>
        <v>0</v>
      </c>
      <c r="BE59" s="12">
        <f t="shared" si="2"/>
        <v>0</v>
      </c>
      <c r="BF59" s="12">
        <f t="shared" si="2"/>
        <v>-72510051</v>
      </c>
      <c r="BG59" s="12">
        <f t="shared" si="2"/>
        <v>0</v>
      </c>
      <c r="BH59" s="12">
        <f t="shared" si="2"/>
        <v>0</v>
      </c>
      <c r="BI59" s="12">
        <f t="shared" si="2"/>
        <v>0</v>
      </c>
      <c r="BJ59" s="12">
        <f t="shared" si="2"/>
        <v>0</v>
      </c>
      <c r="BK59" s="12">
        <f t="shared" si="2"/>
        <v>-72590067</v>
      </c>
      <c r="BL59" s="12">
        <f t="shared" si="2"/>
        <v>0</v>
      </c>
      <c r="BM59" s="12">
        <f t="shared" si="2"/>
        <v>0</v>
      </c>
      <c r="BN59" s="12">
        <f t="shared" si="2"/>
        <v>0</v>
      </c>
      <c r="BO59" s="12">
        <f t="shared" si="2"/>
        <v>0</v>
      </c>
      <c r="BP59" s="12">
        <f t="shared" si="2"/>
        <v>-52075813</v>
      </c>
      <c r="BQ59" s="12">
        <f t="shared" si="2"/>
        <v>0</v>
      </c>
      <c r="BR59" s="12">
        <f t="shared" si="2"/>
        <v>0</v>
      </c>
      <c r="BS59" s="12">
        <f t="shared" si="2"/>
        <v>0</v>
      </c>
      <c r="BT59" s="12">
        <f t="shared" si="2"/>
        <v>0</v>
      </c>
      <c r="BU59" s="12">
        <f t="shared" si="2"/>
        <v>-52075813</v>
      </c>
    </row>
    <row r="60" spans="4:118" hidden="1" x14ac:dyDescent="0.2">
      <c r="M60" s="12">
        <f t="shared" si="1"/>
        <v>38205369</v>
      </c>
      <c r="N60" s="12">
        <f t="shared" si="1"/>
        <v>0</v>
      </c>
      <c r="O60" s="12">
        <f t="shared" si="1"/>
        <v>0</v>
      </c>
      <c r="P60" s="12">
        <f t="shared" si="1"/>
        <v>0</v>
      </c>
      <c r="Q60" s="12">
        <f t="shared" si="1"/>
        <v>0</v>
      </c>
      <c r="R60" s="12">
        <f t="shared" si="1"/>
        <v>33489962</v>
      </c>
      <c r="S60" s="12">
        <f t="shared" si="1"/>
        <v>0</v>
      </c>
      <c r="T60" s="12">
        <f t="shared" si="1"/>
        <v>0</v>
      </c>
      <c r="U60" s="12">
        <f t="shared" si="1"/>
        <v>0</v>
      </c>
      <c r="V60" s="12">
        <f t="shared" si="1"/>
        <v>0</v>
      </c>
      <c r="W60" s="12">
        <f t="shared" si="1"/>
        <v>-16095864</v>
      </c>
      <c r="X60" s="12">
        <f t="shared" si="1"/>
        <v>0</v>
      </c>
      <c r="Y60" s="12">
        <f t="shared" si="1"/>
        <v>0</v>
      </c>
      <c r="Z60" s="12">
        <f t="shared" si="1"/>
        <v>0</v>
      </c>
      <c r="AA60" s="12">
        <f t="shared" si="1"/>
        <v>0</v>
      </c>
      <c r="AB60" s="12">
        <f t="shared" si="1"/>
        <v>63669469</v>
      </c>
      <c r="AC60" s="12">
        <f t="shared" si="2"/>
        <v>0</v>
      </c>
      <c r="AD60" s="12">
        <f t="shared" si="2"/>
        <v>0</v>
      </c>
      <c r="AE60" s="12">
        <f t="shared" si="2"/>
        <v>0</v>
      </c>
      <c r="AF60" s="12">
        <f t="shared" si="2"/>
        <v>0</v>
      </c>
      <c r="AG60" s="12">
        <f t="shared" si="2"/>
        <v>69709061</v>
      </c>
      <c r="AH60" s="12">
        <f t="shared" si="2"/>
        <v>0</v>
      </c>
      <c r="AI60" s="12">
        <f t="shared" si="2"/>
        <v>0</v>
      </c>
      <c r="AJ60" s="12">
        <f t="shared" si="2"/>
        <v>0</v>
      </c>
      <c r="AK60" s="12">
        <f t="shared" si="2"/>
        <v>0</v>
      </c>
      <c r="AL60" s="12">
        <f t="shared" si="2"/>
        <v>67171845</v>
      </c>
      <c r="AM60" s="12">
        <f t="shared" si="2"/>
        <v>0</v>
      </c>
      <c r="AN60" s="12">
        <f t="shared" si="2"/>
        <v>0</v>
      </c>
      <c r="AO60" s="12">
        <f t="shared" si="2"/>
        <v>0</v>
      </c>
      <c r="AP60" s="12">
        <f t="shared" si="2"/>
        <v>0</v>
      </c>
      <c r="AQ60" s="12">
        <f t="shared" si="2"/>
        <v>120162356</v>
      </c>
      <c r="AR60" s="12">
        <f t="shared" si="2"/>
        <v>0</v>
      </c>
      <c r="AS60" s="12">
        <f t="shared" si="2"/>
        <v>0</v>
      </c>
      <c r="AT60" s="12">
        <f t="shared" si="2"/>
        <v>0</v>
      </c>
      <c r="AU60" s="12">
        <f t="shared" si="2"/>
        <v>0</v>
      </c>
      <c r="AV60" s="12">
        <f t="shared" si="2"/>
        <v>130078435</v>
      </c>
      <c r="AW60" s="12">
        <f t="shared" si="2"/>
        <v>0</v>
      </c>
      <c r="AX60" s="12">
        <f t="shared" si="2"/>
        <v>0</v>
      </c>
      <c r="AY60" s="12">
        <f t="shared" si="2"/>
        <v>0</v>
      </c>
      <c r="AZ60" s="12">
        <f t="shared" si="2"/>
        <v>0</v>
      </c>
      <c r="BA60" s="12">
        <f t="shared" si="2"/>
        <v>140779746</v>
      </c>
      <c r="BB60" s="12">
        <f t="shared" si="2"/>
        <v>0</v>
      </c>
      <c r="BC60" s="12">
        <f t="shared" si="2"/>
        <v>0</v>
      </c>
      <c r="BD60" s="12">
        <f t="shared" si="2"/>
        <v>0</v>
      </c>
      <c r="BE60" s="12">
        <f t="shared" si="2"/>
        <v>0</v>
      </c>
      <c r="BF60" s="12">
        <f t="shared" si="2"/>
        <v>174543374</v>
      </c>
      <c r="BG60" s="12">
        <f t="shared" si="2"/>
        <v>0</v>
      </c>
      <c r="BH60" s="12">
        <f t="shared" si="2"/>
        <v>0</v>
      </c>
      <c r="BI60" s="12">
        <f t="shared" si="2"/>
        <v>0</v>
      </c>
      <c r="BJ60" s="12">
        <f t="shared" si="2"/>
        <v>0</v>
      </c>
      <c r="BK60" s="12">
        <f t="shared" si="2"/>
        <v>158669922</v>
      </c>
      <c r="BL60" s="12">
        <f t="shared" si="2"/>
        <v>0</v>
      </c>
      <c r="BM60" s="12">
        <f t="shared" si="2"/>
        <v>0</v>
      </c>
      <c r="BN60" s="12">
        <f t="shared" si="2"/>
        <v>0</v>
      </c>
      <c r="BO60" s="12">
        <f t="shared" si="2"/>
        <v>0</v>
      </c>
      <c r="BP60" s="12">
        <f t="shared" si="2"/>
        <v>154017825</v>
      </c>
      <c r="BQ60" s="12">
        <f t="shared" si="2"/>
        <v>0</v>
      </c>
      <c r="BR60" s="12">
        <f t="shared" si="2"/>
        <v>0</v>
      </c>
      <c r="BS60" s="12">
        <f t="shared" si="2"/>
        <v>0</v>
      </c>
      <c r="BT60" s="12">
        <f t="shared" si="2"/>
        <v>0</v>
      </c>
      <c r="BU60" s="12">
        <f t="shared" si="2"/>
        <v>154017825</v>
      </c>
    </row>
    <row r="61" spans="4:118" hidden="1" x14ac:dyDescent="0.2">
      <c r="M61" s="12">
        <f t="shared" si="1"/>
        <v>0</v>
      </c>
      <c r="N61" s="12">
        <f t="shared" si="1"/>
        <v>0</v>
      </c>
      <c r="O61" s="12">
        <f t="shared" si="1"/>
        <v>0</v>
      </c>
      <c r="P61" s="12">
        <f t="shared" si="1"/>
        <v>0</v>
      </c>
      <c r="Q61" s="12">
        <f t="shared" si="1"/>
        <v>0</v>
      </c>
      <c r="R61" s="12">
        <f t="shared" si="1"/>
        <v>0</v>
      </c>
      <c r="S61" s="12">
        <f t="shared" si="1"/>
        <v>0</v>
      </c>
      <c r="T61" s="12">
        <f t="shared" si="1"/>
        <v>0</v>
      </c>
      <c r="U61" s="12">
        <f t="shared" si="1"/>
        <v>0</v>
      </c>
      <c r="V61" s="12">
        <f t="shared" si="1"/>
        <v>0</v>
      </c>
      <c r="W61" s="12">
        <f t="shared" si="1"/>
        <v>0</v>
      </c>
      <c r="X61" s="12">
        <f t="shared" si="1"/>
        <v>0</v>
      </c>
      <c r="Y61" s="12">
        <f t="shared" si="1"/>
        <v>0</v>
      </c>
      <c r="Z61" s="12">
        <f t="shared" si="1"/>
        <v>0</v>
      </c>
      <c r="AA61" s="12">
        <f t="shared" si="1"/>
        <v>0</v>
      </c>
      <c r="AB61" s="12">
        <f t="shared" si="1"/>
        <v>0</v>
      </c>
      <c r="AC61" s="12">
        <f t="shared" si="2"/>
        <v>0</v>
      </c>
      <c r="AD61" s="12">
        <f t="shared" si="2"/>
        <v>0</v>
      </c>
      <c r="AE61" s="12">
        <f t="shared" si="2"/>
        <v>0</v>
      </c>
      <c r="AF61" s="12">
        <f t="shared" si="2"/>
        <v>0</v>
      </c>
      <c r="AG61" s="12">
        <f t="shared" si="2"/>
        <v>0</v>
      </c>
      <c r="AH61" s="12">
        <f t="shared" si="2"/>
        <v>0</v>
      </c>
      <c r="AI61" s="12">
        <f t="shared" si="2"/>
        <v>0</v>
      </c>
      <c r="AJ61" s="12">
        <f t="shared" si="2"/>
        <v>0</v>
      </c>
      <c r="AK61" s="12">
        <f t="shared" si="2"/>
        <v>0</v>
      </c>
      <c r="AL61" s="12">
        <f t="shared" si="2"/>
        <v>0</v>
      </c>
      <c r="AM61" s="12">
        <f t="shared" si="2"/>
        <v>0</v>
      </c>
      <c r="AN61" s="12">
        <f t="shared" si="2"/>
        <v>0</v>
      </c>
      <c r="AO61" s="12">
        <f t="shared" si="2"/>
        <v>0</v>
      </c>
      <c r="AP61" s="12">
        <f t="shared" si="2"/>
        <v>0</v>
      </c>
      <c r="AQ61" s="12">
        <f t="shared" si="2"/>
        <v>0</v>
      </c>
      <c r="AR61" s="12">
        <f t="shared" si="2"/>
        <v>0</v>
      </c>
      <c r="AS61" s="12">
        <f t="shared" si="2"/>
        <v>0</v>
      </c>
      <c r="AT61" s="12">
        <f t="shared" si="2"/>
        <v>0</v>
      </c>
      <c r="AU61" s="12">
        <f t="shared" si="2"/>
        <v>0</v>
      </c>
      <c r="AV61" s="12">
        <f t="shared" si="2"/>
        <v>0</v>
      </c>
      <c r="AW61" s="12">
        <f t="shared" si="2"/>
        <v>0</v>
      </c>
      <c r="AX61" s="12">
        <f t="shared" si="2"/>
        <v>0</v>
      </c>
      <c r="AY61" s="12">
        <f t="shared" si="2"/>
        <v>0</v>
      </c>
      <c r="AZ61" s="12">
        <f t="shared" si="2"/>
        <v>0</v>
      </c>
      <c r="BA61" s="12">
        <f t="shared" si="2"/>
        <v>0</v>
      </c>
      <c r="BB61" s="12">
        <f t="shared" si="2"/>
        <v>0</v>
      </c>
      <c r="BC61" s="12">
        <f t="shared" si="2"/>
        <v>0</v>
      </c>
      <c r="BD61" s="12">
        <f t="shared" si="2"/>
        <v>0</v>
      </c>
      <c r="BE61" s="12">
        <f t="shared" si="2"/>
        <v>0</v>
      </c>
      <c r="BF61" s="12">
        <f t="shared" si="2"/>
        <v>0</v>
      </c>
      <c r="BG61" s="12">
        <f t="shared" si="2"/>
        <v>0</v>
      </c>
      <c r="BH61" s="12">
        <f t="shared" si="2"/>
        <v>0</v>
      </c>
      <c r="BI61" s="12">
        <f t="shared" si="2"/>
        <v>0</v>
      </c>
      <c r="BJ61" s="12">
        <f t="shared" si="2"/>
        <v>0</v>
      </c>
      <c r="BK61" s="12">
        <f t="shared" si="2"/>
        <v>0</v>
      </c>
      <c r="BL61" s="12">
        <f t="shared" si="2"/>
        <v>0</v>
      </c>
      <c r="BM61" s="12">
        <f t="shared" si="2"/>
        <v>0</v>
      </c>
      <c r="BN61" s="12">
        <f t="shared" si="2"/>
        <v>0</v>
      </c>
      <c r="BO61" s="12">
        <f t="shared" si="2"/>
        <v>0</v>
      </c>
      <c r="BP61" s="12">
        <f t="shared" si="2"/>
        <v>0</v>
      </c>
      <c r="BQ61" s="12">
        <f t="shared" si="2"/>
        <v>0</v>
      </c>
      <c r="BR61" s="12">
        <f t="shared" si="2"/>
        <v>0</v>
      </c>
      <c r="BS61" s="12">
        <f t="shared" si="2"/>
        <v>0</v>
      </c>
      <c r="BT61" s="12">
        <f t="shared" si="2"/>
        <v>0</v>
      </c>
      <c r="BU61" s="12">
        <f t="shared" si="2"/>
        <v>0</v>
      </c>
    </row>
    <row r="62" spans="4:118" hidden="1" x14ac:dyDescent="0.2">
      <c r="M62" s="12">
        <f t="shared" si="1"/>
        <v>0</v>
      </c>
      <c r="N62" s="12">
        <f t="shared" si="1"/>
        <v>0</v>
      </c>
      <c r="O62" s="12">
        <f t="shared" si="1"/>
        <v>0</v>
      </c>
      <c r="P62" s="12">
        <f t="shared" si="1"/>
        <v>0</v>
      </c>
      <c r="Q62" s="12">
        <f t="shared" si="1"/>
        <v>0</v>
      </c>
      <c r="R62" s="12">
        <f t="shared" si="1"/>
        <v>0</v>
      </c>
      <c r="S62" s="12">
        <f t="shared" si="1"/>
        <v>0</v>
      </c>
      <c r="T62" s="12">
        <f t="shared" si="1"/>
        <v>0</v>
      </c>
      <c r="U62" s="12">
        <f t="shared" si="1"/>
        <v>0</v>
      </c>
      <c r="V62" s="12">
        <f t="shared" si="1"/>
        <v>0</v>
      </c>
      <c r="W62" s="12">
        <f t="shared" si="1"/>
        <v>0</v>
      </c>
      <c r="X62" s="12">
        <f t="shared" si="1"/>
        <v>0</v>
      </c>
      <c r="Y62" s="12">
        <f t="shared" si="1"/>
        <v>0</v>
      </c>
      <c r="Z62" s="12">
        <f t="shared" si="1"/>
        <v>0</v>
      </c>
      <c r="AA62" s="12">
        <f t="shared" si="1"/>
        <v>0</v>
      </c>
      <c r="AB62" s="12">
        <f t="shared" si="1"/>
        <v>0</v>
      </c>
      <c r="AC62" s="12">
        <f t="shared" si="2"/>
        <v>0</v>
      </c>
      <c r="AD62" s="12">
        <f t="shared" si="2"/>
        <v>0</v>
      </c>
      <c r="AE62" s="12">
        <f t="shared" si="2"/>
        <v>0</v>
      </c>
      <c r="AF62" s="12">
        <f t="shared" si="2"/>
        <v>0</v>
      </c>
      <c r="AG62" s="12">
        <f t="shared" si="2"/>
        <v>0</v>
      </c>
      <c r="AH62" s="12">
        <f t="shared" si="2"/>
        <v>0</v>
      </c>
      <c r="AI62" s="12">
        <f t="shared" si="2"/>
        <v>0</v>
      </c>
      <c r="AJ62" s="12">
        <f t="shared" si="2"/>
        <v>0</v>
      </c>
      <c r="AK62" s="12">
        <f t="shared" si="2"/>
        <v>0</v>
      </c>
      <c r="AL62" s="12">
        <f t="shared" si="2"/>
        <v>0</v>
      </c>
      <c r="AM62" s="12">
        <f t="shared" si="2"/>
        <v>0</v>
      </c>
      <c r="AN62" s="12">
        <f t="shared" si="2"/>
        <v>0</v>
      </c>
      <c r="AO62" s="12">
        <f t="shared" si="2"/>
        <v>0</v>
      </c>
      <c r="AP62" s="12">
        <f t="shared" si="2"/>
        <v>0</v>
      </c>
      <c r="AQ62" s="12">
        <f t="shared" si="2"/>
        <v>0</v>
      </c>
      <c r="AR62" s="12">
        <f t="shared" si="2"/>
        <v>0</v>
      </c>
      <c r="AS62" s="12">
        <f t="shared" si="2"/>
        <v>0</v>
      </c>
      <c r="AT62" s="12">
        <f t="shared" si="2"/>
        <v>0</v>
      </c>
      <c r="AU62" s="12">
        <f t="shared" si="2"/>
        <v>0</v>
      </c>
      <c r="AV62" s="12">
        <f t="shared" si="2"/>
        <v>0</v>
      </c>
      <c r="AW62" s="12">
        <f t="shared" si="2"/>
        <v>0</v>
      </c>
      <c r="AX62" s="12">
        <f t="shared" si="2"/>
        <v>0</v>
      </c>
      <c r="AY62" s="12">
        <f t="shared" si="2"/>
        <v>0</v>
      </c>
      <c r="AZ62" s="12">
        <f t="shared" si="2"/>
        <v>0</v>
      </c>
      <c r="BA62" s="12">
        <f t="shared" si="2"/>
        <v>0</v>
      </c>
      <c r="BB62" s="12">
        <f t="shared" si="2"/>
        <v>0</v>
      </c>
      <c r="BC62" s="12">
        <f t="shared" si="2"/>
        <v>0</v>
      </c>
      <c r="BD62" s="12">
        <f t="shared" si="2"/>
        <v>0</v>
      </c>
      <c r="BE62" s="12">
        <f t="shared" si="2"/>
        <v>0</v>
      </c>
      <c r="BF62" s="12">
        <f t="shared" si="2"/>
        <v>0</v>
      </c>
      <c r="BG62" s="12">
        <f t="shared" ref="BG62:BU77" si="3">BG21-DY21</f>
        <v>0</v>
      </c>
      <c r="BH62" s="12">
        <f t="shared" si="3"/>
        <v>0</v>
      </c>
      <c r="BI62" s="12">
        <f t="shared" si="3"/>
        <v>0</v>
      </c>
      <c r="BJ62" s="12">
        <f t="shared" si="3"/>
        <v>0</v>
      </c>
      <c r="BK62" s="12">
        <f t="shared" si="3"/>
        <v>0</v>
      </c>
      <c r="BL62" s="12">
        <f t="shared" si="3"/>
        <v>0</v>
      </c>
      <c r="BM62" s="12">
        <f t="shared" si="3"/>
        <v>0</v>
      </c>
      <c r="BN62" s="12">
        <f t="shared" si="3"/>
        <v>0</v>
      </c>
      <c r="BO62" s="12">
        <f t="shared" si="3"/>
        <v>0</v>
      </c>
      <c r="BP62" s="12">
        <f t="shared" si="3"/>
        <v>0</v>
      </c>
      <c r="BQ62" s="12">
        <f t="shared" si="3"/>
        <v>0</v>
      </c>
      <c r="BR62" s="12">
        <f t="shared" si="3"/>
        <v>0</v>
      </c>
      <c r="BS62" s="12">
        <f t="shared" si="3"/>
        <v>0</v>
      </c>
      <c r="BT62" s="12">
        <f t="shared" si="3"/>
        <v>0</v>
      </c>
      <c r="BU62" s="12">
        <f t="shared" si="3"/>
        <v>0</v>
      </c>
    </row>
    <row r="63" spans="4:118" hidden="1" x14ac:dyDescent="0.2">
      <c r="M63" s="12">
        <f t="shared" si="1"/>
        <v>0</v>
      </c>
      <c r="N63" s="12">
        <f t="shared" si="1"/>
        <v>0</v>
      </c>
      <c r="O63" s="12">
        <f t="shared" si="1"/>
        <v>0</v>
      </c>
      <c r="P63" s="12">
        <f t="shared" si="1"/>
        <v>0</v>
      </c>
      <c r="Q63" s="12">
        <f t="shared" si="1"/>
        <v>0</v>
      </c>
      <c r="R63" s="12">
        <f t="shared" si="1"/>
        <v>0</v>
      </c>
      <c r="S63" s="12">
        <f t="shared" si="1"/>
        <v>0</v>
      </c>
      <c r="T63" s="12">
        <f t="shared" si="1"/>
        <v>0</v>
      </c>
      <c r="U63" s="12">
        <f t="shared" si="1"/>
        <v>0</v>
      </c>
      <c r="V63" s="12">
        <f t="shared" si="1"/>
        <v>0</v>
      </c>
      <c r="W63" s="12">
        <f t="shared" si="1"/>
        <v>0</v>
      </c>
      <c r="X63" s="12">
        <f t="shared" si="1"/>
        <v>0</v>
      </c>
      <c r="Y63" s="12">
        <f t="shared" si="1"/>
        <v>0</v>
      </c>
      <c r="Z63" s="12">
        <f t="shared" si="1"/>
        <v>0</v>
      </c>
      <c r="AA63" s="12">
        <f t="shared" si="1"/>
        <v>0</v>
      </c>
      <c r="AB63" s="12">
        <f t="shared" si="1"/>
        <v>0</v>
      </c>
      <c r="AC63" s="12">
        <f t="shared" ref="AC63:BF71" si="4">AC22-CU22</f>
        <v>0</v>
      </c>
      <c r="AD63" s="12">
        <f t="shared" si="4"/>
        <v>0</v>
      </c>
      <c r="AE63" s="12">
        <f t="shared" si="4"/>
        <v>0</v>
      </c>
      <c r="AF63" s="12">
        <f t="shared" si="4"/>
        <v>0</v>
      </c>
      <c r="AG63" s="12">
        <f t="shared" si="4"/>
        <v>0</v>
      </c>
      <c r="AH63" s="12">
        <f t="shared" si="4"/>
        <v>0</v>
      </c>
      <c r="AI63" s="12">
        <f t="shared" si="4"/>
        <v>0</v>
      </c>
      <c r="AJ63" s="12">
        <f t="shared" si="4"/>
        <v>0</v>
      </c>
      <c r="AK63" s="12">
        <f t="shared" si="4"/>
        <v>0</v>
      </c>
      <c r="AL63" s="12">
        <f t="shared" si="4"/>
        <v>0</v>
      </c>
      <c r="AM63" s="12">
        <f t="shared" si="4"/>
        <v>0</v>
      </c>
      <c r="AN63" s="12">
        <f t="shared" si="4"/>
        <v>0</v>
      </c>
      <c r="AO63" s="12">
        <f t="shared" si="4"/>
        <v>0</v>
      </c>
      <c r="AP63" s="12">
        <f t="shared" si="4"/>
        <v>0</v>
      </c>
      <c r="AQ63" s="12">
        <f t="shared" si="4"/>
        <v>0</v>
      </c>
      <c r="AR63" s="12">
        <f t="shared" si="4"/>
        <v>0</v>
      </c>
      <c r="AS63" s="12">
        <f t="shared" si="4"/>
        <v>0</v>
      </c>
      <c r="AT63" s="12">
        <f t="shared" si="4"/>
        <v>0</v>
      </c>
      <c r="AU63" s="12">
        <f t="shared" si="4"/>
        <v>0</v>
      </c>
      <c r="AV63" s="12">
        <f t="shared" si="4"/>
        <v>0</v>
      </c>
      <c r="AW63" s="12">
        <f t="shared" si="4"/>
        <v>0</v>
      </c>
      <c r="AX63" s="12">
        <f t="shared" si="4"/>
        <v>0</v>
      </c>
      <c r="AY63" s="12">
        <f t="shared" si="4"/>
        <v>0</v>
      </c>
      <c r="AZ63" s="12">
        <f t="shared" si="4"/>
        <v>0</v>
      </c>
      <c r="BA63" s="12">
        <f t="shared" si="4"/>
        <v>0</v>
      </c>
      <c r="BB63" s="12">
        <f t="shared" si="4"/>
        <v>0</v>
      </c>
      <c r="BC63" s="12">
        <f t="shared" si="4"/>
        <v>0</v>
      </c>
      <c r="BD63" s="12">
        <f t="shared" si="4"/>
        <v>0</v>
      </c>
      <c r="BE63" s="12">
        <f t="shared" si="4"/>
        <v>0</v>
      </c>
      <c r="BF63" s="12">
        <f t="shared" si="4"/>
        <v>0</v>
      </c>
      <c r="BG63" s="12">
        <f t="shared" si="3"/>
        <v>0</v>
      </c>
      <c r="BH63" s="12">
        <f t="shared" si="3"/>
        <v>0</v>
      </c>
      <c r="BI63" s="12">
        <f t="shared" si="3"/>
        <v>0</v>
      </c>
      <c r="BJ63" s="12">
        <f t="shared" si="3"/>
        <v>0</v>
      </c>
      <c r="BK63" s="12">
        <f t="shared" si="3"/>
        <v>0</v>
      </c>
      <c r="BL63" s="12">
        <f t="shared" si="3"/>
        <v>0</v>
      </c>
      <c r="BM63" s="12">
        <f t="shared" si="3"/>
        <v>0</v>
      </c>
      <c r="BN63" s="12">
        <f t="shared" si="3"/>
        <v>0</v>
      </c>
      <c r="BO63" s="12">
        <f t="shared" si="3"/>
        <v>0</v>
      </c>
      <c r="BP63" s="12">
        <f t="shared" si="3"/>
        <v>0</v>
      </c>
      <c r="BQ63" s="12">
        <f t="shared" si="3"/>
        <v>0</v>
      </c>
      <c r="BR63" s="12">
        <f t="shared" si="3"/>
        <v>0</v>
      </c>
      <c r="BS63" s="12">
        <f t="shared" si="3"/>
        <v>0</v>
      </c>
      <c r="BT63" s="12">
        <f t="shared" si="3"/>
        <v>0</v>
      </c>
      <c r="BU63" s="12">
        <f t="shared" si="3"/>
        <v>0</v>
      </c>
    </row>
    <row r="64" spans="4:118" hidden="1" x14ac:dyDescent="0.2">
      <c r="M64" s="12">
        <f t="shared" si="1"/>
        <v>52039064</v>
      </c>
      <c r="N64" s="12">
        <f t="shared" si="1"/>
        <v>0</v>
      </c>
      <c r="O64" s="12">
        <f t="shared" si="1"/>
        <v>0</v>
      </c>
      <c r="P64" s="12">
        <f t="shared" si="1"/>
        <v>0</v>
      </c>
      <c r="Q64" s="12">
        <f t="shared" si="1"/>
        <v>0</v>
      </c>
      <c r="R64" s="12">
        <f t="shared" si="1"/>
        <v>-2187194</v>
      </c>
      <c r="S64" s="12">
        <f t="shared" si="1"/>
        <v>0</v>
      </c>
      <c r="T64" s="12">
        <f t="shared" si="1"/>
        <v>0</v>
      </c>
      <c r="U64" s="12">
        <f t="shared" si="1"/>
        <v>0</v>
      </c>
      <c r="V64" s="12">
        <f t="shared" si="1"/>
        <v>0</v>
      </c>
      <c r="W64" s="12">
        <f t="shared" si="1"/>
        <v>781455</v>
      </c>
      <c r="X64" s="12">
        <f t="shared" si="1"/>
        <v>0</v>
      </c>
      <c r="Y64" s="12">
        <f t="shared" si="1"/>
        <v>0</v>
      </c>
      <c r="Z64" s="12">
        <f t="shared" si="1"/>
        <v>0</v>
      </c>
      <c r="AA64" s="12">
        <f t="shared" si="1"/>
        <v>0</v>
      </c>
      <c r="AB64" s="12">
        <f t="shared" si="1"/>
        <v>-34063984</v>
      </c>
      <c r="AC64" s="12">
        <f t="shared" si="4"/>
        <v>0</v>
      </c>
      <c r="AD64" s="12">
        <f t="shared" si="4"/>
        <v>0</v>
      </c>
      <c r="AE64" s="12">
        <f t="shared" si="4"/>
        <v>0</v>
      </c>
      <c r="AF64" s="12">
        <f t="shared" si="4"/>
        <v>0</v>
      </c>
      <c r="AG64" s="12">
        <f t="shared" si="4"/>
        <v>35089336</v>
      </c>
      <c r="AH64" s="12">
        <f t="shared" si="4"/>
        <v>0</v>
      </c>
      <c r="AI64" s="12">
        <f t="shared" si="4"/>
        <v>0</v>
      </c>
      <c r="AJ64" s="12">
        <f t="shared" si="4"/>
        <v>0</v>
      </c>
      <c r="AK64" s="12">
        <f t="shared" si="4"/>
        <v>0</v>
      </c>
      <c r="AL64" s="12">
        <f t="shared" si="4"/>
        <v>-27389665</v>
      </c>
      <c r="AM64" s="12">
        <f t="shared" si="4"/>
        <v>0</v>
      </c>
      <c r="AN64" s="12">
        <f t="shared" si="4"/>
        <v>0</v>
      </c>
      <c r="AO64" s="12">
        <f t="shared" si="4"/>
        <v>0</v>
      </c>
      <c r="AP64" s="12">
        <f t="shared" si="4"/>
        <v>0</v>
      </c>
      <c r="AQ64" s="12">
        <f t="shared" si="4"/>
        <v>15349073</v>
      </c>
      <c r="AR64" s="12">
        <f t="shared" si="4"/>
        <v>0</v>
      </c>
      <c r="AS64" s="12">
        <f t="shared" si="4"/>
        <v>0</v>
      </c>
      <c r="AT64" s="12">
        <f t="shared" si="4"/>
        <v>0</v>
      </c>
      <c r="AU64" s="12">
        <f t="shared" si="4"/>
        <v>0</v>
      </c>
      <c r="AV64" s="12">
        <f t="shared" si="4"/>
        <v>-5738310</v>
      </c>
      <c r="AW64" s="12">
        <f t="shared" si="4"/>
        <v>0</v>
      </c>
      <c r="AX64" s="12">
        <f t="shared" si="4"/>
        <v>0</v>
      </c>
      <c r="AY64" s="12">
        <f t="shared" si="4"/>
        <v>0</v>
      </c>
      <c r="AZ64" s="12">
        <f t="shared" si="4"/>
        <v>0</v>
      </c>
      <c r="BA64" s="12">
        <f t="shared" si="4"/>
        <v>-9545140</v>
      </c>
      <c r="BB64" s="12">
        <f t="shared" si="4"/>
        <v>0</v>
      </c>
      <c r="BC64" s="12">
        <f t="shared" si="4"/>
        <v>0</v>
      </c>
      <c r="BD64" s="12">
        <f t="shared" si="4"/>
        <v>0</v>
      </c>
      <c r="BE64" s="12">
        <f t="shared" si="4"/>
        <v>0</v>
      </c>
      <c r="BF64" s="12">
        <f t="shared" si="4"/>
        <v>59473428</v>
      </c>
      <c r="BG64" s="12">
        <f t="shared" si="3"/>
        <v>0</v>
      </c>
      <c r="BH64" s="12">
        <f t="shared" si="3"/>
        <v>0</v>
      </c>
      <c r="BI64" s="12">
        <f t="shared" si="3"/>
        <v>0</v>
      </c>
      <c r="BJ64" s="12">
        <f t="shared" si="3"/>
        <v>0</v>
      </c>
      <c r="BK64" s="12">
        <f t="shared" si="3"/>
        <v>-6104015</v>
      </c>
      <c r="BL64" s="12">
        <f t="shared" si="3"/>
        <v>0</v>
      </c>
      <c r="BM64" s="12">
        <f t="shared" si="3"/>
        <v>0</v>
      </c>
      <c r="BN64" s="12">
        <f t="shared" si="3"/>
        <v>0</v>
      </c>
      <c r="BO64" s="12">
        <f t="shared" si="3"/>
        <v>0</v>
      </c>
      <c r="BP64" s="12">
        <f t="shared" si="3"/>
        <v>-46055576</v>
      </c>
      <c r="BQ64" s="12">
        <f t="shared" si="3"/>
        <v>0</v>
      </c>
      <c r="BR64" s="12">
        <f t="shared" si="3"/>
        <v>0</v>
      </c>
      <c r="BS64" s="12">
        <f t="shared" si="3"/>
        <v>0</v>
      </c>
      <c r="BT64" s="12">
        <f t="shared" si="3"/>
        <v>0</v>
      </c>
      <c r="BU64" s="12">
        <f t="shared" si="3"/>
        <v>31648472</v>
      </c>
    </row>
    <row r="65" spans="13:73" hidden="1" x14ac:dyDescent="0.2">
      <c r="M65" s="12">
        <f t="shared" si="1"/>
        <v>0</v>
      </c>
      <c r="N65" s="12">
        <f t="shared" si="1"/>
        <v>0</v>
      </c>
      <c r="O65" s="12">
        <f t="shared" si="1"/>
        <v>0</v>
      </c>
      <c r="P65" s="12">
        <f t="shared" si="1"/>
        <v>0</v>
      </c>
      <c r="Q65" s="12">
        <f t="shared" si="1"/>
        <v>0</v>
      </c>
      <c r="R65" s="12">
        <f t="shared" si="1"/>
        <v>0</v>
      </c>
      <c r="S65" s="12">
        <f t="shared" si="1"/>
        <v>0</v>
      </c>
      <c r="T65" s="12">
        <f t="shared" si="1"/>
        <v>0</v>
      </c>
      <c r="U65" s="12">
        <f t="shared" si="1"/>
        <v>0</v>
      </c>
      <c r="V65" s="12">
        <f t="shared" si="1"/>
        <v>0</v>
      </c>
      <c r="W65" s="12">
        <f t="shared" si="1"/>
        <v>0</v>
      </c>
      <c r="X65" s="12">
        <f t="shared" si="1"/>
        <v>0</v>
      </c>
      <c r="Y65" s="12">
        <f t="shared" si="1"/>
        <v>0</v>
      </c>
      <c r="Z65" s="12">
        <f t="shared" si="1"/>
        <v>0</v>
      </c>
      <c r="AA65" s="12">
        <f t="shared" si="1"/>
        <v>0</v>
      </c>
      <c r="AB65" s="12">
        <f t="shared" si="1"/>
        <v>0</v>
      </c>
      <c r="AC65" s="12">
        <f t="shared" si="4"/>
        <v>0</v>
      </c>
      <c r="AD65" s="12">
        <f t="shared" si="4"/>
        <v>0</v>
      </c>
      <c r="AE65" s="12">
        <f t="shared" si="4"/>
        <v>0</v>
      </c>
      <c r="AF65" s="12">
        <f t="shared" si="4"/>
        <v>0</v>
      </c>
      <c r="AG65" s="12">
        <f t="shared" si="4"/>
        <v>0</v>
      </c>
      <c r="AH65" s="12">
        <f t="shared" si="4"/>
        <v>0</v>
      </c>
      <c r="AI65" s="12">
        <f t="shared" si="4"/>
        <v>0</v>
      </c>
      <c r="AJ65" s="12">
        <f t="shared" si="4"/>
        <v>0</v>
      </c>
      <c r="AK65" s="12">
        <f t="shared" si="4"/>
        <v>0</v>
      </c>
      <c r="AL65" s="12">
        <f t="shared" si="4"/>
        <v>0</v>
      </c>
      <c r="AM65" s="12">
        <f t="shared" si="4"/>
        <v>0</v>
      </c>
      <c r="AN65" s="12">
        <f t="shared" si="4"/>
        <v>0</v>
      </c>
      <c r="AO65" s="12">
        <f t="shared" si="4"/>
        <v>0</v>
      </c>
      <c r="AP65" s="12">
        <f t="shared" si="4"/>
        <v>0</v>
      </c>
      <c r="AQ65" s="12">
        <f t="shared" si="4"/>
        <v>0</v>
      </c>
      <c r="AR65" s="12">
        <f t="shared" si="4"/>
        <v>0</v>
      </c>
      <c r="AS65" s="12">
        <f t="shared" si="4"/>
        <v>0</v>
      </c>
      <c r="AT65" s="12">
        <f t="shared" si="4"/>
        <v>0</v>
      </c>
      <c r="AU65" s="12">
        <f t="shared" si="4"/>
        <v>0</v>
      </c>
      <c r="AV65" s="12">
        <f t="shared" si="4"/>
        <v>0</v>
      </c>
      <c r="AW65" s="12">
        <f t="shared" si="4"/>
        <v>0</v>
      </c>
      <c r="AX65" s="12">
        <f t="shared" si="4"/>
        <v>0</v>
      </c>
      <c r="AY65" s="12">
        <f t="shared" si="4"/>
        <v>0</v>
      </c>
      <c r="AZ65" s="12">
        <f t="shared" si="4"/>
        <v>0</v>
      </c>
      <c r="BA65" s="12">
        <f t="shared" si="4"/>
        <v>0</v>
      </c>
      <c r="BB65" s="12">
        <f t="shared" si="4"/>
        <v>0</v>
      </c>
      <c r="BC65" s="12">
        <f t="shared" si="4"/>
        <v>0</v>
      </c>
      <c r="BD65" s="12">
        <f t="shared" si="4"/>
        <v>0</v>
      </c>
      <c r="BE65" s="12">
        <f t="shared" si="4"/>
        <v>0</v>
      </c>
      <c r="BF65" s="12">
        <f t="shared" si="4"/>
        <v>0</v>
      </c>
      <c r="BG65" s="12">
        <f t="shared" si="3"/>
        <v>0</v>
      </c>
      <c r="BH65" s="12">
        <f t="shared" si="3"/>
        <v>0</v>
      </c>
      <c r="BI65" s="12">
        <f t="shared" si="3"/>
        <v>0</v>
      </c>
      <c r="BJ65" s="12">
        <f t="shared" si="3"/>
        <v>0</v>
      </c>
      <c r="BK65" s="12">
        <f t="shared" si="3"/>
        <v>0</v>
      </c>
      <c r="BL65" s="12">
        <f t="shared" si="3"/>
        <v>0</v>
      </c>
      <c r="BM65" s="12">
        <f t="shared" si="3"/>
        <v>0</v>
      </c>
      <c r="BN65" s="12">
        <f t="shared" si="3"/>
        <v>0</v>
      </c>
      <c r="BO65" s="12">
        <f t="shared" si="3"/>
        <v>0</v>
      </c>
      <c r="BP65" s="12">
        <f t="shared" si="3"/>
        <v>0</v>
      </c>
      <c r="BQ65" s="12">
        <f t="shared" si="3"/>
        <v>0</v>
      </c>
      <c r="BR65" s="12">
        <f t="shared" si="3"/>
        <v>0</v>
      </c>
      <c r="BS65" s="12">
        <f t="shared" si="3"/>
        <v>0</v>
      </c>
      <c r="BT65" s="12">
        <f t="shared" si="3"/>
        <v>0</v>
      </c>
      <c r="BU65" s="12">
        <f t="shared" si="3"/>
        <v>0</v>
      </c>
    </row>
    <row r="66" spans="13:73" hidden="1" x14ac:dyDescent="0.2">
      <c r="M66" s="12">
        <f t="shared" si="1"/>
        <v>0</v>
      </c>
      <c r="N66" s="12">
        <f t="shared" si="1"/>
        <v>0</v>
      </c>
      <c r="O66" s="12">
        <f t="shared" si="1"/>
        <v>0</v>
      </c>
      <c r="P66" s="12">
        <f t="shared" si="1"/>
        <v>0</v>
      </c>
      <c r="Q66" s="12">
        <f t="shared" si="1"/>
        <v>0</v>
      </c>
      <c r="R66" s="12">
        <f t="shared" si="1"/>
        <v>0</v>
      </c>
      <c r="S66" s="12">
        <f t="shared" si="1"/>
        <v>0</v>
      </c>
      <c r="T66" s="12">
        <f t="shared" si="1"/>
        <v>0</v>
      </c>
      <c r="U66" s="12">
        <f t="shared" si="1"/>
        <v>0</v>
      </c>
      <c r="V66" s="12">
        <f t="shared" si="1"/>
        <v>0</v>
      </c>
      <c r="W66" s="12">
        <f t="shared" si="1"/>
        <v>0</v>
      </c>
      <c r="X66" s="12">
        <f t="shared" si="1"/>
        <v>0</v>
      </c>
      <c r="Y66" s="12">
        <f t="shared" si="1"/>
        <v>0</v>
      </c>
      <c r="Z66" s="12">
        <f t="shared" si="1"/>
        <v>0</v>
      </c>
      <c r="AA66" s="12">
        <f t="shared" si="1"/>
        <v>0</v>
      </c>
      <c r="AB66" s="12">
        <f t="shared" si="1"/>
        <v>0</v>
      </c>
      <c r="AC66" s="12">
        <f t="shared" si="4"/>
        <v>0</v>
      </c>
      <c r="AD66" s="12">
        <f t="shared" si="4"/>
        <v>0</v>
      </c>
      <c r="AE66" s="12">
        <f t="shared" si="4"/>
        <v>0</v>
      </c>
      <c r="AF66" s="12">
        <f t="shared" si="4"/>
        <v>0</v>
      </c>
      <c r="AG66" s="12">
        <f t="shared" si="4"/>
        <v>0</v>
      </c>
      <c r="AH66" s="12">
        <f t="shared" si="4"/>
        <v>0</v>
      </c>
      <c r="AI66" s="12">
        <f t="shared" si="4"/>
        <v>0</v>
      </c>
      <c r="AJ66" s="12">
        <f t="shared" si="4"/>
        <v>0</v>
      </c>
      <c r="AK66" s="12">
        <f t="shared" si="4"/>
        <v>0</v>
      </c>
      <c r="AL66" s="12">
        <f t="shared" si="4"/>
        <v>0</v>
      </c>
      <c r="AM66" s="12">
        <f t="shared" si="4"/>
        <v>0</v>
      </c>
      <c r="AN66" s="12">
        <f t="shared" si="4"/>
        <v>0</v>
      </c>
      <c r="AO66" s="12">
        <f t="shared" si="4"/>
        <v>0</v>
      </c>
      <c r="AP66" s="12">
        <f t="shared" si="4"/>
        <v>0</v>
      </c>
      <c r="AQ66" s="12">
        <f t="shared" si="4"/>
        <v>0</v>
      </c>
      <c r="AR66" s="12">
        <f t="shared" si="4"/>
        <v>0</v>
      </c>
      <c r="AS66" s="12">
        <f t="shared" si="4"/>
        <v>0</v>
      </c>
      <c r="AT66" s="12">
        <f t="shared" si="4"/>
        <v>0</v>
      </c>
      <c r="AU66" s="12">
        <f t="shared" si="4"/>
        <v>0</v>
      </c>
      <c r="AV66" s="12">
        <f t="shared" si="4"/>
        <v>0</v>
      </c>
      <c r="AW66" s="12">
        <f t="shared" si="4"/>
        <v>0</v>
      </c>
      <c r="AX66" s="12">
        <f t="shared" si="4"/>
        <v>0</v>
      </c>
      <c r="AY66" s="12">
        <f t="shared" si="4"/>
        <v>0</v>
      </c>
      <c r="AZ66" s="12">
        <f t="shared" si="4"/>
        <v>0</v>
      </c>
      <c r="BA66" s="12">
        <f t="shared" si="4"/>
        <v>0</v>
      </c>
      <c r="BB66" s="12">
        <f t="shared" si="4"/>
        <v>0</v>
      </c>
      <c r="BC66" s="12">
        <f t="shared" si="4"/>
        <v>0</v>
      </c>
      <c r="BD66" s="12">
        <f t="shared" si="4"/>
        <v>0</v>
      </c>
      <c r="BE66" s="12">
        <f t="shared" si="4"/>
        <v>0</v>
      </c>
      <c r="BF66" s="12">
        <f t="shared" si="4"/>
        <v>0</v>
      </c>
      <c r="BG66" s="12">
        <f t="shared" si="3"/>
        <v>0</v>
      </c>
      <c r="BH66" s="12">
        <f t="shared" si="3"/>
        <v>0</v>
      </c>
      <c r="BI66" s="12">
        <f t="shared" si="3"/>
        <v>0</v>
      </c>
      <c r="BJ66" s="12">
        <f t="shared" si="3"/>
        <v>0</v>
      </c>
      <c r="BK66" s="12">
        <f t="shared" si="3"/>
        <v>0</v>
      </c>
      <c r="BL66" s="12">
        <f t="shared" si="3"/>
        <v>0</v>
      </c>
      <c r="BM66" s="12">
        <f t="shared" si="3"/>
        <v>0</v>
      </c>
      <c r="BN66" s="12">
        <f t="shared" si="3"/>
        <v>0</v>
      </c>
      <c r="BO66" s="12">
        <f t="shared" si="3"/>
        <v>0</v>
      </c>
      <c r="BP66" s="12">
        <f t="shared" si="3"/>
        <v>-2087301.7651195501</v>
      </c>
      <c r="BQ66" s="12">
        <f t="shared" si="3"/>
        <v>0</v>
      </c>
      <c r="BR66" s="12">
        <f t="shared" si="3"/>
        <v>0</v>
      </c>
      <c r="BS66" s="12">
        <f t="shared" si="3"/>
        <v>0</v>
      </c>
      <c r="BT66" s="12">
        <f t="shared" si="3"/>
        <v>0</v>
      </c>
      <c r="BU66" s="12">
        <f t="shared" si="3"/>
        <v>-2087301.7651195501</v>
      </c>
    </row>
    <row r="67" spans="13:73" hidden="1" x14ac:dyDescent="0.2">
      <c r="M67" s="12">
        <f t="shared" si="1"/>
        <v>0</v>
      </c>
      <c r="N67" s="12">
        <f t="shared" si="1"/>
        <v>0</v>
      </c>
      <c r="O67" s="12">
        <f t="shared" si="1"/>
        <v>0</v>
      </c>
      <c r="P67" s="12">
        <f t="shared" si="1"/>
        <v>0</v>
      </c>
      <c r="Q67" s="12">
        <f t="shared" si="1"/>
        <v>0</v>
      </c>
      <c r="R67" s="12">
        <f t="shared" si="1"/>
        <v>0</v>
      </c>
      <c r="S67" s="12">
        <f t="shared" si="1"/>
        <v>0</v>
      </c>
      <c r="T67" s="12">
        <f t="shared" si="1"/>
        <v>0</v>
      </c>
      <c r="U67" s="12">
        <f t="shared" si="1"/>
        <v>0</v>
      </c>
      <c r="V67" s="12">
        <f t="shared" si="1"/>
        <v>0</v>
      </c>
      <c r="W67" s="12">
        <f t="shared" si="1"/>
        <v>0</v>
      </c>
      <c r="X67" s="12">
        <f t="shared" si="1"/>
        <v>0</v>
      </c>
      <c r="Y67" s="12">
        <f t="shared" si="1"/>
        <v>0</v>
      </c>
      <c r="Z67" s="12">
        <f t="shared" si="1"/>
        <v>0</v>
      </c>
      <c r="AA67" s="12">
        <f t="shared" si="1"/>
        <v>0</v>
      </c>
      <c r="AB67" s="12">
        <f t="shared" si="1"/>
        <v>0</v>
      </c>
      <c r="AC67" s="12">
        <f t="shared" si="4"/>
        <v>0</v>
      </c>
      <c r="AD67" s="12">
        <f t="shared" si="4"/>
        <v>0</v>
      </c>
      <c r="AE67" s="12">
        <f t="shared" si="4"/>
        <v>0</v>
      </c>
      <c r="AF67" s="12">
        <f t="shared" si="4"/>
        <v>0</v>
      </c>
      <c r="AG67" s="12">
        <f t="shared" si="4"/>
        <v>0</v>
      </c>
      <c r="AH67" s="12">
        <f t="shared" si="4"/>
        <v>0</v>
      </c>
      <c r="AI67" s="12">
        <f t="shared" si="4"/>
        <v>0</v>
      </c>
      <c r="AJ67" s="12">
        <f t="shared" si="4"/>
        <v>0</v>
      </c>
      <c r="AK67" s="12">
        <f t="shared" si="4"/>
        <v>0</v>
      </c>
      <c r="AL67" s="12">
        <f t="shared" si="4"/>
        <v>0</v>
      </c>
      <c r="AM67" s="12">
        <f t="shared" si="4"/>
        <v>0</v>
      </c>
      <c r="AN67" s="12">
        <f t="shared" si="4"/>
        <v>0</v>
      </c>
      <c r="AO67" s="12">
        <f t="shared" si="4"/>
        <v>0</v>
      </c>
      <c r="AP67" s="12">
        <f t="shared" si="4"/>
        <v>0</v>
      </c>
      <c r="AQ67" s="12">
        <f t="shared" si="4"/>
        <v>0</v>
      </c>
      <c r="AR67" s="12">
        <f t="shared" si="4"/>
        <v>0</v>
      </c>
      <c r="AS67" s="12">
        <f t="shared" si="4"/>
        <v>0</v>
      </c>
      <c r="AT67" s="12">
        <f t="shared" si="4"/>
        <v>0</v>
      </c>
      <c r="AU67" s="12">
        <f t="shared" si="4"/>
        <v>0</v>
      </c>
      <c r="AV67" s="12">
        <f t="shared" si="4"/>
        <v>0</v>
      </c>
      <c r="AW67" s="12">
        <f t="shared" si="4"/>
        <v>0</v>
      </c>
      <c r="AX67" s="12">
        <f t="shared" si="4"/>
        <v>0</v>
      </c>
      <c r="AY67" s="12">
        <f t="shared" si="4"/>
        <v>0</v>
      </c>
      <c r="AZ67" s="12">
        <f t="shared" si="4"/>
        <v>0</v>
      </c>
      <c r="BA67" s="12">
        <f t="shared" si="4"/>
        <v>0</v>
      </c>
      <c r="BB67" s="12">
        <f t="shared" si="4"/>
        <v>0</v>
      </c>
      <c r="BC67" s="12">
        <f t="shared" si="4"/>
        <v>0</v>
      </c>
      <c r="BD67" s="12">
        <f t="shared" si="4"/>
        <v>0</v>
      </c>
      <c r="BE67" s="12">
        <f t="shared" si="4"/>
        <v>0</v>
      </c>
      <c r="BF67" s="12">
        <f t="shared" si="4"/>
        <v>0</v>
      </c>
      <c r="BG67" s="12">
        <f t="shared" si="3"/>
        <v>0</v>
      </c>
      <c r="BH67" s="12">
        <f t="shared" si="3"/>
        <v>0</v>
      </c>
      <c r="BI67" s="12">
        <f t="shared" si="3"/>
        <v>0</v>
      </c>
      <c r="BJ67" s="12">
        <f t="shared" si="3"/>
        <v>0</v>
      </c>
      <c r="BK67" s="12">
        <f t="shared" si="3"/>
        <v>0</v>
      </c>
      <c r="BL67" s="12">
        <f t="shared" si="3"/>
        <v>0</v>
      </c>
      <c r="BM67" s="12">
        <f t="shared" si="3"/>
        <v>0</v>
      </c>
      <c r="BN67" s="12">
        <f t="shared" si="3"/>
        <v>0</v>
      </c>
      <c r="BO67" s="12">
        <f t="shared" si="3"/>
        <v>0</v>
      </c>
      <c r="BP67" s="12">
        <f t="shared" si="3"/>
        <v>0</v>
      </c>
      <c r="BQ67" s="12">
        <f t="shared" si="3"/>
        <v>0</v>
      </c>
      <c r="BR67" s="12">
        <f t="shared" si="3"/>
        <v>0</v>
      </c>
      <c r="BS67" s="12">
        <f t="shared" si="3"/>
        <v>0</v>
      </c>
      <c r="BT67" s="12">
        <f t="shared" si="3"/>
        <v>0</v>
      </c>
      <c r="BU67" s="12">
        <f t="shared" si="3"/>
        <v>0</v>
      </c>
    </row>
    <row r="68" spans="13:73" hidden="1" x14ac:dyDescent="0.2">
      <c r="M68" s="12">
        <f t="shared" si="1"/>
        <v>-1285536</v>
      </c>
      <c r="N68" s="12">
        <f t="shared" si="1"/>
        <v>0</v>
      </c>
      <c r="O68" s="12">
        <f t="shared" si="1"/>
        <v>0</v>
      </c>
      <c r="P68" s="12">
        <f t="shared" si="1"/>
        <v>0</v>
      </c>
      <c r="Q68" s="12">
        <f t="shared" si="1"/>
        <v>0</v>
      </c>
      <c r="R68" s="12">
        <f t="shared" si="1"/>
        <v>871744.25600000005</v>
      </c>
      <c r="S68" s="12">
        <f t="shared" si="1"/>
        <v>0</v>
      </c>
      <c r="T68" s="12">
        <f t="shared" si="1"/>
        <v>0</v>
      </c>
      <c r="U68" s="12">
        <f t="shared" si="1"/>
        <v>0</v>
      </c>
      <c r="V68" s="12">
        <f t="shared" si="1"/>
        <v>0</v>
      </c>
      <c r="W68" s="12">
        <f t="shared" si="1"/>
        <v>-12272</v>
      </c>
      <c r="X68" s="12">
        <f t="shared" si="1"/>
        <v>0</v>
      </c>
      <c r="Y68" s="12">
        <f t="shared" si="1"/>
        <v>0</v>
      </c>
      <c r="Z68" s="12">
        <f t="shared" si="1"/>
        <v>0</v>
      </c>
      <c r="AA68" s="12">
        <f t="shared" si="1"/>
        <v>0</v>
      </c>
      <c r="AB68" s="12">
        <f t="shared" si="1"/>
        <v>126224</v>
      </c>
      <c r="AC68" s="12">
        <f t="shared" si="4"/>
        <v>0</v>
      </c>
      <c r="AD68" s="12">
        <f t="shared" si="4"/>
        <v>0</v>
      </c>
      <c r="AE68" s="12">
        <f t="shared" si="4"/>
        <v>0</v>
      </c>
      <c r="AF68" s="12">
        <f t="shared" si="4"/>
        <v>0</v>
      </c>
      <c r="AG68" s="12">
        <f t="shared" si="4"/>
        <v>-1736919</v>
      </c>
      <c r="AH68" s="12">
        <f t="shared" si="4"/>
        <v>0</v>
      </c>
      <c r="AI68" s="12">
        <f t="shared" si="4"/>
        <v>0</v>
      </c>
      <c r="AJ68" s="12">
        <f t="shared" si="4"/>
        <v>0</v>
      </c>
      <c r="AK68" s="12">
        <f t="shared" si="4"/>
        <v>0</v>
      </c>
      <c r="AL68" s="12">
        <f t="shared" si="4"/>
        <v>-242093</v>
      </c>
      <c r="AM68" s="12">
        <f t="shared" si="4"/>
        <v>0</v>
      </c>
      <c r="AN68" s="12">
        <f t="shared" si="4"/>
        <v>0</v>
      </c>
      <c r="AO68" s="12">
        <f t="shared" si="4"/>
        <v>0</v>
      </c>
      <c r="AP68" s="12">
        <f t="shared" si="4"/>
        <v>0</v>
      </c>
      <c r="AQ68" s="12">
        <f t="shared" si="4"/>
        <v>-430704</v>
      </c>
      <c r="AR68" s="12">
        <f t="shared" si="4"/>
        <v>0</v>
      </c>
      <c r="AS68" s="12">
        <f t="shared" si="4"/>
        <v>0</v>
      </c>
      <c r="AT68" s="12">
        <f t="shared" si="4"/>
        <v>0</v>
      </c>
      <c r="AU68" s="12">
        <f t="shared" si="4"/>
        <v>0</v>
      </c>
      <c r="AV68" s="12">
        <f t="shared" si="4"/>
        <v>1090093</v>
      </c>
      <c r="AW68" s="12">
        <f t="shared" si="4"/>
        <v>0</v>
      </c>
      <c r="AX68" s="12">
        <f t="shared" si="4"/>
        <v>0</v>
      </c>
      <c r="AY68" s="12">
        <f t="shared" si="4"/>
        <v>0</v>
      </c>
      <c r="AZ68" s="12">
        <f t="shared" si="4"/>
        <v>0</v>
      </c>
      <c r="BA68" s="12">
        <f t="shared" si="4"/>
        <v>615637</v>
      </c>
      <c r="BB68" s="12">
        <f t="shared" si="4"/>
        <v>0</v>
      </c>
      <c r="BC68" s="12">
        <f t="shared" si="4"/>
        <v>0</v>
      </c>
      <c r="BD68" s="12">
        <f t="shared" si="4"/>
        <v>0</v>
      </c>
      <c r="BE68" s="12">
        <f t="shared" si="4"/>
        <v>0</v>
      </c>
      <c r="BF68" s="12">
        <f t="shared" si="4"/>
        <v>47880</v>
      </c>
      <c r="BG68" s="12">
        <f t="shared" si="3"/>
        <v>0</v>
      </c>
      <c r="BH68" s="12">
        <f t="shared" si="3"/>
        <v>0</v>
      </c>
      <c r="BI68" s="12">
        <f t="shared" si="3"/>
        <v>0</v>
      </c>
      <c r="BJ68" s="12">
        <f t="shared" si="3"/>
        <v>0</v>
      </c>
      <c r="BK68" s="12">
        <f t="shared" si="3"/>
        <v>662345</v>
      </c>
      <c r="BL68" s="12">
        <f t="shared" si="3"/>
        <v>0</v>
      </c>
      <c r="BM68" s="12">
        <f t="shared" si="3"/>
        <v>0</v>
      </c>
      <c r="BN68" s="12">
        <f t="shared" si="3"/>
        <v>0</v>
      </c>
      <c r="BO68" s="12">
        <f t="shared" si="3"/>
        <v>0</v>
      </c>
      <c r="BP68" s="12">
        <f t="shared" si="3"/>
        <v>2617162</v>
      </c>
      <c r="BQ68" s="12">
        <f t="shared" si="3"/>
        <v>0</v>
      </c>
      <c r="BR68" s="12">
        <f t="shared" si="3"/>
        <v>0</v>
      </c>
      <c r="BS68" s="12">
        <f t="shared" si="3"/>
        <v>0</v>
      </c>
      <c r="BT68" s="12">
        <f t="shared" si="3"/>
        <v>0</v>
      </c>
      <c r="BU68" s="12">
        <f t="shared" si="3"/>
        <v>2323561.256000001</v>
      </c>
    </row>
    <row r="69" spans="13:73" hidden="1" x14ac:dyDescent="0.2">
      <c r="M69" s="12">
        <f t="shared" si="1"/>
        <v>-1285536</v>
      </c>
      <c r="N69" s="12">
        <f t="shared" si="1"/>
        <v>0</v>
      </c>
      <c r="O69" s="12">
        <f t="shared" si="1"/>
        <v>0</v>
      </c>
      <c r="P69" s="12">
        <f t="shared" si="1"/>
        <v>0</v>
      </c>
      <c r="Q69" s="12">
        <f t="shared" si="1"/>
        <v>0</v>
      </c>
      <c r="R69" s="12">
        <f t="shared" si="1"/>
        <v>871744.25600000005</v>
      </c>
      <c r="S69" s="12">
        <f t="shared" si="1"/>
        <v>0</v>
      </c>
      <c r="T69" s="12">
        <f t="shared" si="1"/>
        <v>0</v>
      </c>
      <c r="U69" s="12">
        <f t="shared" si="1"/>
        <v>0</v>
      </c>
      <c r="V69" s="12">
        <f t="shared" si="1"/>
        <v>0</v>
      </c>
      <c r="W69" s="12">
        <f t="shared" si="1"/>
        <v>-12272</v>
      </c>
      <c r="X69" s="12">
        <f t="shared" si="1"/>
        <v>0</v>
      </c>
      <c r="Y69" s="12">
        <f t="shared" si="1"/>
        <v>0</v>
      </c>
      <c r="Z69" s="12">
        <f t="shared" si="1"/>
        <v>0</v>
      </c>
      <c r="AA69" s="12">
        <f t="shared" si="1"/>
        <v>0</v>
      </c>
      <c r="AB69" s="12">
        <f t="shared" si="1"/>
        <v>126224</v>
      </c>
      <c r="AC69" s="12">
        <f t="shared" si="4"/>
        <v>0</v>
      </c>
      <c r="AD69" s="12">
        <f t="shared" si="4"/>
        <v>0</v>
      </c>
      <c r="AE69" s="12">
        <f t="shared" si="4"/>
        <v>0</v>
      </c>
      <c r="AF69" s="12">
        <f t="shared" si="4"/>
        <v>0</v>
      </c>
      <c r="AG69" s="12">
        <f t="shared" si="4"/>
        <v>-1736919</v>
      </c>
      <c r="AH69" s="12">
        <f t="shared" si="4"/>
        <v>0</v>
      </c>
      <c r="AI69" s="12">
        <f t="shared" si="4"/>
        <v>0</v>
      </c>
      <c r="AJ69" s="12">
        <f t="shared" si="4"/>
        <v>0</v>
      </c>
      <c r="AK69" s="12">
        <f t="shared" si="4"/>
        <v>0</v>
      </c>
      <c r="AL69" s="12">
        <f t="shared" si="4"/>
        <v>-242093</v>
      </c>
      <c r="AM69" s="12">
        <f t="shared" si="4"/>
        <v>0</v>
      </c>
      <c r="AN69" s="12">
        <f t="shared" si="4"/>
        <v>0</v>
      </c>
      <c r="AO69" s="12">
        <f t="shared" si="4"/>
        <v>0</v>
      </c>
      <c r="AP69" s="12">
        <f t="shared" si="4"/>
        <v>0</v>
      </c>
      <c r="AQ69" s="12">
        <f t="shared" si="4"/>
        <v>-430704</v>
      </c>
      <c r="AR69" s="12">
        <f t="shared" si="4"/>
        <v>0</v>
      </c>
      <c r="AS69" s="12">
        <f t="shared" si="4"/>
        <v>0</v>
      </c>
      <c r="AT69" s="12">
        <f t="shared" si="4"/>
        <v>0</v>
      </c>
      <c r="AU69" s="12">
        <f t="shared" si="4"/>
        <v>0</v>
      </c>
      <c r="AV69" s="12">
        <f t="shared" si="4"/>
        <v>1090093</v>
      </c>
      <c r="AW69" s="12">
        <f t="shared" si="4"/>
        <v>0</v>
      </c>
      <c r="AX69" s="12">
        <f t="shared" si="4"/>
        <v>0</v>
      </c>
      <c r="AY69" s="12">
        <f t="shared" si="4"/>
        <v>0</v>
      </c>
      <c r="AZ69" s="12">
        <f t="shared" si="4"/>
        <v>0</v>
      </c>
      <c r="BA69" s="12">
        <f t="shared" si="4"/>
        <v>615637</v>
      </c>
      <c r="BB69" s="12">
        <f t="shared" si="4"/>
        <v>0</v>
      </c>
      <c r="BC69" s="12">
        <f t="shared" si="4"/>
        <v>0</v>
      </c>
      <c r="BD69" s="12">
        <f t="shared" si="4"/>
        <v>0</v>
      </c>
      <c r="BE69" s="12">
        <f t="shared" si="4"/>
        <v>0</v>
      </c>
      <c r="BF69" s="12">
        <f t="shared" si="4"/>
        <v>47880</v>
      </c>
      <c r="BG69" s="12">
        <f t="shared" si="3"/>
        <v>0</v>
      </c>
      <c r="BH69" s="12">
        <f t="shared" si="3"/>
        <v>0</v>
      </c>
      <c r="BI69" s="12">
        <f t="shared" si="3"/>
        <v>0</v>
      </c>
      <c r="BJ69" s="12">
        <f t="shared" si="3"/>
        <v>0</v>
      </c>
      <c r="BK69" s="12">
        <f t="shared" si="3"/>
        <v>662345</v>
      </c>
      <c r="BL69" s="12">
        <f t="shared" si="3"/>
        <v>0</v>
      </c>
      <c r="BM69" s="12">
        <f t="shared" si="3"/>
        <v>0</v>
      </c>
      <c r="BN69" s="12">
        <f t="shared" si="3"/>
        <v>0</v>
      </c>
      <c r="BO69" s="12">
        <f t="shared" si="3"/>
        <v>0</v>
      </c>
      <c r="BP69" s="12">
        <f t="shared" si="3"/>
        <v>2617162</v>
      </c>
      <c r="BQ69" s="12">
        <f t="shared" si="3"/>
        <v>0</v>
      </c>
      <c r="BR69" s="12">
        <f t="shared" si="3"/>
        <v>0</v>
      </c>
      <c r="BS69" s="12">
        <f t="shared" si="3"/>
        <v>0</v>
      </c>
      <c r="BT69" s="12">
        <f t="shared" si="3"/>
        <v>0</v>
      </c>
      <c r="BU69" s="12">
        <f t="shared" si="3"/>
        <v>2323561.256000001</v>
      </c>
    </row>
    <row r="70" spans="13:73" hidden="1" x14ac:dyDescent="0.2">
      <c r="M70" s="12">
        <f t="shared" ref="M70:AB81" si="5">M29-CE29</f>
        <v>0</v>
      </c>
      <c r="N70" s="12">
        <f t="shared" si="5"/>
        <v>0</v>
      </c>
      <c r="O70" s="12">
        <f t="shared" si="5"/>
        <v>0</v>
      </c>
      <c r="P70" s="12">
        <f t="shared" si="5"/>
        <v>0</v>
      </c>
      <c r="Q70" s="12">
        <f t="shared" si="5"/>
        <v>0</v>
      </c>
      <c r="R70" s="12">
        <f t="shared" si="5"/>
        <v>0</v>
      </c>
      <c r="S70" s="12">
        <f t="shared" si="5"/>
        <v>0</v>
      </c>
      <c r="T70" s="12">
        <f t="shared" si="5"/>
        <v>0</v>
      </c>
      <c r="U70" s="12">
        <f t="shared" si="5"/>
        <v>0</v>
      </c>
      <c r="V70" s="12">
        <f t="shared" si="5"/>
        <v>0</v>
      </c>
      <c r="W70" s="12">
        <f t="shared" si="5"/>
        <v>0</v>
      </c>
      <c r="X70" s="12">
        <f t="shared" si="5"/>
        <v>0</v>
      </c>
      <c r="Y70" s="12">
        <f t="shared" si="5"/>
        <v>0</v>
      </c>
      <c r="Z70" s="12">
        <f t="shared" si="5"/>
        <v>0</v>
      </c>
      <c r="AA70" s="12">
        <f t="shared" si="5"/>
        <v>0</v>
      </c>
      <c r="AB70" s="12">
        <f t="shared" si="5"/>
        <v>0</v>
      </c>
      <c r="AC70" s="12">
        <f t="shared" si="4"/>
        <v>0</v>
      </c>
      <c r="AD70" s="12">
        <f t="shared" si="4"/>
        <v>0</v>
      </c>
      <c r="AE70" s="12">
        <f t="shared" si="4"/>
        <v>0</v>
      </c>
      <c r="AF70" s="12">
        <f t="shared" si="4"/>
        <v>0</v>
      </c>
      <c r="AG70" s="12">
        <f t="shared" si="4"/>
        <v>0</v>
      </c>
      <c r="AH70" s="12">
        <f t="shared" si="4"/>
        <v>0</v>
      </c>
      <c r="AI70" s="12">
        <f t="shared" si="4"/>
        <v>0</v>
      </c>
      <c r="AJ70" s="12">
        <f t="shared" si="4"/>
        <v>0</v>
      </c>
      <c r="AK70" s="12">
        <f t="shared" si="4"/>
        <v>0</v>
      </c>
      <c r="AL70" s="12">
        <f t="shared" si="4"/>
        <v>0</v>
      </c>
      <c r="AM70" s="12">
        <f t="shared" si="4"/>
        <v>0</v>
      </c>
      <c r="AN70" s="12">
        <f t="shared" si="4"/>
        <v>0</v>
      </c>
      <c r="AO70" s="12">
        <f t="shared" si="4"/>
        <v>0</v>
      </c>
      <c r="AP70" s="12">
        <f t="shared" si="4"/>
        <v>0</v>
      </c>
      <c r="AQ70" s="12">
        <f t="shared" si="4"/>
        <v>0</v>
      </c>
      <c r="AR70" s="12">
        <f t="shared" si="4"/>
        <v>0</v>
      </c>
      <c r="AS70" s="12">
        <f t="shared" si="4"/>
        <v>0</v>
      </c>
      <c r="AT70" s="12">
        <f t="shared" si="4"/>
        <v>0</v>
      </c>
      <c r="AU70" s="12">
        <f t="shared" si="4"/>
        <v>0</v>
      </c>
      <c r="AV70" s="12">
        <f t="shared" si="4"/>
        <v>0</v>
      </c>
      <c r="AW70" s="12">
        <f t="shared" si="4"/>
        <v>0</v>
      </c>
      <c r="AX70" s="12">
        <f t="shared" si="4"/>
        <v>0</v>
      </c>
      <c r="AY70" s="12">
        <f t="shared" si="4"/>
        <v>0</v>
      </c>
      <c r="AZ70" s="12">
        <f t="shared" si="4"/>
        <v>0</v>
      </c>
      <c r="BA70" s="12">
        <f t="shared" si="4"/>
        <v>0</v>
      </c>
      <c r="BB70" s="12">
        <f t="shared" si="4"/>
        <v>0</v>
      </c>
      <c r="BC70" s="12">
        <f t="shared" si="4"/>
        <v>0</v>
      </c>
      <c r="BD70" s="12">
        <f t="shared" si="4"/>
        <v>0</v>
      </c>
      <c r="BE70" s="12">
        <f t="shared" si="4"/>
        <v>0</v>
      </c>
      <c r="BF70" s="12">
        <f t="shared" si="4"/>
        <v>0</v>
      </c>
      <c r="BG70" s="12">
        <f t="shared" si="3"/>
        <v>0</v>
      </c>
      <c r="BH70" s="12">
        <f t="shared" si="3"/>
        <v>0</v>
      </c>
      <c r="BI70" s="12">
        <f t="shared" si="3"/>
        <v>0</v>
      </c>
      <c r="BJ70" s="12">
        <f t="shared" si="3"/>
        <v>0</v>
      </c>
      <c r="BK70" s="12">
        <f t="shared" si="3"/>
        <v>0</v>
      </c>
      <c r="BL70" s="12">
        <f t="shared" si="3"/>
        <v>0</v>
      </c>
      <c r="BM70" s="12">
        <f t="shared" si="3"/>
        <v>0</v>
      </c>
      <c r="BN70" s="12">
        <f t="shared" si="3"/>
        <v>0</v>
      </c>
      <c r="BO70" s="12">
        <f t="shared" si="3"/>
        <v>0</v>
      </c>
      <c r="BP70" s="12">
        <f t="shared" si="3"/>
        <v>0</v>
      </c>
      <c r="BQ70" s="12">
        <f t="shared" si="3"/>
        <v>0</v>
      </c>
      <c r="BR70" s="12">
        <f t="shared" si="3"/>
        <v>0</v>
      </c>
      <c r="BS70" s="12">
        <f t="shared" si="3"/>
        <v>0</v>
      </c>
      <c r="BT70" s="12">
        <f t="shared" si="3"/>
        <v>0</v>
      </c>
      <c r="BU70" s="12">
        <f t="shared" si="3"/>
        <v>0</v>
      </c>
    </row>
    <row r="71" spans="13:73" hidden="1" x14ac:dyDescent="0.2">
      <c r="M71" s="12">
        <f t="shared" si="5"/>
        <v>0</v>
      </c>
      <c r="N71" s="12">
        <f t="shared" si="5"/>
        <v>0</v>
      </c>
      <c r="O71" s="12">
        <f t="shared" si="5"/>
        <v>0</v>
      </c>
      <c r="P71" s="12">
        <f t="shared" si="5"/>
        <v>0</v>
      </c>
      <c r="Q71" s="12">
        <f t="shared" si="5"/>
        <v>0</v>
      </c>
      <c r="R71" s="12">
        <f t="shared" si="5"/>
        <v>0</v>
      </c>
      <c r="S71" s="12">
        <f t="shared" si="5"/>
        <v>0</v>
      </c>
      <c r="T71" s="12">
        <f t="shared" si="5"/>
        <v>0</v>
      </c>
      <c r="U71" s="12">
        <f t="shared" si="5"/>
        <v>0</v>
      </c>
      <c r="V71" s="12">
        <f t="shared" si="5"/>
        <v>0</v>
      </c>
      <c r="W71" s="12">
        <f t="shared" si="5"/>
        <v>0</v>
      </c>
      <c r="X71" s="12">
        <f t="shared" si="5"/>
        <v>0</v>
      </c>
      <c r="Y71" s="12">
        <f t="shared" si="5"/>
        <v>0</v>
      </c>
      <c r="Z71" s="12">
        <f t="shared" si="5"/>
        <v>0</v>
      </c>
      <c r="AA71" s="12">
        <f t="shared" si="5"/>
        <v>0</v>
      </c>
      <c r="AB71" s="12">
        <f t="shared" si="5"/>
        <v>0</v>
      </c>
      <c r="AC71" s="12">
        <f t="shared" si="4"/>
        <v>0</v>
      </c>
      <c r="AD71" s="12">
        <f t="shared" si="4"/>
        <v>0</v>
      </c>
      <c r="AE71" s="12">
        <f t="shared" si="4"/>
        <v>0</v>
      </c>
      <c r="AF71" s="12">
        <f t="shared" si="4"/>
        <v>0</v>
      </c>
      <c r="AG71" s="12">
        <f t="shared" si="4"/>
        <v>0</v>
      </c>
      <c r="AH71" s="12">
        <f t="shared" si="4"/>
        <v>0</v>
      </c>
      <c r="AI71" s="12">
        <f t="shared" si="4"/>
        <v>0</v>
      </c>
      <c r="AJ71" s="12">
        <f t="shared" si="4"/>
        <v>0</v>
      </c>
      <c r="AK71" s="12">
        <f t="shared" si="4"/>
        <v>0</v>
      </c>
      <c r="AL71" s="12">
        <f t="shared" si="4"/>
        <v>0</v>
      </c>
      <c r="AM71" s="12">
        <f t="shared" si="4"/>
        <v>0</v>
      </c>
      <c r="AN71" s="12">
        <f t="shared" si="4"/>
        <v>0</v>
      </c>
      <c r="AO71" s="12">
        <f t="shared" si="4"/>
        <v>0</v>
      </c>
      <c r="AP71" s="12">
        <f t="shared" si="4"/>
        <v>0</v>
      </c>
      <c r="AQ71" s="12">
        <f t="shared" si="4"/>
        <v>0</v>
      </c>
      <c r="AR71" s="12">
        <f t="shared" ref="AR71:BG81" si="6">AR30-DJ30</f>
        <v>0</v>
      </c>
      <c r="AS71" s="12">
        <f t="shared" si="6"/>
        <v>0</v>
      </c>
      <c r="AT71" s="12">
        <f t="shared" si="6"/>
        <v>0</v>
      </c>
      <c r="AU71" s="12">
        <f t="shared" si="6"/>
        <v>0</v>
      </c>
      <c r="AV71" s="12">
        <f t="shared" si="6"/>
        <v>0</v>
      </c>
      <c r="AW71" s="12">
        <f t="shared" si="6"/>
        <v>0</v>
      </c>
      <c r="AX71" s="12">
        <f t="shared" si="6"/>
        <v>0</v>
      </c>
      <c r="AY71" s="12">
        <f t="shared" si="6"/>
        <v>0</v>
      </c>
      <c r="AZ71" s="12">
        <f t="shared" si="6"/>
        <v>0</v>
      </c>
      <c r="BA71" s="12">
        <f t="shared" si="6"/>
        <v>0</v>
      </c>
      <c r="BB71" s="12">
        <f t="shared" si="6"/>
        <v>0</v>
      </c>
      <c r="BC71" s="12">
        <f t="shared" si="6"/>
        <v>0</v>
      </c>
      <c r="BD71" s="12">
        <f t="shared" si="6"/>
        <v>0</v>
      </c>
      <c r="BE71" s="12">
        <f t="shared" si="6"/>
        <v>0</v>
      </c>
      <c r="BF71" s="12">
        <f t="shared" si="6"/>
        <v>0</v>
      </c>
      <c r="BG71" s="12">
        <f t="shared" si="3"/>
        <v>0</v>
      </c>
      <c r="BH71" s="12">
        <f t="shared" si="3"/>
        <v>0</v>
      </c>
      <c r="BI71" s="12">
        <f t="shared" si="3"/>
        <v>0</v>
      </c>
      <c r="BJ71" s="12">
        <f t="shared" si="3"/>
        <v>0</v>
      </c>
      <c r="BK71" s="12">
        <f t="shared" si="3"/>
        <v>0</v>
      </c>
      <c r="BL71" s="12">
        <f t="shared" si="3"/>
        <v>0</v>
      </c>
      <c r="BM71" s="12">
        <f t="shared" si="3"/>
        <v>0</v>
      </c>
      <c r="BN71" s="12">
        <f t="shared" si="3"/>
        <v>0</v>
      </c>
      <c r="BO71" s="12">
        <f t="shared" si="3"/>
        <v>0</v>
      </c>
      <c r="BP71" s="12">
        <f t="shared" si="3"/>
        <v>0</v>
      </c>
      <c r="BQ71" s="12">
        <f t="shared" si="3"/>
        <v>0</v>
      </c>
      <c r="BR71" s="12">
        <f t="shared" si="3"/>
        <v>0</v>
      </c>
      <c r="BS71" s="12">
        <f t="shared" si="3"/>
        <v>0</v>
      </c>
      <c r="BT71" s="12">
        <f t="shared" si="3"/>
        <v>0</v>
      </c>
      <c r="BU71" s="12">
        <f t="shared" si="3"/>
        <v>0</v>
      </c>
    </row>
    <row r="72" spans="13:73" hidden="1" x14ac:dyDescent="0.2">
      <c r="M72" s="12">
        <f t="shared" si="5"/>
        <v>0</v>
      </c>
      <c r="N72" s="12">
        <f t="shared" si="5"/>
        <v>0</v>
      </c>
      <c r="O72" s="12">
        <f t="shared" si="5"/>
        <v>0</v>
      </c>
      <c r="P72" s="12">
        <f t="shared" si="5"/>
        <v>0</v>
      </c>
      <c r="Q72" s="12">
        <f t="shared" si="5"/>
        <v>0</v>
      </c>
      <c r="R72" s="12">
        <f t="shared" si="5"/>
        <v>0</v>
      </c>
      <c r="S72" s="12">
        <f t="shared" si="5"/>
        <v>0</v>
      </c>
      <c r="T72" s="12">
        <f t="shared" si="5"/>
        <v>0</v>
      </c>
      <c r="U72" s="12">
        <f t="shared" si="5"/>
        <v>0</v>
      </c>
      <c r="V72" s="12">
        <f t="shared" si="5"/>
        <v>0</v>
      </c>
      <c r="W72" s="12">
        <f t="shared" si="5"/>
        <v>0</v>
      </c>
      <c r="X72" s="12">
        <f t="shared" si="5"/>
        <v>0</v>
      </c>
      <c r="Y72" s="12">
        <f t="shared" si="5"/>
        <v>0</v>
      </c>
      <c r="Z72" s="12">
        <f t="shared" si="5"/>
        <v>0</v>
      </c>
      <c r="AA72" s="12">
        <f t="shared" si="5"/>
        <v>0</v>
      </c>
      <c r="AB72" s="12">
        <f t="shared" si="5"/>
        <v>0</v>
      </c>
      <c r="AC72" s="12">
        <f t="shared" ref="AC72:AQ81" si="7">AC31-CU31</f>
        <v>0</v>
      </c>
      <c r="AD72" s="12">
        <f t="shared" si="7"/>
        <v>0</v>
      </c>
      <c r="AE72" s="12">
        <f t="shared" si="7"/>
        <v>0</v>
      </c>
      <c r="AF72" s="12">
        <f t="shared" si="7"/>
        <v>0</v>
      </c>
      <c r="AG72" s="12">
        <f t="shared" si="7"/>
        <v>0</v>
      </c>
      <c r="AH72" s="12">
        <f t="shared" si="7"/>
        <v>0</v>
      </c>
      <c r="AI72" s="12">
        <f t="shared" si="7"/>
        <v>0</v>
      </c>
      <c r="AJ72" s="12">
        <f t="shared" si="7"/>
        <v>0</v>
      </c>
      <c r="AK72" s="12">
        <f t="shared" si="7"/>
        <v>0</v>
      </c>
      <c r="AL72" s="12">
        <f t="shared" si="7"/>
        <v>0</v>
      </c>
      <c r="AM72" s="12">
        <f t="shared" si="7"/>
        <v>0</v>
      </c>
      <c r="AN72" s="12">
        <f t="shared" si="7"/>
        <v>0</v>
      </c>
      <c r="AO72" s="12">
        <f t="shared" si="7"/>
        <v>0</v>
      </c>
      <c r="AP72" s="12">
        <f t="shared" si="7"/>
        <v>0</v>
      </c>
      <c r="AQ72" s="12">
        <f t="shared" si="7"/>
        <v>0</v>
      </c>
      <c r="AR72" s="12">
        <f t="shared" si="6"/>
        <v>0</v>
      </c>
      <c r="AS72" s="12">
        <f t="shared" si="6"/>
        <v>0</v>
      </c>
      <c r="AT72" s="12">
        <f t="shared" si="6"/>
        <v>0</v>
      </c>
      <c r="AU72" s="12">
        <f t="shared" si="6"/>
        <v>0</v>
      </c>
      <c r="AV72" s="12">
        <f t="shared" si="6"/>
        <v>0</v>
      </c>
      <c r="AW72" s="12">
        <f t="shared" si="6"/>
        <v>0</v>
      </c>
      <c r="AX72" s="12">
        <f t="shared" si="6"/>
        <v>0</v>
      </c>
      <c r="AY72" s="12">
        <f t="shared" si="6"/>
        <v>0</v>
      </c>
      <c r="AZ72" s="12">
        <f t="shared" si="6"/>
        <v>0</v>
      </c>
      <c r="BA72" s="12">
        <f t="shared" si="6"/>
        <v>0</v>
      </c>
      <c r="BB72" s="12">
        <f t="shared" si="6"/>
        <v>0</v>
      </c>
      <c r="BC72" s="12">
        <f t="shared" si="6"/>
        <v>0</v>
      </c>
      <c r="BD72" s="12">
        <f t="shared" si="6"/>
        <v>0</v>
      </c>
      <c r="BE72" s="12">
        <f t="shared" si="6"/>
        <v>0</v>
      </c>
      <c r="BF72" s="12">
        <f t="shared" si="6"/>
        <v>0</v>
      </c>
      <c r="BG72" s="12">
        <f t="shared" si="3"/>
        <v>0</v>
      </c>
      <c r="BH72" s="12">
        <f t="shared" si="3"/>
        <v>0</v>
      </c>
      <c r="BI72" s="12">
        <f t="shared" si="3"/>
        <v>0</v>
      </c>
      <c r="BJ72" s="12">
        <f t="shared" si="3"/>
        <v>0</v>
      </c>
      <c r="BK72" s="12">
        <f t="shared" si="3"/>
        <v>0</v>
      </c>
      <c r="BL72" s="12">
        <f t="shared" si="3"/>
        <v>0</v>
      </c>
      <c r="BM72" s="12">
        <f t="shared" si="3"/>
        <v>0</v>
      </c>
      <c r="BN72" s="12">
        <f t="shared" si="3"/>
        <v>0</v>
      </c>
      <c r="BO72" s="12">
        <f t="shared" si="3"/>
        <v>0</v>
      </c>
      <c r="BP72" s="12">
        <f t="shared" si="3"/>
        <v>0</v>
      </c>
      <c r="BQ72" s="12">
        <f t="shared" si="3"/>
        <v>0</v>
      </c>
      <c r="BR72" s="12">
        <f t="shared" si="3"/>
        <v>0</v>
      </c>
      <c r="BS72" s="12">
        <f t="shared" si="3"/>
        <v>0</v>
      </c>
      <c r="BT72" s="12">
        <f t="shared" si="3"/>
        <v>0</v>
      </c>
      <c r="BU72" s="12">
        <f t="shared" si="3"/>
        <v>0</v>
      </c>
    </row>
    <row r="73" spans="13:73" hidden="1" x14ac:dyDescent="0.2">
      <c r="M73" s="12">
        <f t="shared" si="5"/>
        <v>0</v>
      </c>
      <c r="N73" s="12">
        <f t="shared" si="5"/>
        <v>0</v>
      </c>
      <c r="O73" s="12">
        <f t="shared" si="5"/>
        <v>0</v>
      </c>
      <c r="P73" s="12">
        <f t="shared" si="5"/>
        <v>0</v>
      </c>
      <c r="Q73" s="12">
        <f t="shared" si="5"/>
        <v>0</v>
      </c>
      <c r="R73" s="12">
        <f t="shared" si="5"/>
        <v>0</v>
      </c>
      <c r="S73" s="12">
        <f t="shared" si="5"/>
        <v>0</v>
      </c>
      <c r="T73" s="12">
        <f t="shared" si="5"/>
        <v>0</v>
      </c>
      <c r="U73" s="12">
        <f t="shared" si="5"/>
        <v>0</v>
      </c>
      <c r="V73" s="12">
        <f t="shared" si="5"/>
        <v>0</v>
      </c>
      <c r="W73" s="12">
        <f t="shared" si="5"/>
        <v>0</v>
      </c>
      <c r="X73" s="12">
        <f t="shared" si="5"/>
        <v>0</v>
      </c>
      <c r="Y73" s="12">
        <f t="shared" si="5"/>
        <v>0</v>
      </c>
      <c r="Z73" s="12">
        <f t="shared" si="5"/>
        <v>0</v>
      </c>
      <c r="AA73" s="12">
        <f t="shared" si="5"/>
        <v>0</v>
      </c>
      <c r="AB73" s="12">
        <f t="shared" si="5"/>
        <v>-22185</v>
      </c>
      <c r="AC73" s="12">
        <f t="shared" si="7"/>
        <v>0</v>
      </c>
      <c r="AD73" s="12">
        <f t="shared" si="7"/>
        <v>0</v>
      </c>
      <c r="AE73" s="12">
        <f t="shared" si="7"/>
        <v>0</v>
      </c>
      <c r="AF73" s="12">
        <f t="shared" si="7"/>
        <v>0</v>
      </c>
      <c r="AG73" s="12">
        <f t="shared" si="7"/>
        <v>98</v>
      </c>
      <c r="AH73" s="12">
        <f t="shared" si="7"/>
        <v>0</v>
      </c>
      <c r="AI73" s="12">
        <f t="shared" si="7"/>
        <v>0</v>
      </c>
      <c r="AJ73" s="12">
        <f t="shared" si="7"/>
        <v>0</v>
      </c>
      <c r="AK73" s="12">
        <f t="shared" si="7"/>
        <v>0</v>
      </c>
      <c r="AL73" s="12">
        <f t="shared" si="7"/>
        <v>0</v>
      </c>
      <c r="AM73" s="12">
        <f t="shared" si="7"/>
        <v>0</v>
      </c>
      <c r="AN73" s="12">
        <f t="shared" si="7"/>
        <v>0</v>
      </c>
      <c r="AO73" s="12">
        <f t="shared" si="7"/>
        <v>0</v>
      </c>
      <c r="AP73" s="12">
        <f t="shared" si="7"/>
        <v>0</v>
      </c>
      <c r="AQ73" s="12">
        <f t="shared" si="7"/>
        <v>372528</v>
      </c>
      <c r="AR73" s="12">
        <f t="shared" si="6"/>
        <v>0</v>
      </c>
      <c r="AS73" s="12">
        <f t="shared" si="6"/>
        <v>0</v>
      </c>
      <c r="AT73" s="12">
        <f t="shared" si="6"/>
        <v>0</v>
      </c>
      <c r="AU73" s="12">
        <f t="shared" si="6"/>
        <v>0</v>
      </c>
      <c r="AV73" s="12">
        <f t="shared" si="6"/>
        <v>0</v>
      </c>
      <c r="AW73" s="12">
        <f t="shared" si="6"/>
        <v>0</v>
      </c>
      <c r="AX73" s="12">
        <f t="shared" si="6"/>
        <v>0</v>
      </c>
      <c r="AY73" s="12">
        <f t="shared" si="6"/>
        <v>0</v>
      </c>
      <c r="AZ73" s="12">
        <f t="shared" si="6"/>
        <v>0</v>
      </c>
      <c r="BA73" s="12">
        <f t="shared" si="6"/>
        <v>0</v>
      </c>
      <c r="BB73" s="12">
        <f t="shared" si="6"/>
        <v>0</v>
      </c>
      <c r="BC73" s="12">
        <f t="shared" si="6"/>
        <v>0</v>
      </c>
      <c r="BD73" s="12">
        <f t="shared" si="6"/>
        <v>0</v>
      </c>
      <c r="BE73" s="12">
        <f t="shared" si="6"/>
        <v>0</v>
      </c>
      <c r="BF73" s="12">
        <f t="shared" si="6"/>
        <v>0</v>
      </c>
      <c r="BG73" s="12">
        <f t="shared" si="3"/>
        <v>0</v>
      </c>
      <c r="BH73" s="12">
        <f t="shared" si="3"/>
        <v>0</v>
      </c>
      <c r="BI73" s="12">
        <f t="shared" si="3"/>
        <v>0</v>
      </c>
      <c r="BJ73" s="12">
        <f t="shared" si="3"/>
        <v>0</v>
      </c>
      <c r="BK73" s="12">
        <f t="shared" si="3"/>
        <v>0</v>
      </c>
      <c r="BL73" s="12">
        <f t="shared" si="3"/>
        <v>0</v>
      </c>
      <c r="BM73" s="12">
        <f t="shared" si="3"/>
        <v>0</v>
      </c>
      <c r="BN73" s="12">
        <f t="shared" si="3"/>
        <v>0</v>
      </c>
      <c r="BO73" s="12">
        <f t="shared" si="3"/>
        <v>0</v>
      </c>
      <c r="BP73" s="12">
        <f t="shared" si="3"/>
        <v>-433</v>
      </c>
      <c r="BQ73" s="12">
        <f t="shared" si="3"/>
        <v>0</v>
      </c>
      <c r="BR73" s="12">
        <f t="shared" si="3"/>
        <v>0</v>
      </c>
      <c r="BS73" s="12">
        <f t="shared" si="3"/>
        <v>0</v>
      </c>
      <c r="BT73" s="12">
        <f t="shared" si="3"/>
        <v>0</v>
      </c>
      <c r="BU73" s="12">
        <f t="shared" si="3"/>
        <v>350008</v>
      </c>
    </row>
    <row r="74" spans="13:73" hidden="1" x14ac:dyDescent="0.2">
      <c r="M74" s="12">
        <f t="shared" si="5"/>
        <v>0</v>
      </c>
      <c r="N74" s="12">
        <f t="shared" si="5"/>
        <v>0</v>
      </c>
      <c r="O74" s="12">
        <f t="shared" si="5"/>
        <v>0</v>
      </c>
      <c r="P74" s="12">
        <f t="shared" si="5"/>
        <v>0</v>
      </c>
      <c r="Q74" s="12">
        <f t="shared" si="5"/>
        <v>0</v>
      </c>
      <c r="R74" s="12">
        <f t="shared" si="5"/>
        <v>0</v>
      </c>
      <c r="S74" s="12">
        <f t="shared" si="5"/>
        <v>0</v>
      </c>
      <c r="T74" s="12">
        <f t="shared" si="5"/>
        <v>0</v>
      </c>
      <c r="U74" s="12">
        <f t="shared" si="5"/>
        <v>0</v>
      </c>
      <c r="V74" s="12">
        <f t="shared" si="5"/>
        <v>0</v>
      </c>
      <c r="W74" s="12">
        <f t="shared" si="5"/>
        <v>0</v>
      </c>
      <c r="X74" s="12">
        <f t="shared" si="5"/>
        <v>0</v>
      </c>
      <c r="Y74" s="12">
        <f t="shared" si="5"/>
        <v>0</v>
      </c>
      <c r="Z74" s="12">
        <f t="shared" si="5"/>
        <v>0</v>
      </c>
      <c r="AA74" s="12">
        <f t="shared" si="5"/>
        <v>0</v>
      </c>
      <c r="AB74" s="12">
        <f t="shared" si="5"/>
        <v>-22185</v>
      </c>
      <c r="AC74" s="12">
        <f t="shared" si="7"/>
        <v>0</v>
      </c>
      <c r="AD74" s="12">
        <f t="shared" si="7"/>
        <v>0</v>
      </c>
      <c r="AE74" s="12">
        <f t="shared" si="7"/>
        <v>0</v>
      </c>
      <c r="AF74" s="12">
        <f t="shared" si="7"/>
        <v>0</v>
      </c>
      <c r="AG74" s="12">
        <f t="shared" si="7"/>
        <v>98</v>
      </c>
      <c r="AH74" s="12">
        <f t="shared" si="7"/>
        <v>0</v>
      </c>
      <c r="AI74" s="12">
        <f t="shared" si="7"/>
        <v>0</v>
      </c>
      <c r="AJ74" s="12">
        <f t="shared" si="7"/>
        <v>0</v>
      </c>
      <c r="AK74" s="12">
        <f t="shared" si="7"/>
        <v>0</v>
      </c>
      <c r="AL74" s="12">
        <f t="shared" si="7"/>
        <v>0</v>
      </c>
      <c r="AM74" s="12">
        <f t="shared" si="7"/>
        <v>0</v>
      </c>
      <c r="AN74" s="12">
        <f t="shared" si="7"/>
        <v>0</v>
      </c>
      <c r="AO74" s="12">
        <f t="shared" si="7"/>
        <v>0</v>
      </c>
      <c r="AP74" s="12">
        <f t="shared" si="7"/>
        <v>0</v>
      </c>
      <c r="AQ74" s="12">
        <f t="shared" si="7"/>
        <v>372528</v>
      </c>
      <c r="AR74" s="12">
        <f t="shared" si="6"/>
        <v>0</v>
      </c>
      <c r="AS74" s="12">
        <f t="shared" si="6"/>
        <v>0</v>
      </c>
      <c r="AT74" s="12">
        <f t="shared" si="6"/>
        <v>0</v>
      </c>
      <c r="AU74" s="12">
        <f t="shared" si="6"/>
        <v>0</v>
      </c>
      <c r="AV74" s="12">
        <f t="shared" si="6"/>
        <v>0</v>
      </c>
      <c r="AW74" s="12">
        <f t="shared" si="6"/>
        <v>0</v>
      </c>
      <c r="AX74" s="12">
        <f t="shared" si="6"/>
        <v>0</v>
      </c>
      <c r="AY74" s="12">
        <f t="shared" si="6"/>
        <v>0</v>
      </c>
      <c r="AZ74" s="12">
        <f t="shared" si="6"/>
        <v>0</v>
      </c>
      <c r="BA74" s="12">
        <f t="shared" si="6"/>
        <v>0</v>
      </c>
      <c r="BB74" s="12">
        <f t="shared" si="6"/>
        <v>0</v>
      </c>
      <c r="BC74" s="12">
        <f t="shared" si="6"/>
        <v>0</v>
      </c>
      <c r="BD74" s="12">
        <f t="shared" si="6"/>
        <v>0</v>
      </c>
      <c r="BE74" s="12">
        <f t="shared" si="6"/>
        <v>0</v>
      </c>
      <c r="BF74" s="12">
        <f t="shared" si="6"/>
        <v>0</v>
      </c>
      <c r="BG74" s="12">
        <f t="shared" si="3"/>
        <v>0</v>
      </c>
      <c r="BH74" s="12">
        <f t="shared" si="3"/>
        <v>0</v>
      </c>
      <c r="BI74" s="12">
        <f t="shared" si="3"/>
        <v>0</v>
      </c>
      <c r="BJ74" s="12">
        <f t="shared" si="3"/>
        <v>0</v>
      </c>
      <c r="BK74" s="12">
        <f t="shared" si="3"/>
        <v>0</v>
      </c>
      <c r="BL74" s="12">
        <f t="shared" si="3"/>
        <v>0</v>
      </c>
      <c r="BM74" s="12">
        <f t="shared" si="3"/>
        <v>0</v>
      </c>
      <c r="BN74" s="12">
        <f t="shared" si="3"/>
        <v>0</v>
      </c>
      <c r="BO74" s="12">
        <f t="shared" si="3"/>
        <v>0</v>
      </c>
      <c r="BP74" s="12">
        <f t="shared" si="3"/>
        <v>-433</v>
      </c>
      <c r="BQ74" s="12">
        <f t="shared" si="3"/>
        <v>0</v>
      </c>
      <c r="BR74" s="12">
        <f t="shared" si="3"/>
        <v>0</v>
      </c>
      <c r="BS74" s="12">
        <f t="shared" si="3"/>
        <v>0</v>
      </c>
      <c r="BT74" s="12">
        <f t="shared" si="3"/>
        <v>0</v>
      </c>
      <c r="BU74" s="12">
        <f t="shared" si="3"/>
        <v>350008</v>
      </c>
    </row>
    <row r="75" spans="13:73" hidden="1" x14ac:dyDescent="0.2">
      <c r="M75" s="12">
        <f t="shared" si="5"/>
        <v>0</v>
      </c>
      <c r="N75" s="12">
        <f t="shared" si="5"/>
        <v>0</v>
      </c>
      <c r="O75" s="12">
        <f t="shared" si="5"/>
        <v>0</v>
      </c>
      <c r="P75" s="12">
        <f t="shared" si="5"/>
        <v>0</v>
      </c>
      <c r="Q75" s="12">
        <f t="shared" si="5"/>
        <v>0</v>
      </c>
      <c r="R75" s="12">
        <f t="shared" si="5"/>
        <v>0</v>
      </c>
      <c r="S75" s="12">
        <f t="shared" si="5"/>
        <v>0</v>
      </c>
      <c r="T75" s="12">
        <f t="shared" si="5"/>
        <v>0</v>
      </c>
      <c r="U75" s="12">
        <f t="shared" si="5"/>
        <v>0</v>
      </c>
      <c r="V75" s="12">
        <f t="shared" si="5"/>
        <v>0</v>
      </c>
      <c r="W75" s="12">
        <f t="shared" si="5"/>
        <v>0</v>
      </c>
      <c r="X75" s="12">
        <f t="shared" si="5"/>
        <v>0</v>
      </c>
      <c r="Y75" s="12">
        <f t="shared" si="5"/>
        <v>0</v>
      </c>
      <c r="Z75" s="12">
        <f t="shared" si="5"/>
        <v>0</v>
      </c>
      <c r="AA75" s="12">
        <f t="shared" si="5"/>
        <v>0</v>
      </c>
      <c r="AB75" s="12">
        <f t="shared" si="5"/>
        <v>0</v>
      </c>
      <c r="AC75" s="12">
        <f t="shared" si="7"/>
        <v>0</v>
      </c>
      <c r="AD75" s="12">
        <f t="shared" si="7"/>
        <v>0</v>
      </c>
      <c r="AE75" s="12">
        <f t="shared" si="7"/>
        <v>0</v>
      </c>
      <c r="AF75" s="12">
        <f t="shared" si="7"/>
        <v>0</v>
      </c>
      <c r="AG75" s="12">
        <f t="shared" si="7"/>
        <v>0</v>
      </c>
      <c r="AH75" s="12">
        <f t="shared" si="7"/>
        <v>0</v>
      </c>
      <c r="AI75" s="12">
        <f t="shared" si="7"/>
        <v>0</v>
      </c>
      <c r="AJ75" s="12">
        <f t="shared" si="7"/>
        <v>0</v>
      </c>
      <c r="AK75" s="12">
        <f t="shared" si="7"/>
        <v>0</v>
      </c>
      <c r="AL75" s="12">
        <f t="shared" si="7"/>
        <v>0</v>
      </c>
      <c r="AM75" s="12">
        <f t="shared" si="7"/>
        <v>0</v>
      </c>
      <c r="AN75" s="12">
        <f t="shared" si="7"/>
        <v>0</v>
      </c>
      <c r="AO75" s="12">
        <f t="shared" si="7"/>
        <v>0</v>
      </c>
      <c r="AP75" s="12">
        <f t="shared" si="7"/>
        <v>0</v>
      </c>
      <c r="AQ75" s="12">
        <f t="shared" si="7"/>
        <v>0</v>
      </c>
      <c r="AR75" s="12">
        <f t="shared" si="6"/>
        <v>0</v>
      </c>
      <c r="AS75" s="12">
        <f t="shared" si="6"/>
        <v>0</v>
      </c>
      <c r="AT75" s="12">
        <f t="shared" si="6"/>
        <v>0</v>
      </c>
      <c r="AU75" s="12">
        <f t="shared" si="6"/>
        <v>0</v>
      </c>
      <c r="AV75" s="12">
        <f t="shared" si="6"/>
        <v>0</v>
      </c>
      <c r="AW75" s="12">
        <f t="shared" si="6"/>
        <v>0</v>
      </c>
      <c r="AX75" s="12">
        <f t="shared" si="6"/>
        <v>0</v>
      </c>
      <c r="AY75" s="12">
        <f t="shared" si="6"/>
        <v>0</v>
      </c>
      <c r="AZ75" s="12">
        <f t="shared" si="6"/>
        <v>0</v>
      </c>
      <c r="BA75" s="12">
        <f t="shared" si="6"/>
        <v>0</v>
      </c>
      <c r="BB75" s="12">
        <f t="shared" si="6"/>
        <v>0</v>
      </c>
      <c r="BC75" s="12">
        <f t="shared" si="6"/>
        <v>0</v>
      </c>
      <c r="BD75" s="12">
        <f t="shared" si="6"/>
        <v>0</v>
      </c>
      <c r="BE75" s="12">
        <f t="shared" si="6"/>
        <v>0</v>
      </c>
      <c r="BF75" s="12">
        <f t="shared" si="6"/>
        <v>0</v>
      </c>
      <c r="BG75" s="12">
        <f t="shared" si="3"/>
        <v>0</v>
      </c>
      <c r="BH75" s="12">
        <f t="shared" si="3"/>
        <v>0</v>
      </c>
      <c r="BI75" s="12">
        <f t="shared" si="3"/>
        <v>0</v>
      </c>
      <c r="BJ75" s="12">
        <f t="shared" si="3"/>
        <v>0</v>
      </c>
      <c r="BK75" s="12">
        <f t="shared" si="3"/>
        <v>0</v>
      </c>
      <c r="BL75" s="12">
        <f t="shared" si="3"/>
        <v>0</v>
      </c>
      <c r="BM75" s="12">
        <f t="shared" si="3"/>
        <v>0</v>
      </c>
      <c r="BN75" s="12">
        <f t="shared" si="3"/>
        <v>0</v>
      </c>
      <c r="BO75" s="12">
        <f t="shared" si="3"/>
        <v>0</v>
      </c>
      <c r="BP75" s="12">
        <f t="shared" si="3"/>
        <v>0</v>
      </c>
      <c r="BQ75" s="12">
        <f t="shared" si="3"/>
        <v>0</v>
      </c>
      <c r="BR75" s="12">
        <f t="shared" si="3"/>
        <v>0</v>
      </c>
      <c r="BS75" s="12">
        <f t="shared" si="3"/>
        <v>0</v>
      </c>
      <c r="BT75" s="12">
        <f t="shared" si="3"/>
        <v>0</v>
      </c>
      <c r="BU75" s="12">
        <f t="shared" si="3"/>
        <v>0</v>
      </c>
    </row>
    <row r="76" spans="13:73" hidden="1" x14ac:dyDescent="0.2">
      <c r="M76" s="12">
        <f t="shared" si="5"/>
        <v>0</v>
      </c>
      <c r="N76" s="12">
        <f t="shared" si="5"/>
        <v>0</v>
      </c>
      <c r="O76" s="12">
        <f t="shared" si="5"/>
        <v>0</v>
      </c>
      <c r="P76" s="12">
        <f t="shared" si="5"/>
        <v>0</v>
      </c>
      <c r="Q76" s="12">
        <f t="shared" si="5"/>
        <v>0</v>
      </c>
      <c r="R76" s="12">
        <f t="shared" si="5"/>
        <v>0</v>
      </c>
      <c r="S76" s="12">
        <f t="shared" si="5"/>
        <v>0</v>
      </c>
      <c r="T76" s="12">
        <f t="shared" si="5"/>
        <v>0</v>
      </c>
      <c r="U76" s="12">
        <f t="shared" si="5"/>
        <v>0</v>
      </c>
      <c r="V76" s="12">
        <f t="shared" si="5"/>
        <v>0</v>
      </c>
      <c r="W76" s="12">
        <f t="shared" si="5"/>
        <v>0</v>
      </c>
      <c r="X76" s="12">
        <f t="shared" si="5"/>
        <v>0</v>
      </c>
      <c r="Y76" s="12">
        <f t="shared" si="5"/>
        <v>0</v>
      </c>
      <c r="Z76" s="12">
        <f t="shared" si="5"/>
        <v>0</v>
      </c>
      <c r="AA76" s="12">
        <f t="shared" si="5"/>
        <v>0</v>
      </c>
      <c r="AB76" s="12">
        <f t="shared" si="5"/>
        <v>0</v>
      </c>
      <c r="AC76" s="12">
        <f t="shared" si="7"/>
        <v>0</v>
      </c>
      <c r="AD76" s="12">
        <f t="shared" si="7"/>
        <v>0</v>
      </c>
      <c r="AE76" s="12">
        <f t="shared" si="7"/>
        <v>0</v>
      </c>
      <c r="AF76" s="12">
        <f t="shared" si="7"/>
        <v>0</v>
      </c>
      <c r="AG76" s="12">
        <f t="shared" si="7"/>
        <v>0</v>
      </c>
      <c r="AH76" s="12">
        <f t="shared" si="7"/>
        <v>0</v>
      </c>
      <c r="AI76" s="12">
        <f t="shared" si="7"/>
        <v>0</v>
      </c>
      <c r="AJ76" s="12">
        <f t="shared" si="7"/>
        <v>0</v>
      </c>
      <c r="AK76" s="12">
        <f t="shared" si="7"/>
        <v>0</v>
      </c>
      <c r="AL76" s="12">
        <f t="shared" si="7"/>
        <v>0</v>
      </c>
      <c r="AM76" s="12">
        <f t="shared" si="7"/>
        <v>0</v>
      </c>
      <c r="AN76" s="12">
        <f t="shared" si="7"/>
        <v>0</v>
      </c>
      <c r="AO76" s="12">
        <f t="shared" si="7"/>
        <v>0</v>
      </c>
      <c r="AP76" s="12">
        <f t="shared" si="7"/>
        <v>0</v>
      </c>
      <c r="AQ76" s="12">
        <f t="shared" si="7"/>
        <v>0</v>
      </c>
      <c r="AR76" s="12">
        <f t="shared" si="6"/>
        <v>0</v>
      </c>
      <c r="AS76" s="12">
        <f t="shared" si="6"/>
        <v>0</v>
      </c>
      <c r="AT76" s="12">
        <f t="shared" si="6"/>
        <v>0</v>
      </c>
      <c r="AU76" s="12">
        <f t="shared" si="6"/>
        <v>0</v>
      </c>
      <c r="AV76" s="12">
        <f t="shared" si="6"/>
        <v>0</v>
      </c>
      <c r="AW76" s="12">
        <f t="shared" si="6"/>
        <v>0</v>
      </c>
      <c r="AX76" s="12">
        <f t="shared" si="6"/>
        <v>0</v>
      </c>
      <c r="AY76" s="12">
        <f t="shared" si="6"/>
        <v>0</v>
      </c>
      <c r="AZ76" s="12">
        <f t="shared" si="6"/>
        <v>0</v>
      </c>
      <c r="BA76" s="12">
        <f t="shared" si="6"/>
        <v>0</v>
      </c>
      <c r="BB76" s="12">
        <f t="shared" si="6"/>
        <v>0</v>
      </c>
      <c r="BC76" s="12">
        <f t="shared" si="6"/>
        <v>0</v>
      </c>
      <c r="BD76" s="12">
        <f t="shared" si="6"/>
        <v>0</v>
      </c>
      <c r="BE76" s="12">
        <f t="shared" si="6"/>
        <v>0</v>
      </c>
      <c r="BF76" s="12">
        <f t="shared" si="6"/>
        <v>0</v>
      </c>
      <c r="BG76" s="12">
        <f t="shared" si="3"/>
        <v>0</v>
      </c>
      <c r="BH76" s="12">
        <f t="shared" si="3"/>
        <v>0</v>
      </c>
      <c r="BI76" s="12">
        <f t="shared" si="3"/>
        <v>0</v>
      </c>
      <c r="BJ76" s="12">
        <f t="shared" si="3"/>
        <v>0</v>
      </c>
      <c r="BK76" s="12">
        <f t="shared" si="3"/>
        <v>0</v>
      </c>
      <c r="BL76" s="12">
        <f t="shared" si="3"/>
        <v>0</v>
      </c>
      <c r="BM76" s="12">
        <f t="shared" si="3"/>
        <v>0</v>
      </c>
      <c r="BN76" s="12">
        <f t="shared" si="3"/>
        <v>0</v>
      </c>
      <c r="BO76" s="12">
        <f t="shared" si="3"/>
        <v>0</v>
      </c>
      <c r="BP76" s="12">
        <f t="shared" si="3"/>
        <v>0</v>
      </c>
      <c r="BQ76" s="12">
        <f t="shared" si="3"/>
        <v>0</v>
      </c>
      <c r="BR76" s="12">
        <f t="shared" si="3"/>
        <v>0</v>
      </c>
      <c r="BS76" s="12">
        <f t="shared" si="3"/>
        <v>0</v>
      </c>
      <c r="BT76" s="12">
        <f t="shared" si="3"/>
        <v>0</v>
      </c>
      <c r="BU76" s="12">
        <f t="shared" si="3"/>
        <v>0</v>
      </c>
    </row>
    <row r="77" spans="13:73" hidden="1" x14ac:dyDescent="0.2">
      <c r="M77" s="12">
        <f t="shared" si="5"/>
        <v>0</v>
      </c>
      <c r="N77" s="12">
        <f t="shared" si="5"/>
        <v>0</v>
      </c>
      <c r="O77" s="12">
        <f t="shared" si="5"/>
        <v>0</v>
      </c>
      <c r="P77" s="12">
        <f t="shared" si="5"/>
        <v>0</v>
      </c>
      <c r="Q77" s="12">
        <f t="shared" si="5"/>
        <v>0</v>
      </c>
      <c r="R77" s="12">
        <f t="shared" si="5"/>
        <v>0</v>
      </c>
      <c r="S77" s="12">
        <f t="shared" si="5"/>
        <v>0</v>
      </c>
      <c r="T77" s="12">
        <f t="shared" si="5"/>
        <v>0</v>
      </c>
      <c r="U77" s="12">
        <f t="shared" si="5"/>
        <v>0</v>
      </c>
      <c r="V77" s="12">
        <f t="shared" si="5"/>
        <v>0</v>
      </c>
      <c r="W77" s="12">
        <f t="shared" si="5"/>
        <v>0</v>
      </c>
      <c r="X77" s="12">
        <f t="shared" si="5"/>
        <v>0</v>
      </c>
      <c r="Y77" s="12">
        <f t="shared" si="5"/>
        <v>0</v>
      </c>
      <c r="Z77" s="12">
        <f t="shared" si="5"/>
        <v>0</v>
      </c>
      <c r="AA77" s="12">
        <f t="shared" si="5"/>
        <v>0</v>
      </c>
      <c r="AB77" s="12">
        <f t="shared" si="5"/>
        <v>0</v>
      </c>
      <c r="AC77" s="12">
        <f t="shared" si="7"/>
        <v>0</v>
      </c>
      <c r="AD77" s="12">
        <f t="shared" si="7"/>
        <v>0</v>
      </c>
      <c r="AE77" s="12">
        <f t="shared" si="7"/>
        <v>0</v>
      </c>
      <c r="AF77" s="12">
        <f t="shared" si="7"/>
        <v>0</v>
      </c>
      <c r="AG77" s="12">
        <f t="shared" si="7"/>
        <v>0</v>
      </c>
      <c r="AH77" s="12">
        <f t="shared" si="7"/>
        <v>0</v>
      </c>
      <c r="AI77" s="12">
        <f t="shared" si="7"/>
        <v>0</v>
      </c>
      <c r="AJ77" s="12">
        <f t="shared" si="7"/>
        <v>0</v>
      </c>
      <c r="AK77" s="12">
        <f t="shared" si="7"/>
        <v>0</v>
      </c>
      <c r="AL77" s="12">
        <f t="shared" si="7"/>
        <v>0</v>
      </c>
      <c r="AM77" s="12">
        <f t="shared" si="7"/>
        <v>0</v>
      </c>
      <c r="AN77" s="12">
        <f t="shared" si="7"/>
        <v>0</v>
      </c>
      <c r="AO77" s="12">
        <f t="shared" si="7"/>
        <v>0</v>
      </c>
      <c r="AP77" s="12">
        <f t="shared" si="7"/>
        <v>0</v>
      </c>
      <c r="AQ77" s="12">
        <f t="shared" si="7"/>
        <v>0</v>
      </c>
      <c r="AR77" s="12">
        <f t="shared" si="6"/>
        <v>0</v>
      </c>
      <c r="AS77" s="12">
        <f t="shared" si="6"/>
        <v>0</v>
      </c>
      <c r="AT77" s="12">
        <f t="shared" si="6"/>
        <v>0</v>
      </c>
      <c r="AU77" s="12">
        <f t="shared" si="6"/>
        <v>0</v>
      </c>
      <c r="AV77" s="12">
        <f t="shared" si="6"/>
        <v>0</v>
      </c>
      <c r="AW77" s="12">
        <f t="shared" si="6"/>
        <v>0</v>
      </c>
      <c r="AX77" s="12">
        <f t="shared" si="6"/>
        <v>0</v>
      </c>
      <c r="AY77" s="12">
        <f t="shared" si="6"/>
        <v>0</v>
      </c>
      <c r="AZ77" s="12">
        <f t="shared" si="6"/>
        <v>0</v>
      </c>
      <c r="BA77" s="12">
        <f t="shared" si="6"/>
        <v>0</v>
      </c>
      <c r="BB77" s="12">
        <f t="shared" si="6"/>
        <v>0</v>
      </c>
      <c r="BC77" s="12">
        <f t="shared" si="6"/>
        <v>0</v>
      </c>
      <c r="BD77" s="12">
        <f t="shared" si="6"/>
        <v>0</v>
      </c>
      <c r="BE77" s="12">
        <f t="shared" si="6"/>
        <v>0</v>
      </c>
      <c r="BF77" s="12">
        <f t="shared" si="6"/>
        <v>0</v>
      </c>
      <c r="BG77" s="12">
        <f t="shared" si="3"/>
        <v>0</v>
      </c>
      <c r="BH77" s="12">
        <f t="shared" si="3"/>
        <v>0</v>
      </c>
      <c r="BI77" s="12">
        <f t="shared" si="3"/>
        <v>0</v>
      </c>
      <c r="BJ77" s="12">
        <f t="shared" si="3"/>
        <v>0</v>
      </c>
      <c r="BK77" s="12">
        <f t="shared" si="3"/>
        <v>0</v>
      </c>
      <c r="BL77" s="12">
        <f t="shared" si="3"/>
        <v>0</v>
      </c>
      <c r="BM77" s="12">
        <f t="shared" si="3"/>
        <v>0</v>
      </c>
      <c r="BN77" s="12">
        <f t="shared" si="3"/>
        <v>0</v>
      </c>
      <c r="BO77" s="12">
        <f t="shared" si="3"/>
        <v>0</v>
      </c>
      <c r="BP77" s="12">
        <f t="shared" si="3"/>
        <v>0</v>
      </c>
      <c r="BQ77" s="12">
        <f t="shared" si="3"/>
        <v>0</v>
      </c>
      <c r="BR77" s="12">
        <f t="shared" si="3"/>
        <v>0</v>
      </c>
      <c r="BS77" s="12">
        <f t="shared" si="3"/>
        <v>0</v>
      </c>
      <c r="BT77" s="12">
        <f t="shared" si="3"/>
        <v>0</v>
      </c>
      <c r="BU77" s="12">
        <f t="shared" si="3"/>
        <v>0</v>
      </c>
    </row>
    <row r="78" spans="13:73" hidden="1" x14ac:dyDescent="0.2">
      <c r="M78" s="12">
        <f t="shared" si="5"/>
        <v>0</v>
      </c>
      <c r="N78" s="12">
        <f t="shared" si="5"/>
        <v>0</v>
      </c>
      <c r="O78" s="12">
        <f t="shared" si="5"/>
        <v>0</v>
      </c>
      <c r="P78" s="12">
        <f t="shared" si="5"/>
        <v>0</v>
      </c>
      <c r="Q78" s="12">
        <f t="shared" si="5"/>
        <v>0</v>
      </c>
      <c r="R78" s="12">
        <f t="shared" si="5"/>
        <v>0</v>
      </c>
      <c r="S78" s="12">
        <f t="shared" si="5"/>
        <v>0</v>
      </c>
      <c r="T78" s="12">
        <f t="shared" si="5"/>
        <v>0</v>
      </c>
      <c r="U78" s="12">
        <f t="shared" si="5"/>
        <v>0</v>
      </c>
      <c r="V78" s="12">
        <f t="shared" si="5"/>
        <v>0</v>
      </c>
      <c r="W78" s="12">
        <f t="shared" si="5"/>
        <v>0</v>
      </c>
      <c r="X78" s="12">
        <f t="shared" si="5"/>
        <v>0</v>
      </c>
      <c r="Y78" s="12">
        <f t="shared" si="5"/>
        <v>0</v>
      </c>
      <c r="Z78" s="12">
        <f t="shared" si="5"/>
        <v>0</v>
      </c>
      <c r="AA78" s="12">
        <f t="shared" si="5"/>
        <v>0</v>
      </c>
      <c r="AB78" s="12">
        <f t="shared" si="5"/>
        <v>0</v>
      </c>
      <c r="AC78" s="12">
        <f t="shared" si="7"/>
        <v>0</v>
      </c>
      <c r="AD78" s="12">
        <f t="shared" si="7"/>
        <v>0</v>
      </c>
      <c r="AE78" s="12">
        <f t="shared" si="7"/>
        <v>0</v>
      </c>
      <c r="AF78" s="12">
        <f t="shared" si="7"/>
        <v>0</v>
      </c>
      <c r="AG78" s="12">
        <f t="shared" si="7"/>
        <v>0</v>
      </c>
      <c r="AH78" s="12">
        <f t="shared" si="7"/>
        <v>0</v>
      </c>
      <c r="AI78" s="12">
        <f t="shared" si="7"/>
        <v>0</v>
      </c>
      <c r="AJ78" s="12">
        <f t="shared" si="7"/>
        <v>0</v>
      </c>
      <c r="AK78" s="12">
        <f t="shared" si="7"/>
        <v>0</v>
      </c>
      <c r="AL78" s="12">
        <f t="shared" si="7"/>
        <v>0</v>
      </c>
      <c r="AM78" s="12">
        <f t="shared" si="7"/>
        <v>0</v>
      </c>
      <c r="AN78" s="12">
        <f t="shared" si="7"/>
        <v>0</v>
      </c>
      <c r="AO78" s="12">
        <f t="shared" si="7"/>
        <v>0</v>
      </c>
      <c r="AP78" s="12">
        <f t="shared" si="7"/>
        <v>0</v>
      </c>
      <c r="AQ78" s="12">
        <f t="shared" si="7"/>
        <v>0</v>
      </c>
      <c r="AR78" s="12">
        <f t="shared" si="6"/>
        <v>0</v>
      </c>
      <c r="AS78" s="12">
        <f t="shared" si="6"/>
        <v>0</v>
      </c>
      <c r="AT78" s="12">
        <f t="shared" si="6"/>
        <v>0</v>
      </c>
      <c r="AU78" s="12">
        <f t="shared" si="6"/>
        <v>0</v>
      </c>
      <c r="AV78" s="12">
        <f t="shared" si="6"/>
        <v>0</v>
      </c>
      <c r="AW78" s="12">
        <f t="shared" si="6"/>
        <v>0</v>
      </c>
      <c r="AX78" s="12">
        <f t="shared" si="6"/>
        <v>0</v>
      </c>
      <c r="AY78" s="12">
        <f t="shared" si="6"/>
        <v>0</v>
      </c>
      <c r="AZ78" s="12">
        <f t="shared" si="6"/>
        <v>0</v>
      </c>
      <c r="BA78" s="12">
        <f t="shared" si="6"/>
        <v>0</v>
      </c>
      <c r="BB78" s="12">
        <f t="shared" si="6"/>
        <v>0</v>
      </c>
      <c r="BC78" s="12">
        <f t="shared" si="6"/>
        <v>0</v>
      </c>
      <c r="BD78" s="12">
        <f t="shared" si="6"/>
        <v>0</v>
      </c>
      <c r="BE78" s="12">
        <f t="shared" si="6"/>
        <v>0</v>
      </c>
      <c r="BF78" s="12">
        <f t="shared" si="6"/>
        <v>0</v>
      </c>
      <c r="BG78" s="12">
        <f t="shared" si="6"/>
        <v>0</v>
      </c>
      <c r="BH78" s="12">
        <f t="shared" ref="BH78:BU81" si="8">BH37-DZ37</f>
        <v>0</v>
      </c>
      <c r="BI78" s="12">
        <f t="shared" si="8"/>
        <v>0</v>
      </c>
      <c r="BJ78" s="12">
        <f t="shared" si="8"/>
        <v>0</v>
      </c>
      <c r="BK78" s="12">
        <f t="shared" si="8"/>
        <v>0</v>
      </c>
      <c r="BL78" s="12">
        <f t="shared" si="8"/>
        <v>0</v>
      </c>
      <c r="BM78" s="12">
        <f t="shared" si="8"/>
        <v>0</v>
      </c>
      <c r="BN78" s="12">
        <f t="shared" si="8"/>
        <v>0</v>
      </c>
      <c r="BO78" s="12">
        <f t="shared" si="8"/>
        <v>0</v>
      </c>
      <c r="BP78" s="12">
        <f t="shared" si="8"/>
        <v>0</v>
      </c>
      <c r="BQ78" s="12">
        <f t="shared" si="8"/>
        <v>0</v>
      </c>
      <c r="BR78" s="12">
        <f t="shared" si="8"/>
        <v>0</v>
      </c>
      <c r="BS78" s="12">
        <f t="shared" si="8"/>
        <v>0</v>
      </c>
      <c r="BT78" s="12">
        <f t="shared" si="8"/>
        <v>0</v>
      </c>
      <c r="BU78" s="12">
        <f t="shared" si="8"/>
        <v>0</v>
      </c>
    </row>
    <row r="79" spans="13:73" hidden="1" x14ac:dyDescent="0.2">
      <c r="M79" s="12">
        <f t="shared" si="5"/>
        <v>-24541720.868039966</v>
      </c>
      <c r="N79" s="12">
        <f t="shared" si="5"/>
        <v>0</v>
      </c>
      <c r="O79" s="12">
        <f t="shared" si="5"/>
        <v>0</v>
      </c>
      <c r="P79" s="12">
        <f t="shared" si="5"/>
        <v>0</v>
      </c>
      <c r="Q79" s="12">
        <f t="shared" si="5"/>
        <v>0</v>
      </c>
      <c r="R79" s="12">
        <f t="shared" si="5"/>
        <v>-992232.82340999972</v>
      </c>
      <c r="S79" s="12">
        <f t="shared" si="5"/>
        <v>0</v>
      </c>
      <c r="T79" s="12">
        <f t="shared" si="5"/>
        <v>0</v>
      </c>
      <c r="U79" s="12">
        <f t="shared" si="5"/>
        <v>0</v>
      </c>
      <c r="V79" s="12">
        <f t="shared" si="5"/>
        <v>0</v>
      </c>
      <c r="W79" s="12">
        <f t="shared" si="5"/>
        <v>-17509612.579360023</v>
      </c>
      <c r="X79" s="12">
        <f t="shared" si="5"/>
        <v>0</v>
      </c>
      <c r="Y79" s="12">
        <f t="shared" si="5"/>
        <v>0</v>
      </c>
      <c r="Z79" s="12">
        <f t="shared" si="5"/>
        <v>0</v>
      </c>
      <c r="AA79" s="12">
        <f t="shared" si="5"/>
        <v>0</v>
      </c>
      <c r="AB79" s="12">
        <f t="shared" si="5"/>
        <v>47906877.569129989</v>
      </c>
      <c r="AC79" s="12">
        <f t="shared" si="7"/>
        <v>0</v>
      </c>
      <c r="AD79" s="12">
        <f t="shared" si="7"/>
        <v>0</v>
      </c>
      <c r="AE79" s="12">
        <f t="shared" si="7"/>
        <v>0</v>
      </c>
      <c r="AF79" s="12">
        <f t="shared" si="7"/>
        <v>0</v>
      </c>
      <c r="AG79" s="12">
        <f t="shared" si="7"/>
        <v>-26441476.898249999</v>
      </c>
      <c r="AH79" s="12">
        <f t="shared" si="7"/>
        <v>0</v>
      </c>
      <c r="AI79" s="12">
        <f t="shared" si="7"/>
        <v>0</v>
      </c>
      <c r="AJ79" s="12">
        <f t="shared" si="7"/>
        <v>0</v>
      </c>
      <c r="AK79" s="12">
        <f t="shared" si="7"/>
        <v>0</v>
      </c>
      <c r="AL79" s="12">
        <f t="shared" si="7"/>
        <v>14666106.245150045</v>
      </c>
      <c r="AM79" s="12">
        <f t="shared" si="7"/>
        <v>0</v>
      </c>
      <c r="AN79" s="12">
        <f t="shared" si="7"/>
        <v>0</v>
      </c>
      <c r="AO79" s="12">
        <f t="shared" si="7"/>
        <v>0</v>
      </c>
      <c r="AP79" s="12">
        <f t="shared" si="7"/>
        <v>0</v>
      </c>
      <c r="AQ79" s="12">
        <f t="shared" si="7"/>
        <v>-12838833.617930021</v>
      </c>
      <c r="AR79" s="12">
        <f t="shared" si="6"/>
        <v>0</v>
      </c>
      <c r="AS79" s="12">
        <f t="shared" si="6"/>
        <v>0</v>
      </c>
      <c r="AT79" s="12">
        <f t="shared" si="6"/>
        <v>0</v>
      </c>
      <c r="AU79" s="12">
        <f t="shared" si="6"/>
        <v>0</v>
      </c>
      <c r="AV79" s="12">
        <f t="shared" si="6"/>
        <v>18390143.260510013</v>
      </c>
      <c r="AW79" s="12">
        <f t="shared" si="6"/>
        <v>0</v>
      </c>
      <c r="AX79" s="12">
        <f t="shared" si="6"/>
        <v>0</v>
      </c>
      <c r="AY79" s="12">
        <f t="shared" si="6"/>
        <v>0</v>
      </c>
      <c r="AZ79" s="12">
        <f t="shared" si="6"/>
        <v>0</v>
      </c>
      <c r="BA79" s="12">
        <f t="shared" si="6"/>
        <v>7224805.4555600164</v>
      </c>
      <c r="BB79" s="12">
        <f t="shared" si="6"/>
        <v>0</v>
      </c>
      <c r="BC79" s="12">
        <f t="shared" si="6"/>
        <v>0</v>
      </c>
      <c r="BD79" s="12">
        <f t="shared" si="6"/>
        <v>0</v>
      </c>
      <c r="BE79" s="12">
        <f t="shared" si="6"/>
        <v>0</v>
      </c>
      <c r="BF79" s="12">
        <f t="shared" si="6"/>
        <v>-31020330.557449967</v>
      </c>
      <c r="BG79" s="12">
        <f t="shared" si="6"/>
        <v>0</v>
      </c>
      <c r="BH79" s="12">
        <f t="shared" si="8"/>
        <v>0</v>
      </c>
      <c r="BI79" s="12">
        <f t="shared" si="8"/>
        <v>0</v>
      </c>
      <c r="BJ79" s="12">
        <f t="shared" si="8"/>
        <v>0</v>
      </c>
      <c r="BK79" s="12">
        <f t="shared" si="8"/>
        <v>2244402.8846200258</v>
      </c>
      <c r="BL79" s="12">
        <f t="shared" si="8"/>
        <v>0</v>
      </c>
      <c r="BM79" s="12">
        <f t="shared" si="8"/>
        <v>0</v>
      </c>
      <c r="BN79" s="12">
        <f t="shared" si="8"/>
        <v>0</v>
      </c>
      <c r="BO79" s="12">
        <f t="shared" si="8"/>
        <v>0</v>
      </c>
      <c r="BP79" s="12">
        <f t="shared" si="8"/>
        <v>5595807.3307495415</v>
      </c>
      <c r="BQ79" s="12">
        <f t="shared" si="8"/>
        <v>0</v>
      </c>
      <c r="BR79" s="12">
        <f t="shared" si="8"/>
        <v>0</v>
      </c>
      <c r="BS79" s="12">
        <f t="shared" si="8"/>
        <v>0</v>
      </c>
      <c r="BT79" s="12">
        <f t="shared" si="8"/>
        <v>0</v>
      </c>
      <c r="BU79" s="12">
        <f t="shared" si="8"/>
        <v>-17316064.598720357</v>
      </c>
    </row>
    <row r="80" spans="13:73" hidden="1" x14ac:dyDescent="0.2">
      <c r="M80" s="12">
        <f t="shared" si="5"/>
        <v>0</v>
      </c>
      <c r="N80" s="12">
        <f t="shared" si="5"/>
        <v>0</v>
      </c>
      <c r="O80" s="12">
        <f t="shared" si="5"/>
        <v>0</v>
      </c>
      <c r="P80" s="12">
        <f t="shared" si="5"/>
        <v>0</v>
      </c>
      <c r="Q80" s="12">
        <f t="shared" si="5"/>
        <v>0</v>
      </c>
      <c r="R80" s="12">
        <f t="shared" si="5"/>
        <v>0</v>
      </c>
      <c r="S80" s="12">
        <f t="shared" si="5"/>
        <v>0</v>
      </c>
      <c r="T80" s="12">
        <f t="shared" si="5"/>
        <v>0</v>
      </c>
      <c r="U80" s="12">
        <f t="shared" si="5"/>
        <v>0</v>
      </c>
      <c r="V80" s="12">
        <f t="shared" si="5"/>
        <v>0</v>
      </c>
      <c r="W80" s="12">
        <f t="shared" si="5"/>
        <v>0</v>
      </c>
      <c r="X80" s="12">
        <f t="shared" si="5"/>
        <v>0</v>
      </c>
      <c r="Y80" s="12">
        <f t="shared" si="5"/>
        <v>0</v>
      </c>
      <c r="Z80" s="12">
        <f t="shared" si="5"/>
        <v>0</v>
      </c>
      <c r="AA80" s="12">
        <f t="shared" si="5"/>
        <v>0</v>
      </c>
      <c r="AB80" s="12">
        <f t="shared" si="5"/>
        <v>0</v>
      </c>
      <c r="AC80" s="12">
        <f t="shared" si="7"/>
        <v>0</v>
      </c>
      <c r="AD80" s="12">
        <f t="shared" si="7"/>
        <v>0</v>
      </c>
      <c r="AE80" s="12">
        <f t="shared" si="7"/>
        <v>0</v>
      </c>
      <c r="AF80" s="12">
        <f t="shared" si="7"/>
        <v>0</v>
      </c>
      <c r="AG80" s="12">
        <f t="shared" si="7"/>
        <v>0</v>
      </c>
      <c r="AH80" s="12">
        <f t="shared" si="7"/>
        <v>0</v>
      </c>
      <c r="AI80" s="12">
        <f t="shared" si="7"/>
        <v>0</v>
      </c>
      <c r="AJ80" s="12">
        <f t="shared" si="7"/>
        <v>0</v>
      </c>
      <c r="AK80" s="12">
        <f t="shared" si="7"/>
        <v>0</v>
      </c>
      <c r="AL80" s="12">
        <f t="shared" si="7"/>
        <v>0</v>
      </c>
      <c r="AM80" s="12">
        <f t="shared" si="7"/>
        <v>0</v>
      </c>
      <c r="AN80" s="12">
        <f t="shared" si="7"/>
        <v>0</v>
      </c>
      <c r="AO80" s="12">
        <f t="shared" si="7"/>
        <v>0</v>
      </c>
      <c r="AP80" s="12">
        <f t="shared" si="7"/>
        <v>0</v>
      </c>
      <c r="AQ80" s="12">
        <f t="shared" si="7"/>
        <v>0</v>
      </c>
      <c r="AR80" s="12">
        <f t="shared" si="6"/>
        <v>0</v>
      </c>
      <c r="AS80" s="12">
        <f t="shared" si="6"/>
        <v>0</v>
      </c>
      <c r="AT80" s="12">
        <f t="shared" si="6"/>
        <v>0</v>
      </c>
      <c r="AU80" s="12">
        <f t="shared" si="6"/>
        <v>0</v>
      </c>
      <c r="AV80" s="12">
        <f t="shared" si="6"/>
        <v>0</v>
      </c>
      <c r="AW80" s="12">
        <f t="shared" si="6"/>
        <v>0</v>
      </c>
      <c r="AX80" s="12">
        <f t="shared" si="6"/>
        <v>0</v>
      </c>
      <c r="AY80" s="12">
        <f t="shared" si="6"/>
        <v>0</v>
      </c>
      <c r="AZ80" s="12">
        <f t="shared" si="6"/>
        <v>0</v>
      </c>
      <c r="BA80" s="12">
        <f t="shared" si="6"/>
        <v>0</v>
      </c>
      <c r="BB80" s="12">
        <f t="shared" si="6"/>
        <v>0</v>
      </c>
      <c r="BC80" s="12">
        <f t="shared" si="6"/>
        <v>0</v>
      </c>
      <c r="BD80" s="12">
        <f t="shared" si="6"/>
        <v>0</v>
      </c>
      <c r="BE80" s="12">
        <f t="shared" si="6"/>
        <v>0</v>
      </c>
      <c r="BF80" s="12">
        <f t="shared" si="6"/>
        <v>0</v>
      </c>
      <c r="BG80" s="12">
        <f t="shared" si="6"/>
        <v>0</v>
      </c>
      <c r="BH80" s="12">
        <f t="shared" si="8"/>
        <v>0</v>
      </c>
      <c r="BI80" s="12">
        <f t="shared" si="8"/>
        <v>0</v>
      </c>
      <c r="BJ80" s="12">
        <f t="shared" si="8"/>
        <v>0</v>
      </c>
      <c r="BK80" s="12">
        <f t="shared" si="8"/>
        <v>0</v>
      </c>
      <c r="BL80" s="12">
        <f t="shared" si="8"/>
        <v>0</v>
      </c>
      <c r="BM80" s="12">
        <f t="shared" si="8"/>
        <v>0</v>
      </c>
      <c r="BN80" s="12">
        <f t="shared" si="8"/>
        <v>0</v>
      </c>
      <c r="BO80" s="12">
        <f t="shared" si="8"/>
        <v>0</v>
      </c>
      <c r="BP80" s="12">
        <f t="shared" si="8"/>
        <v>0</v>
      </c>
      <c r="BQ80" s="12">
        <f t="shared" si="8"/>
        <v>0</v>
      </c>
      <c r="BR80" s="12">
        <f t="shared" si="8"/>
        <v>0</v>
      </c>
      <c r="BS80" s="12">
        <f t="shared" si="8"/>
        <v>0</v>
      </c>
      <c r="BT80" s="12">
        <f t="shared" si="8"/>
        <v>0</v>
      </c>
      <c r="BU80" s="12">
        <f t="shared" si="8"/>
        <v>0</v>
      </c>
    </row>
    <row r="81" spans="13:73" hidden="1" x14ac:dyDescent="0.2">
      <c r="M81" s="12">
        <f t="shared" si="5"/>
        <v>-31434347.868039966</v>
      </c>
      <c r="N81" s="12">
        <f t="shared" si="5"/>
        <v>0</v>
      </c>
      <c r="O81" s="12">
        <f t="shared" si="5"/>
        <v>0</v>
      </c>
      <c r="P81" s="12">
        <f t="shared" si="5"/>
        <v>0</v>
      </c>
      <c r="Q81" s="12">
        <f t="shared" si="5"/>
        <v>0</v>
      </c>
      <c r="R81" s="12">
        <f t="shared" si="5"/>
        <v>-5491404.5674099997</v>
      </c>
      <c r="S81" s="12">
        <f t="shared" si="5"/>
        <v>0</v>
      </c>
      <c r="T81" s="12">
        <f t="shared" si="5"/>
        <v>0</v>
      </c>
      <c r="U81" s="12">
        <f t="shared" si="5"/>
        <v>0</v>
      </c>
      <c r="V81" s="12">
        <f t="shared" si="5"/>
        <v>0</v>
      </c>
      <c r="W81" s="12">
        <f t="shared" si="5"/>
        <v>40481407.420639977</v>
      </c>
      <c r="X81" s="12">
        <f t="shared" si="5"/>
        <v>0</v>
      </c>
      <c r="Y81" s="12">
        <f t="shared" si="5"/>
        <v>0</v>
      </c>
      <c r="Z81" s="12">
        <f t="shared" si="5"/>
        <v>0</v>
      </c>
      <c r="AA81" s="12">
        <f t="shared" si="5"/>
        <v>0</v>
      </c>
      <c r="AB81" s="12">
        <f t="shared" si="5"/>
        <v>-111188636.43087001</v>
      </c>
      <c r="AC81" s="12">
        <f t="shared" si="7"/>
        <v>0</v>
      </c>
      <c r="AD81" s="12">
        <f t="shared" si="7"/>
        <v>0</v>
      </c>
      <c r="AE81" s="12">
        <f t="shared" si="7"/>
        <v>0</v>
      </c>
      <c r="AF81" s="12">
        <f t="shared" si="7"/>
        <v>0</v>
      </c>
      <c r="AG81" s="12">
        <f t="shared" si="7"/>
        <v>38357236.101750001</v>
      </c>
      <c r="AH81" s="12">
        <f t="shared" si="7"/>
        <v>0</v>
      </c>
      <c r="AI81" s="12">
        <f t="shared" si="7"/>
        <v>0</v>
      </c>
      <c r="AJ81" s="12">
        <f t="shared" si="7"/>
        <v>0</v>
      </c>
      <c r="AK81" s="12">
        <f t="shared" si="7"/>
        <v>0</v>
      </c>
      <c r="AL81" s="12">
        <f t="shared" si="7"/>
        <v>78310129.245150045</v>
      </c>
      <c r="AM81" s="12">
        <f t="shared" si="7"/>
        <v>0</v>
      </c>
      <c r="AN81" s="12">
        <f t="shared" si="7"/>
        <v>0</v>
      </c>
      <c r="AO81" s="12">
        <f t="shared" si="7"/>
        <v>0</v>
      </c>
      <c r="AP81" s="12">
        <f t="shared" si="7"/>
        <v>0</v>
      </c>
      <c r="AQ81" s="12">
        <f t="shared" si="7"/>
        <v>-41241794.617930025</v>
      </c>
      <c r="AR81" s="12">
        <f t="shared" si="6"/>
        <v>0</v>
      </c>
      <c r="AS81" s="12">
        <f t="shared" si="6"/>
        <v>0</v>
      </c>
      <c r="AT81" s="12">
        <f t="shared" si="6"/>
        <v>0</v>
      </c>
      <c r="AU81" s="12">
        <f t="shared" si="6"/>
        <v>0</v>
      </c>
      <c r="AV81" s="12">
        <f t="shared" si="6"/>
        <v>3601473.2605100125</v>
      </c>
      <c r="AW81" s="12">
        <f t="shared" si="6"/>
        <v>0</v>
      </c>
      <c r="AX81" s="12">
        <f t="shared" si="6"/>
        <v>0</v>
      </c>
      <c r="AY81" s="12">
        <f t="shared" si="6"/>
        <v>0</v>
      </c>
      <c r="AZ81" s="12">
        <f t="shared" si="6"/>
        <v>0</v>
      </c>
      <c r="BA81" s="12">
        <f t="shared" si="6"/>
        <v>-12571077.544439983</v>
      </c>
      <c r="BB81" s="12">
        <f t="shared" si="6"/>
        <v>0</v>
      </c>
      <c r="BC81" s="12">
        <f t="shared" si="6"/>
        <v>0</v>
      </c>
      <c r="BD81" s="12">
        <f t="shared" si="6"/>
        <v>0</v>
      </c>
      <c r="BE81" s="12">
        <f t="shared" si="6"/>
        <v>0</v>
      </c>
      <c r="BF81" s="12">
        <f t="shared" si="6"/>
        <v>-5284009.5574499667</v>
      </c>
      <c r="BG81" s="12">
        <f t="shared" si="6"/>
        <v>0</v>
      </c>
      <c r="BH81" s="12">
        <f t="shared" si="8"/>
        <v>0</v>
      </c>
      <c r="BI81" s="12">
        <f t="shared" si="8"/>
        <v>0</v>
      </c>
      <c r="BJ81" s="12">
        <f t="shared" si="8"/>
        <v>0</v>
      </c>
      <c r="BK81" s="12">
        <f t="shared" si="8"/>
        <v>12756200.884620026</v>
      </c>
      <c r="BL81" s="12">
        <f t="shared" si="8"/>
        <v>0</v>
      </c>
      <c r="BM81" s="12">
        <f t="shared" si="8"/>
        <v>0</v>
      </c>
      <c r="BN81" s="12">
        <f t="shared" si="8"/>
        <v>0</v>
      </c>
      <c r="BO81" s="12">
        <f t="shared" si="8"/>
        <v>0</v>
      </c>
      <c r="BP81" s="12">
        <f t="shared" si="8"/>
        <v>-55792498.434370011</v>
      </c>
      <c r="BQ81" s="12">
        <f t="shared" si="8"/>
        <v>0</v>
      </c>
      <c r="BR81" s="12">
        <f t="shared" si="8"/>
        <v>0</v>
      </c>
      <c r="BS81" s="12">
        <f t="shared" si="8"/>
        <v>0</v>
      </c>
      <c r="BT81" s="12">
        <f t="shared" si="8"/>
        <v>0</v>
      </c>
      <c r="BU81" s="12">
        <f t="shared" si="8"/>
        <v>-89497322.107839912</v>
      </c>
    </row>
    <row r="82" spans="13:73" hidden="1" x14ac:dyDescent="0.2"/>
    <row r="83" spans="13:73" hidden="1" x14ac:dyDescent="0.2"/>
    <row r="84" spans="13:73" hidden="1" x14ac:dyDescent="0.2"/>
    <row r="85" spans="13:73" hidden="1" x14ac:dyDescent="0.2"/>
    <row r="86" spans="13:73" hidden="1" x14ac:dyDescent="0.2"/>
    <row r="87" spans="13:73" hidden="1" x14ac:dyDescent="0.2"/>
    <row r="88" spans="13:73" hidden="1" x14ac:dyDescent="0.2"/>
    <row r="89" spans="13:73" hidden="1" x14ac:dyDescent="0.2"/>
    <row r="90" spans="13:73" hidden="1" x14ac:dyDescent="0.2"/>
    <row r="91" spans="13:73" hidden="1" x14ac:dyDescent="0.2"/>
    <row r="92" spans="13:73" hidden="1" x14ac:dyDescent="0.2"/>
    <row r="93" spans="13:73" hidden="1" x14ac:dyDescent="0.2"/>
    <row r="94" spans="13:73" hidden="1" x14ac:dyDescent="0.2"/>
    <row r="95" spans="13:73" hidden="1" x14ac:dyDescent="0.2"/>
    <row r="96" spans="13:73" hidden="1" x14ac:dyDescent="0.2"/>
    <row r="97" spans="13:116" hidden="1" x14ac:dyDescent="0.2"/>
    <row r="98" spans="13:116" hidden="1" x14ac:dyDescent="0.2"/>
    <row r="99" spans="13:116" hidden="1" x14ac:dyDescent="0.2"/>
    <row r="100" spans="13:116" hidden="1" x14ac:dyDescent="0.2"/>
    <row r="101" spans="13:116" hidden="1" x14ac:dyDescent="0.2"/>
    <row r="102" spans="13:116" hidden="1" x14ac:dyDescent="0.2"/>
    <row r="103" spans="13:116" hidden="1" x14ac:dyDescent="0.2"/>
    <row r="104" spans="13:116" hidden="1" x14ac:dyDescent="0.2"/>
    <row r="106" spans="13:116" x14ac:dyDescent="0.2">
      <c r="M106" s="120"/>
    </row>
    <row r="107" spans="13:116" x14ac:dyDescent="0.2">
      <c r="DL107" s="12">
        <v>2087353.7651195501</v>
      </c>
    </row>
  </sheetData>
  <mergeCells count="3">
    <mergeCell ref="H8:BU8"/>
    <mergeCell ref="BZ8:EM8"/>
    <mergeCell ref="D41:BU41"/>
  </mergeCells>
  <pageMargins left="0.70866141732283472" right="0.70866141732283472" top="0.74803149606299213" bottom="0.74803149606299213" header="0.31496062992125984" footer="0.31496062992125984"/>
  <pageSetup paperSize="9" scale="64" orientation="landscape" r:id="rId1"/>
  <colBreaks count="1" manualBreakCount="1">
    <brk id="14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Summary</vt:lpstr>
      <vt:lpstr>Table1</vt:lpstr>
      <vt:lpstr>Table2 PG1</vt:lpstr>
      <vt:lpstr>Table2 PG2</vt:lpstr>
      <vt:lpstr>Table Summary</vt:lpstr>
      <vt:lpstr>Table3,1</vt:lpstr>
      <vt:lpstr>Table3,2</vt:lpstr>
      <vt:lpstr>Table3,3</vt:lpstr>
      <vt:lpstr>Table3,4</vt:lpstr>
      <vt:lpstr>Table4</vt:lpstr>
      <vt:lpstr>Table5</vt:lpstr>
      <vt:lpstr>Summary!Print_Area</vt:lpstr>
      <vt:lpstr>Table1!Print_Area</vt:lpstr>
      <vt:lpstr>'Table3,3'!Print_Area</vt:lpstr>
      <vt:lpstr>Table4!Print_Area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Phindile Dhlame</dc:creator>
  <cp:lastModifiedBy>Phindile Dhlame</cp:lastModifiedBy>
  <cp:lastPrinted>2021-04-29T19:00:38Z</cp:lastPrinted>
  <dcterms:created xsi:type="dcterms:W3CDTF">2021-04-29T12:19:07Z</dcterms:created>
  <dcterms:modified xsi:type="dcterms:W3CDTF">2021-04-30T08:19:17Z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2021-04-29T12:19:07Z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82e36383-b749-45d3-98a9-9e5ca5bb5f9a</vt:lpwstr>
  </property>
  <property fmtid="{D5CDD505-2E9C-101B-9397-08002B2CF9AE}" pid="8" name="MSIP_Label_93c4247e-447d-4732-af29-2e529a4288f1_ContentBits">
    <vt:lpwstr>0</vt:lpwstr>
  </property>
</Properties>
</file>